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744B8666-573F-4FE1-9DA6-C1BE3BDCCFD5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12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G60" i="8"/>
  <c r="F60" i="8"/>
  <c r="D18" i="1"/>
  <c r="D8" i="12"/>
  <c r="D19" i="12"/>
  <c r="D9" i="12"/>
  <c r="D7" i="12"/>
  <c r="D6" i="12"/>
  <c r="D5" i="12"/>
  <c r="D4" i="12"/>
  <c r="U9" i="12"/>
  <c r="U7" i="12"/>
  <c r="U8" i="12"/>
  <c r="U6" i="12"/>
  <c r="U4" i="12"/>
  <c r="U5" i="12"/>
  <c r="T5" i="12"/>
  <c r="T6" i="12"/>
  <c r="T7" i="12"/>
  <c r="T8" i="12"/>
  <c r="T9" i="12"/>
  <c r="T4" i="12"/>
  <c r="G7" i="8"/>
  <c r="G16" i="8"/>
  <c r="G19" i="8"/>
  <c r="G24" i="8"/>
  <c r="G25" i="8"/>
  <c r="G27" i="8"/>
  <c r="G28" i="8"/>
  <c r="G29" i="8"/>
  <c r="G35" i="8"/>
  <c r="G39" i="8"/>
  <c r="G40" i="8"/>
  <c r="G46" i="8"/>
  <c r="G52" i="8"/>
  <c r="G56" i="8"/>
  <c r="G58" i="8"/>
  <c r="G59" i="8"/>
  <c r="B19" i="12"/>
  <c r="G23" i="1"/>
  <c r="G29" i="1"/>
  <c r="G30" i="1"/>
  <c r="G28" i="1"/>
  <c r="D39" i="12" l="1"/>
  <c r="D38" i="12"/>
  <c r="D37" i="12"/>
  <c r="D36" i="12"/>
  <c r="D35" i="12"/>
  <c r="D34" i="12"/>
  <c r="D33" i="12"/>
  <c r="C19" i="12"/>
  <c r="B18" i="12"/>
  <c r="C18" i="12" s="1"/>
  <c r="B17" i="12"/>
  <c r="C17" i="12" s="1"/>
  <c r="B16" i="12"/>
  <c r="C16" i="12" s="1"/>
  <c r="B15" i="12"/>
  <c r="C15" i="12" s="1"/>
  <c r="B14" i="12"/>
  <c r="C14" i="12" s="1"/>
  <c r="B13" i="12"/>
  <c r="C13" i="12" s="1"/>
  <c r="B12" i="12"/>
  <c r="B11" i="12"/>
  <c r="B10" i="12"/>
  <c r="B9" i="12"/>
  <c r="C9" i="12" s="1"/>
  <c r="B8" i="12"/>
  <c r="B7" i="12"/>
  <c r="C7" i="12" s="1"/>
  <c r="B6" i="12"/>
  <c r="C6" i="12" s="1"/>
  <c r="B5" i="12"/>
  <c r="C5" i="12" s="1"/>
  <c r="B4" i="12"/>
  <c r="B3" i="12"/>
  <c r="C2" i="12"/>
  <c r="B1" i="12"/>
  <c r="C8" i="12" l="1"/>
  <c r="C4" i="12"/>
  <c r="B40" i="12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5" i="8"/>
  <c r="F63" i="8" l="1"/>
  <c r="D20" i="1" s="1"/>
  <c r="D21" i="1" l="1"/>
  <c r="G11" i="1"/>
  <c r="G10" i="1"/>
  <c r="D13" i="1"/>
  <c r="D5" i="1" s="1"/>
  <c r="E10" i="1" l="1"/>
  <c r="E12" i="1"/>
  <c r="E11" i="1"/>
  <c r="E18" i="1" l="1"/>
  <c r="E20" i="1"/>
  <c r="F21" i="1" l="1"/>
  <c r="G21" i="1" s="1"/>
  <c r="D25" i="12"/>
  <c r="D29" i="12"/>
  <c r="D26" i="12"/>
  <c r="D22" i="12"/>
  <c r="D40" i="12" s="1"/>
  <c r="C40" i="12" s="1"/>
  <c r="F3" i="8" s="1"/>
  <c r="D10" i="12"/>
  <c r="D32" i="12"/>
  <c r="D21" i="12"/>
  <c r="D17" i="12"/>
  <c r="D30" i="12"/>
  <c r="D13" i="12"/>
  <c r="D23" i="12"/>
  <c r="D11" i="12"/>
  <c r="D12" i="12"/>
  <c r="D15" i="12"/>
  <c r="D27" i="12"/>
  <c r="D14" i="12"/>
  <c r="D18" i="12"/>
  <c r="D24" i="12"/>
  <c r="D31" i="12"/>
  <c r="D16" i="12"/>
  <c r="D28" i="12"/>
  <c r="D20" i="12"/>
  <c r="G36" i="8" l="1"/>
  <c r="G45" i="8"/>
  <c r="G50" i="8"/>
  <c r="G57" i="8"/>
  <c r="G8" i="8"/>
  <c r="G53" i="8"/>
  <c r="G33" i="8"/>
  <c r="G13" i="8"/>
  <c r="G26" i="8"/>
  <c r="G32" i="8"/>
  <c r="G23" i="8"/>
  <c r="G54" i="8"/>
  <c r="G10" i="8"/>
  <c r="G49" i="8"/>
  <c r="G12" i="8"/>
  <c r="G20" i="8"/>
  <c r="G22" i="8"/>
  <c r="G18" i="8"/>
  <c r="G6" i="8"/>
  <c r="G41" i="8"/>
  <c r="G31" i="8"/>
  <c r="G51" i="8"/>
  <c r="G15" i="8"/>
  <c r="G47" i="8"/>
  <c r="G14" i="8"/>
  <c r="G42" i="8"/>
  <c r="G37" i="8"/>
  <c r="G55" i="8"/>
  <c r="G11" i="8"/>
  <c r="G43" i="8"/>
  <c r="G9" i="8"/>
  <c r="G30" i="8"/>
  <c r="G48" i="8"/>
  <c r="G34" i="8"/>
  <c r="G5" i="8"/>
  <c r="G44" i="8"/>
  <c r="G38" i="8"/>
  <c r="G21" i="8"/>
  <c r="G17" i="8"/>
  <c r="G63" i="8" l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AD6A04A6-F699-4F2C-958C-91F41EA66640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Both CH4 and N20 combined into Unit 1 for Rathdrum</t>
        </r>
      </text>
    </comment>
    <comment ref="U7" authorId="0" shapeId="0" xr:uid="{71B4C4A0-92E5-49B7-A514-E39C60F537A3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Combined Colstrip Unit 3 &amp; 4 CH4 and N2O into unit 3</t>
        </r>
      </text>
    </comment>
    <comment ref="I8" authorId="1" shapeId="0" xr:uid="{A766F9A1-78F4-4B04-A45D-53C7570BDD92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From Page 410 of FERC Form 1</t>
        </r>
      </text>
    </comment>
    <comment ref="I9" authorId="1" shapeId="0" xr:uid="{6F81A1A5-FF9C-4E96-BB09-6D1C16BA5401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51C4CC12-C4EC-4A4E-BD48-EE4DD8D10676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B2137436-C889-44D6-8EF5-3F57622250E5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4E7AC863-09CC-4E8B-B8C1-B4B9DFE2A763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C8FFF425-B674-452C-830C-CB170818605B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FB5B4282-EA1E-4BF1-B3EC-829857C0CF2C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77300407-EA50-4FCE-A90C-4A97CF2824D7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2" shapeId="0" xr:uid="{66CE30E1-0EEA-4D08-BA12-5E26DD5F99E8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<sst xmlns="http://schemas.openxmlformats.org/spreadsheetml/2006/main" count="495" uniqueCount="255">
  <si>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</si>
  <si>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</si>
  <si>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</si>
  <si>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</si>
  <si>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</si>
  <si>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</si>
  <si>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</si>
  <si>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</si>
  <si>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</si>
  <si>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</si>
  <si>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</si>
  <si>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</si>
  <si>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</si>
  <si>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</si>
  <si>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</si>
  <si>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</si>
  <si>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</si>
  <si>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</si>
  <si>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</si>
  <si>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</si>
  <si>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</si>
  <si>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</si>
  <si>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</si>
  <si>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</si>
  <si>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</si>
  <si>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</si>
  <si>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</si>
  <si>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</si>
  <si>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</si>
  <si>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</si>
  <si>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</si>
  <si>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</si>
  <si>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</si>
  <si>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</si>
  <si>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</si>
  <si>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</si>
  <si>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</si>
  <si>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</si>
  <si>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</si>
  <si>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</si>
  <si>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</si>
  <si>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</si>
  <si>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</si>
  <si>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</si>
  <si>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</si>
  <si>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</si>
  <si>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</si>
  <si>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</si>
  <si>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</si>
  <si>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</si>
  <si>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</si>
  <si>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</si>
  <si>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</si>
  <si>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</si>
  <si>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</si>
  <si>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</si>
  <si>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</si>
  <si>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</si>
  <si>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</si>
  <si>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</si>
  <si>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</si>
  <si>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</si>
  <si>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</si>
  <si>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</si>
  <si>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</si>
  <si>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</si>
  <si>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</si>
  <si>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</si>
  <si>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</si>
  <si>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</si>
  <si>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</si>
  <si>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</si>
  <si>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</si>
  <si>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</si>
  <si>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</si>
  <si>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</si>
  <si>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</si>
  <si>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</si>
  <si>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</si>
  <si>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</si>
  <si>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</si>
  <si>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</si>
  <si>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</si>
  <si>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</si>
  <si>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</si>
  <si>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</si>
  <si>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</si>
  <si>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</si>
  <si>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</si>
  <si>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</si>
  <si>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</si>
  <si>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</si>
  <si>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</si>
  <si>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</si>
  <si>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</si>
  <si>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</si>
  <si>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</si>
  <si>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</si>
  <si>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</si>
  <si>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</si>
  <si>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</si>
  <si>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</si>
  <si>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</si>
  <si>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</si>
  <si>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</si>
  <si>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</si>
  <si>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</si>
  <si>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</si>
  <si>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</si>
  <si>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</si>
  <si>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</si>
  <si>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</si>
  <si>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</si>
  <si>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</si>
  <si>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</si>
  <si>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</si>
  <si>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</si>
  <si>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</si>
  <si>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</si>
  <si>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</si>
  <si>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</si>
  <si>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</si>
  <si>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</si>
  <si>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</si>
  <si>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</si>
  <si>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</si>
  <si>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</si>
  <si>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</si>
  <si>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</si>
  <si>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</si>
  <si>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</si>
  <si>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</si>
  <si>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</si>
  <si>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</si>
  <si>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</si>
  <si>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</si>
  <si>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</si>
  <si>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</si>
  <si>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</si>
  <si>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</si>
  <si>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</si>
  <si>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</si>
  <si>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</si>
  <si>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</si>
  <si>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</si>
  <si>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</si>
  <si>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</si>
  <si>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</si>
  <si>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</si>
  <si>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</si>
  <si>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</si>
  <si>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</si>
  <si>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</si>
  <si>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</si>
  <si>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</si>
  <si>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</si>
  <si>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</si>
  <si>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</si>
  <si>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</si>
  <si>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</si>
  <si>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</si>
  <si>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</si>
  <si>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</si>
  <si>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</si>
  <si>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</si>
  <si>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</si>
  <si>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</si>
  <si>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</si>
  <si>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</si>
  <si>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</si>
  <si>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</si>
  <si>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</si>
  <si>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</si>
  <si>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</si>
  <si>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</si>
  <si>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</si>
  <si>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</si>
  <si>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</si>
  <si>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</si>
  <si>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</si>
  <si>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</si>
  <si>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</si>
  <si>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</si>
  <si>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</si>
  <si>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</si>
  <si>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</si>
  <si>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</si>
  <si>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</si>
  <si>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</si>
  <si>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</si>
  <si>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</si>
  <si>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</si>
  <si>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</si>
  <si>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</si>
  <si>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</si>
  <si>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</si>
  <si>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</si>
  <si>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</si>
  <si>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</si>
  <si>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Energy Keepers Inc.</t>
  </si>
  <si>
    <t>Gridforce Energy Management LLC</t>
  </si>
  <si>
    <t>Idaho Cnty Light &amp; Power Coop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</si>
  <si>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</si>
  <si>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</si>
  <si>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</si>
  <si>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</si>
  <si>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</si>
  <si>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</si>
  <si>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</si>
  <si>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</si>
  <si>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>MWh</t>
  </si>
  <si>
    <t>MW</t>
  </si>
  <si>
    <t>Type</t>
  </si>
  <si>
    <t>Adams-Neilson Solar</t>
  </si>
  <si>
    <t>NaturEner Power Watch LLC</t>
  </si>
  <si>
    <t>Talen Energy Montana LLC</t>
  </si>
  <si>
    <t>The City of Cove (PURPA Hydro)</t>
  </si>
  <si>
    <t>Clark Fork Hydro (PURPA Hydro)</t>
  </si>
  <si>
    <t>Spokane County (Sewer Plant Digester)</t>
  </si>
  <si>
    <t>CP Energy Marketing (US) Inc.</t>
  </si>
  <si>
    <t>Enel X North America Inc.</t>
  </si>
  <si>
    <t>Snohomish Cnty Public Utility</t>
  </si>
  <si>
    <t>Temp Diesel</t>
  </si>
  <si>
    <t>Western Area Power Admin-Sierra Nev Re</t>
  </si>
  <si>
    <t>Evergy Kansas Central Inc</t>
  </si>
  <si>
    <t>Turlock Irrigation Dist</t>
  </si>
  <si>
    <t>Western Area Power Admin</t>
  </si>
  <si>
    <t>Known Resources Serving WA - EPA</t>
  </si>
  <si>
    <t>Known Resources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</si>
  <si>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</si>
  <si>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Multiplied Busbar MWh and 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</si>
  <si>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Metric</t>
  </si>
  <si>
    <t xml:space="preserve">2019 Data 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</si>
  <si>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</si>
  <si>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</si>
  <si>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</si>
  <si>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</si>
  <si>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</si>
  <si>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</si>
  <si>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</si>
  <si>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</si>
  <si>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</si>
  <si>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</si>
  <si>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</si>
  <si>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</si>
  <si>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</si>
  <si>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</si>
  <si>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Lancaster (Rathdrum PPA)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</si>
  <si>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</si>
  <si>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</si>
  <si>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Washington Department of Ecology Unknown Resource Default Rate =</t>
  </si>
  <si>
    <t>Metric Tons CO2 from Purchases</t>
  </si>
  <si>
    <t>CO2 Metric Tons</t>
  </si>
  <si>
    <t>CO2e Metric Tons</t>
  </si>
  <si>
    <t xml:space="preserve">Kettle Falls Biomass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</si>
</sst>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0" applyNumberFormat="0" applyFont="0" applyFill="0" applyAlignment="0" applyProtection="0"/>
  </cellStyleXfs>
  <cellXfs count="177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7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166" fontId="0" fillId="0" borderId="20" xfId="2" applyNumberFormat="1" applyFont="1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3" xfId="0" applyBorder="1"/>
    <xf numFmtId="0" fontId="0" fillId="0" borderId="23" xfId="0" applyBorder="1"/>
    <xf numFmtId="0" fontId="0" fillId="0" borderId="20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2" fillId="0" borderId="16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165" fontId="0" fillId="2" borderId="19" xfId="1" applyNumberFormat="1" applyFont="1" applyFill="1" applyBorder="1" applyAlignment="1">
      <alignment horizontal="center"/>
    </xf>
    <xf numFmtId="43" fontId="2" fillId="0" borderId="27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0" fillId="0" borderId="29" xfId="0" applyBorder="1"/>
    <xf numFmtId="165" fontId="2" fillId="0" borderId="7" xfId="1" applyNumberFormat="1" applyFont="1" applyBorder="1"/>
    <xf numFmtId="165" fontId="2" fillId="0" borderId="29" xfId="0" applyNumberFormat="1" applyFont="1" applyBorder="1"/>
    <xf numFmtId="0" fontId="2" fillId="0" borderId="30" xfId="0" applyFont="1" applyBorder="1" applyAlignment="1">
      <alignment horizontal="center"/>
    </xf>
    <xf numFmtId="166" fontId="2" fillId="0" borderId="31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4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4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12" borderId="0" xfId="0" applyFill="1"/>
    <xf numFmtId="165" fontId="0" fillId="0" borderId="7" xfId="1" applyNumberFormat="1" applyFont="1" applyBorder="1"/>
    <xf numFmtId="176" fontId="0" fillId="2" borderId="9" xfId="1" applyNumberFormat="1" applyFont="1" applyFill="1" applyBorder="1"/>
    <xf numFmtId="176" fontId="0" fillId="12" borderId="0" xfId="0" applyNumberFormat="1" applyFill="1"/>
    <xf numFmtId="0" fontId="8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F12" sqref="F1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4</v>
      </c>
    </row>
    <row r="2" spans="1:11" ht="15.75" thickBot="1" x14ac:dyDescent="0.3"/>
    <row r="3" spans="1:11" x14ac:dyDescent="0.25">
      <c r="A3" s="51"/>
      <c r="B3" s="52" t="s">
        <v>8</v>
      </c>
      <c r="C3" s="53" t="s">
        <v>16</v>
      </c>
      <c r="D3" s="58"/>
      <c r="E3" s="56"/>
    </row>
    <row r="4" spans="1:11" x14ac:dyDescent="0.25">
      <c r="A4" s="167" t="s">
        <v>9</v>
      </c>
      <c r="B4" s="168"/>
      <c r="C4" s="29">
        <v>2019</v>
      </c>
      <c r="D4" s="61" t="s">
        <v>30</v>
      </c>
      <c r="E4" s="57"/>
    </row>
    <row r="5" spans="1:11" ht="15.75" thickBot="1" x14ac:dyDescent="0.3">
      <c r="A5" s="169" t="s">
        <v>14</v>
      </c>
      <c r="B5" s="170"/>
      <c r="C5" s="54">
        <v>560110</v>
      </c>
      <c r="D5" s="55">
        <f>+D13/C5</f>
        <v>10.09855742621985</v>
      </c>
    </row>
    <row r="6" spans="1:11" x14ac:dyDescent="0.25">
      <c r="A6" s="5"/>
      <c r="B6" s="5"/>
      <c r="C6" s="15"/>
      <c r="E6" s="14"/>
    </row>
    <row r="7" spans="1:11" ht="19.5" thickBot="1" x14ac:dyDescent="0.35">
      <c r="A7" s="5"/>
      <c r="B7" s="49" t="s">
        <v>27</v>
      </c>
      <c r="C7" s="15"/>
      <c r="E7" s="14"/>
    </row>
    <row r="8" spans="1:11" x14ac:dyDescent="0.25">
      <c r="A8" s="31"/>
      <c r="B8" s="32"/>
      <c r="C8" s="32"/>
      <c r="D8" s="32"/>
      <c r="E8" s="32"/>
      <c r="F8" s="33" t="s">
        <v>13</v>
      </c>
      <c r="G8" s="44" t="s">
        <v>31</v>
      </c>
    </row>
    <row r="9" spans="1:11" x14ac:dyDescent="0.25">
      <c r="A9" s="34"/>
      <c r="B9" s="10"/>
      <c r="C9" s="10"/>
      <c r="D9" s="12" t="s">
        <v>7</v>
      </c>
      <c r="E9" s="24" t="s">
        <v>21</v>
      </c>
      <c r="F9" s="17" t="s">
        <v>26</v>
      </c>
      <c r="G9" s="45" t="s">
        <v>13</v>
      </c>
      <c r="I9" s="152"/>
      <c r="J9" s="152"/>
      <c r="K9" s="152"/>
    </row>
    <row r="10" spans="1:11" x14ac:dyDescent="0.25">
      <c r="A10" s="167" t="s">
        <v>5</v>
      </c>
      <c r="B10" s="171"/>
      <c r="C10" s="168"/>
      <c r="D10" s="59">
        <v>2539174</v>
      </c>
      <c r="E10" s="11">
        <f>+D10/D13</f>
        <v>0.44891053396538338</v>
      </c>
      <c r="F10" s="30">
        <v>229171</v>
      </c>
      <c r="G10" s="46">
        <f>+D10/F10</f>
        <v>11.079822490629269</v>
      </c>
      <c r="I10" s="152"/>
      <c r="J10" s="152"/>
      <c r="K10" s="152"/>
    </row>
    <row r="11" spans="1:11" x14ac:dyDescent="0.25">
      <c r="A11" s="167" t="s">
        <v>10</v>
      </c>
      <c r="B11" s="171"/>
      <c r="C11" s="168"/>
      <c r="D11" s="59">
        <v>2165997</v>
      </c>
      <c r="E11" s="11">
        <f>+D11/D13</f>
        <v>0.38293510796716512</v>
      </c>
      <c r="F11" s="26">
        <v>25191</v>
      </c>
      <c r="G11" s="46">
        <f>+D11/F11</f>
        <v>85.982970108372044</v>
      </c>
    </row>
    <row r="12" spans="1:11" x14ac:dyDescent="0.25">
      <c r="A12" s="167" t="s">
        <v>11</v>
      </c>
      <c r="B12" s="171"/>
      <c r="C12" s="168"/>
      <c r="D12" s="59">
        <v>951132</v>
      </c>
      <c r="E12" s="11">
        <f>+D12/D13</f>
        <v>0.16815435806745146</v>
      </c>
      <c r="F12" s="5"/>
      <c r="G12" s="35"/>
    </row>
    <row r="13" spans="1:11" ht="15.75" thickBot="1" x14ac:dyDescent="0.3">
      <c r="A13" s="36"/>
      <c r="B13" s="172" t="s">
        <v>6</v>
      </c>
      <c r="C13" s="170"/>
      <c r="D13" s="60">
        <f>SUM(D10:D12)</f>
        <v>5656303</v>
      </c>
      <c r="E13" s="37"/>
      <c r="F13" s="38"/>
      <c r="G13" s="39"/>
      <c r="I13" s="153"/>
    </row>
    <row r="15" spans="1:11" ht="19.5" thickBot="1" x14ac:dyDescent="0.35">
      <c r="B15" s="50" t="s">
        <v>28</v>
      </c>
    </row>
    <row r="16" spans="1:11" x14ac:dyDescent="0.25">
      <c r="A16" s="31"/>
      <c r="B16" s="32"/>
      <c r="C16" s="32"/>
      <c r="D16" s="32"/>
      <c r="E16" s="33" t="s">
        <v>22</v>
      </c>
      <c r="F16" s="40" t="s">
        <v>231</v>
      </c>
      <c r="G16" s="41"/>
    </row>
    <row r="17" spans="1:9" ht="18" x14ac:dyDescent="0.35">
      <c r="A17" s="42"/>
      <c r="B17" s="5"/>
      <c r="C17" s="5"/>
      <c r="D17" s="24" t="s">
        <v>12</v>
      </c>
      <c r="E17" s="17" t="s">
        <v>23</v>
      </c>
      <c r="F17" s="13" t="s">
        <v>2</v>
      </c>
      <c r="G17" s="35"/>
    </row>
    <row r="18" spans="1:9" x14ac:dyDescent="0.25">
      <c r="A18" s="164" t="s">
        <v>227</v>
      </c>
      <c r="B18" s="165"/>
      <c r="C18" s="166"/>
      <c r="D18" s="6">
        <f>'Known Resources'!B40*0.65</f>
        <v>7221625.7603750005</v>
      </c>
      <c r="E18" s="11">
        <f>+D18/(D18+D20)</f>
        <v>1.1394424575568878</v>
      </c>
      <c r="F18" s="6">
        <f>+'Known Resources'!D40*0.65</f>
        <v>2006855.3264684218</v>
      </c>
      <c r="G18" s="35"/>
      <c r="I18" s="137"/>
    </row>
    <row r="19" spans="1:9" s="158" customFormat="1" ht="15.75" thickBot="1" x14ac:dyDescent="0.3">
      <c r="A19" s="173" t="s">
        <v>228</v>
      </c>
      <c r="B19" s="173"/>
      <c r="C19" s="173"/>
      <c r="D19" s="6"/>
      <c r="E19" s="11"/>
      <c r="F19" s="161"/>
      <c r="G19" s="35"/>
      <c r="I19" s="137"/>
    </row>
    <row r="20" spans="1:9" ht="18" x14ac:dyDescent="0.35">
      <c r="A20" s="164" t="s">
        <v>25</v>
      </c>
      <c r="B20" s="165"/>
      <c r="C20" s="166"/>
      <c r="D20" s="47">
        <f>'Unknown Resources'!F63*0.65</f>
        <v>-883766.65</v>
      </c>
      <c r="E20" s="48">
        <f>+D20/(D18+D20)</f>
        <v>-0.13944245755688769</v>
      </c>
      <c r="F20" s="63">
        <f>+'Unknown Resources'!G63*0.65</f>
        <v>-93.287996958566865</v>
      </c>
      <c r="G20" s="65" t="s">
        <v>29</v>
      </c>
    </row>
    <row r="21" spans="1:9" ht="18.75" thickBot="1" x14ac:dyDescent="0.4">
      <c r="A21" s="36"/>
      <c r="B21" s="38"/>
      <c r="C21" s="38"/>
      <c r="D21" s="62">
        <f>+C4</f>
        <v>2019</v>
      </c>
      <c r="E21" s="43" t="s">
        <v>229</v>
      </c>
      <c r="F21" s="64">
        <f>SUM(F18:F20)</f>
        <v>2006762.0384714634</v>
      </c>
      <c r="G21" s="66">
        <f>+F21/G23</f>
        <v>1.9541853577539556</v>
      </c>
    </row>
    <row r="22" spans="1:9" ht="18" x14ac:dyDescent="0.35">
      <c r="A22" t="s">
        <v>230</v>
      </c>
    </row>
    <row r="23" spans="1:9" ht="18" x14ac:dyDescent="0.35">
      <c r="F23" s="16" t="s">
        <v>20</v>
      </c>
      <c r="G23" s="26">
        <f>G28</f>
        <v>1026904.6539054703</v>
      </c>
      <c r="H23" s="23"/>
    </row>
    <row r="25" spans="1:9" x14ac:dyDescent="0.25">
      <c r="B25" s="23" t="s">
        <v>15</v>
      </c>
      <c r="F25" s="18"/>
      <c r="G25" s="18"/>
    </row>
    <row r="26" spans="1:9" x14ac:dyDescent="0.25">
      <c r="E26" s="18"/>
      <c r="F26" s="18"/>
      <c r="G26" s="21" t="s">
        <v>19</v>
      </c>
    </row>
    <row r="27" spans="1:9" ht="18" x14ac:dyDescent="0.35">
      <c r="E27" s="18"/>
      <c r="F27" s="18"/>
      <c r="G27" s="22" t="s">
        <v>229</v>
      </c>
      <c r="H27" s="157" t="s">
        <v>1</v>
      </c>
    </row>
    <row r="28" spans="1:9" x14ac:dyDescent="0.25">
      <c r="E28" s="18"/>
      <c r="F28" s="19" t="s">
        <v>16</v>
      </c>
      <c r="G28" s="20">
        <f>H28/1.1023</f>
        <v>1026904.6539054703</v>
      </c>
      <c r="H28" s="20">
        <v>1131957</v>
      </c>
    </row>
    <row r="29" spans="1:9" x14ac:dyDescent="0.25">
      <c r="E29" s="18"/>
      <c r="F29" s="19" t="s">
        <v>17</v>
      </c>
      <c r="G29" s="20">
        <f t="shared" ref="G29:G30" si="0">H29/1.1023</f>
        <v>2176429.2842238955</v>
      </c>
      <c r="H29" s="20">
        <v>2399078</v>
      </c>
    </row>
    <row r="30" spans="1:9" x14ac:dyDescent="0.25">
      <c r="E30" s="18"/>
      <c r="F30" s="19" t="s">
        <v>18</v>
      </c>
      <c r="G30" s="20">
        <f t="shared" si="0"/>
        <v>6301427.9234328223</v>
      </c>
      <c r="H30" s="20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5819-EBB4-409B-9E93-783B93F34906}">
  <dimension ref="A1:AM50"/>
  <sheetViews>
    <sheetView topLeftCell="A18" workbookViewId="0">
      <selection activeCell="C40" sqref="C40"/>
    </sheetView>
  </sheetViews>
  <sheetFormatPr defaultRowHeight="15" x14ac:dyDescent="0.25"/>
  <cols>
    <col min="1" max="1" width="47.5703125" style="158" customWidth="1"/>
    <col min="2" max="2" width="13.140625" style="158" customWidth="1"/>
    <col min="3" max="3" width="12.5703125" style="158" customWidth="1"/>
    <col min="4" max="4" width="12.7109375" style="158" customWidth="1"/>
    <col min="5" max="5" width="9.140625" style="158"/>
    <col min="6" max="7" width="25" style="158" bestFit="1" customWidth="1"/>
    <col min="8" max="8" width="10.5703125" style="158" customWidth="1"/>
    <col min="9" max="9" width="10.85546875" style="158" bestFit="1" customWidth="1"/>
    <col min="10" max="13" width="9.140625" style="158"/>
    <col min="14" max="14" width="12.7109375" style="158" bestFit="1" customWidth="1"/>
    <col min="15" max="17" width="9.140625" style="158"/>
    <col min="18" max="18" width="16" style="158" bestFit="1" customWidth="1"/>
    <col min="19" max="19" width="13.28515625" style="158" bestFit="1" customWidth="1"/>
    <col min="20" max="20" width="19.28515625" style="158" bestFit="1" customWidth="1"/>
    <col min="21" max="21" width="18.5703125" style="158" bestFit="1" customWidth="1"/>
    <col min="22" max="25" width="9.140625" style="158"/>
    <col min="26" max="26" width="9.140625" style="158" customWidth="1"/>
    <col min="27" max="31" width="9.140625" style="158"/>
    <col min="32" max="35" width="9.140625" style="158" customWidth="1"/>
    <col min="36" max="16384" width="9.140625" style="158"/>
  </cols>
  <sheetData>
    <row r="1" spans="1:39" ht="18.75" x14ac:dyDescent="0.3">
      <c r="A1" s="3" t="s">
        <v>3</v>
      </c>
      <c r="B1" s="28">
        <f>+Summary!C4</f>
        <v>2019</v>
      </c>
    </row>
    <row r="2" spans="1:39" ht="18.75" x14ac:dyDescent="0.3">
      <c r="A2" s="3"/>
      <c r="B2" s="7" t="s">
        <v>24</v>
      </c>
      <c r="C2" s="7">
        <f>+Summary!C4</f>
        <v>2019</v>
      </c>
      <c r="D2" s="7" t="s">
        <v>231</v>
      </c>
      <c r="F2" s="70" t="s">
        <v>232</v>
      </c>
      <c r="G2" s="71" t="s">
        <v>211</v>
      </c>
      <c r="H2" s="70" t="s">
        <v>212</v>
      </c>
      <c r="I2" s="72" t="s">
        <v>210</v>
      </c>
    </row>
    <row r="3" spans="1:39" ht="19.5" x14ac:dyDescent="0.35">
      <c r="A3" s="4" t="s">
        <v>0</v>
      </c>
      <c r="B3" s="8">
        <f>+Summary!C4</f>
        <v>2019</v>
      </c>
      <c r="C3" s="8" t="s">
        <v>248</v>
      </c>
      <c r="D3" s="8" t="s">
        <v>2</v>
      </c>
      <c r="E3" s="2"/>
      <c r="F3" s="70" t="s">
        <v>68</v>
      </c>
      <c r="G3" s="71">
        <v>233.4</v>
      </c>
      <c r="H3" s="70" t="s">
        <v>69</v>
      </c>
      <c r="I3" s="72">
        <v>1582048</v>
      </c>
      <c r="K3" s="158" t="s">
        <v>136</v>
      </c>
      <c r="L3" s="158" t="s">
        <v>137</v>
      </c>
      <c r="M3" s="158" t="s">
        <v>138</v>
      </c>
      <c r="N3" s="158" t="s">
        <v>139</v>
      </c>
      <c r="O3" s="158" t="s">
        <v>140</v>
      </c>
      <c r="P3" s="158" t="s">
        <v>141</v>
      </c>
      <c r="Q3" s="158" t="s">
        <v>142</v>
      </c>
      <c r="R3" s="158" t="s">
        <v>168</v>
      </c>
      <c r="S3" s="158" t="s">
        <v>143</v>
      </c>
      <c r="T3" s="158" t="s">
        <v>252</v>
      </c>
      <c r="U3" s="158" t="s">
        <v>253</v>
      </c>
      <c r="V3" s="158" t="s">
        <v>144</v>
      </c>
    </row>
    <row r="4" spans="1:39" x14ac:dyDescent="0.25">
      <c r="A4" s="25" t="s">
        <v>32</v>
      </c>
      <c r="B4" s="26">
        <f>0.15*(R7+R8)</f>
        <v>1658915.8575000002</v>
      </c>
      <c r="C4" s="130">
        <f>D4/B4</f>
        <v>0.94322447209463989</v>
      </c>
      <c r="D4" s="6">
        <f>U7+U8</f>
        <v>1564730.0339398645</v>
      </c>
      <c r="F4" s="70" t="s">
        <v>70</v>
      </c>
      <c r="G4" s="71">
        <v>166.5</v>
      </c>
      <c r="H4" s="70" t="s">
        <v>71</v>
      </c>
      <c r="I4" s="72">
        <v>176180</v>
      </c>
      <c r="K4" s="158" t="s">
        <v>145</v>
      </c>
      <c r="L4" s="158" t="s">
        <v>146</v>
      </c>
      <c r="M4" s="158">
        <v>7456</v>
      </c>
      <c r="N4" s="158">
        <v>1</v>
      </c>
      <c r="P4" s="158">
        <v>2018</v>
      </c>
      <c r="Q4" s="158" t="s">
        <v>147</v>
      </c>
      <c r="R4" s="152">
        <v>63223.47</v>
      </c>
      <c r="S4" s="152">
        <v>36810.483999999997</v>
      </c>
      <c r="T4" s="152">
        <f>S4/1.1023</f>
        <v>33394.252018506755</v>
      </c>
      <c r="U4" s="137">
        <f>T4+X43</f>
        <v>33510.998326956753</v>
      </c>
      <c r="V4" s="158">
        <v>619405.35699999996</v>
      </c>
    </row>
    <row r="5" spans="1:39" x14ac:dyDescent="0.25">
      <c r="A5" s="27" t="s">
        <v>33</v>
      </c>
      <c r="B5" s="26">
        <f>R4+R5</f>
        <v>172342.33000000002</v>
      </c>
      <c r="C5" s="130">
        <f>D5/B5</f>
        <v>0.52927052649230477</v>
      </c>
      <c r="D5" s="6">
        <f>U4+U5</f>
        <v>91215.715736010548</v>
      </c>
      <c r="F5" s="70" t="s">
        <v>72</v>
      </c>
      <c r="G5" s="71">
        <v>61.8</v>
      </c>
      <c r="H5" s="70" t="s">
        <v>71</v>
      </c>
      <c r="I5" s="72">
        <v>3459</v>
      </c>
      <c r="K5" s="158" t="s">
        <v>145</v>
      </c>
      <c r="L5" s="158" t="s">
        <v>146</v>
      </c>
      <c r="M5" s="158">
        <v>7456</v>
      </c>
      <c r="N5" s="158">
        <v>2</v>
      </c>
      <c r="P5" s="158">
        <v>2018</v>
      </c>
      <c r="Q5" s="158" t="s">
        <v>147</v>
      </c>
      <c r="R5" s="152">
        <v>109118.86</v>
      </c>
      <c r="S5" s="152">
        <v>63607.91</v>
      </c>
      <c r="T5" s="152">
        <f t="shared" ref="T5:T9" si="0">S5/1.1023</f>
        <v>57704.717409053796</v>
      </c>
      <c r="U5" s="137">
        <f>T5</f>
        <v>57704.717409053796</v>
      </c>
      <c r="V5" s="158">
        <v>1070288.9639999999</v>
      </c>
    </row>
    <row r="6" spans="1:39" x14ac:dyDescent="0.25">
      <c r="A6" s="27" t="s">
        <v>34</v>
      </c>
      <c r="B6" s="26">
        <f t="shared" ref="B6:B7" si="1">I5</f>
        <v>3459</v>
      </c>
      <c r="C6" s="130">
        <f>(U28*2204.62262)/B6</f>
        <v>1445.8660398326692</v>
      </c>
      <c r="D6" s="6">
        <f>U28+X44</f>
        <v>2270.8709328960003</v>
      </c>
      <c r="F6" s="70" t="s">
        <v>73</v>
      </c>
      <c r="G6" s="71">
        <v>24.6</v>
      </c>
      <c r="H6" s="70" t="s">
        <v>71</v>
      </c>
      <c r="I6" s="72">
        <v>66910</v>
      </c>
      <c r="K6" s="158" t="s">
        <v>145</v>
      </c>
      <c r="L6" s="158" t="s">
        <v>148</v>
      </c>
      <c r="M6" s="158">
        <v>55179</v>
      </c>
      <c r="N6" s="158" t="s">
        <v>149</v>
      </c>
      <c r="P6" s="158">
        <v>2018</v>
      </c>
      <c r="Q6" s="158" t="s">
        <v>147</v>
      </c>
      <c r="R6" s="152">
        <v>1826872.43</v>
      </c>
      <c r="S6" s="152">
        <v>752656.11300000001</v>
      </c>
      <c r="T6" s="152">
        <f t="shared" si="0"/>
        <v>682805.14651183889</v>
      </c>
      <c r="U6" s="137">
        <f>T6+X50</f>
        <v>683495.38290783891</v>
      </c>
      <c r="V6" s="149">
        <v>12664887.868000001</v>
      </c>
      <c r="AM6" s="149"/>
    </row>
    <row r="7" spans="1:39" x14ac:dyDescent="0.25">
      <c r="A7" s="27" t="s">
        <v>35</v>
      </c>
      <c r="B7" s="26">
        <f t="shared" si="1"/>
        <v>66910</v>
      </c>
      <c r="C7" s="130">
        <f>(U29*2204.62262)/B7</f>
        <v>1060.6855359269498</v>
      </c>
      <c r="D7" s="6">
        <f>U29+X45</f>
        <v>32224.894828559998</v>
      </c>
      <c r="F7" s="70" t="s">
        <v>74</v>
      </c>
      <c r="G7" s="71">
        <v>295</v>
      </c>
      <c r="H7" s="70" t="s">
        <v>71</v>
      </c>
      <c r="I7" s="72">
        <v>1890646</v>
      </c>
      <c r="K7" s="158" t="s">
        <v>150</v>
      </c>
      <c r="L7" s="158" t="s">
        <v>151</v>
      </c>
      <c r="M7" s="158">
        <v>6076</v>
      </c>
      <c r="N7" s="158">
        <v>3</v>
      </c>
      <c r="P7" s="158">
        <v>2018</v>
      </c>
      <c r="Q7" s="158" t="s">
        <v>147</v>
      </c>
      <c r="R7" s="152">
        <v>5706928.9199999999</v>
      </c>
      <c r="S7" s="152">
        <v>5795693.2089999998</v>
      </c>
      <c r="T7" s="152">
        <f t="shared" si="0"/>
        <v>5257818.3879161747</v>
      </c>
      <c r="U7" s="137">
        <f>(0.15*T7)+X41+X42</f>
        <v>800769.77452772623</v>
      </c>
      <c r="V7" s="149">
        <v>55260211.803000003</v>
      </c>
      <c r="AM7" s="149"/>
    </row>
    <row r="8" spans="1:39" x14ac:dyDescent="0.25">
      <c r="A8" s="27" t="s">
        <v>36</v>
      </c>
      <c r="B8" s="26">
        <f>R9</f>
        <v>1920045.86</v>
      </c>
      <c r="C8" s="130">
        <f>(D8*2000)/B8</f>
        <v>731.54101072831111</v>
      </c>
      <c r="D8" s="6">
        <f>U9</f>
        <v>702296.14453455468</v>
      </c>
      <c r="F8" s="70" t="s">
        <v>75</v>
      </c>
      <c r="G8" s="71">
        <v>7.2</v>
      </c>
      <c r="H8" s="70" t="s">
        <v>71</v>
      </c>
      <c r="I8" s="73">
        <v>18274</v>
      </c>
      <c r="K8" s="158" t="s">
        <v>150</v>
      </c>
      <c r="L8" s="158" t="s">
        <v>151</v>
      </c>
      <c r="M8" s="158">
        <v>6076</v>
      </c>
      <c r="N8" s="158">
        <v>4</v>
      </c>
      <c r="P8" s="158">
        <v>2018</v>
      </c>
      <c r="Q8" s="158" t="s">
        <v>147</v>
      </c>
      <c r="R8" s="152">
        <v>5352510.13</v>
      </c>
      <c r="S8" s="152">
        <v>5614089.2929999996</v>
      </c>
      <c r="T8" s="152">
        <f t="shared" si="0"/>
        <v>5093068.3960809214</v>
      </c>
      <c r="U8" s="137">
        <f>0.15*T8</f>
        <v>763960.25941213814</v>
      </c>
      <c r="V8" s="149">
        <v>53528688.093000002</v>
      </c>
      <c r="AM8" s="149"/>
    </row>
    <row r="9" spans="1:39" x14ac:dyDescent="0.25">
      <c r="A9" s="27" t="s">
        <v>183</v>
      </c>
      <c r="B9" s="26">
        <f t="shared" ref="B9:B18" si="2">I8</f>
        <v>18274</v>
      </c>
      <c r="C9" s="130">
        <f>(U31*2204.62262)/B9</f>
        <v>1354.2253920502951</v>
      </c>
      <c r="D9" s="6">
        <f>U31+X47</f>
        <v>11236.690148616</v>
      </c>
      <c r="F9" s="70" t="s">
        <v>76</v>
      </c>
      <c r="G9" s="74">
        <v>50.7</v>
      </c>
      <c r="H9" s="70" t="s">
        <v>77</v>
      </c>
      <c r="I9" s="72">
        <v>316112</v>
      </c>
      <c r="K9" s="158" t="s">
        <v>152</v>
      </c>
      <c r="L9" s="158" t="s">
        <v>153</v>
      </c>
      <c r="M9" s="158">
        <v>7350</v>
      </c>
      <c r="N9" s="158" t="s">
        <v>154</v>
      </c>
      <c r="P9" s="158">
        <v>2018</v>
      </c>
      <c r="Q9" s="158" t="s">
        <v>147</v>
      </c>
      <c r="R9" s="152">
        <v>1920045.86</v>
      </c>
      <c r="S9" s="152">
        <v>773374.22699999996</v>
      </c>
      <c r="T9" s="152">
        <f t="shared" si="0"/>
        <v>701600.49623514467</v>
      </c>
      <c r="U9" s="137">
        <f>T9+X46</f>
        <v>702296.14453455468</v>
      </c>
      <c r="V9" s="149">
        <v>13013557.409</v>
      </c>
      <c r="AM9" s="149"/>
    </row>
    <row r="10" spans="1:39" x14ac:dyDescent="0.25">
      <c r="A10" s="27" t="s">
        <v>254</v>
      </c>
      <c r="B10" s="26">
        <f t="shared" si="2"/>
        <v>316112</v>
      </c>
      <c r="C10" s="130">
        <v>0</v>
      </c>
      <c r="D10" s="6">
        <f t="shared" ref="D10:D39" si="3">(+B10*C10)/2000</f>
        <v>0</v>
      </c>
      <c r="F10" s="70" t="s">
        <v>78</v>
      </c>
      <c r="G10" s="71">
        <v>14.8</v>
      </c>
      <c r="H10" s="70" t="s">
        <v>79</v>
      </c>
      <c r="I10" s="72">
        <v>98076</v>
      </c>
      <c r="AK10" s="149"/>
    </row>
    <row r="11" spans="1:39" x14ac:dyDescent="0.25">
      <c r="A11" s="27" t="s">
        <v>38</v>
      </c>
      <c r="B11" s="26">
        <f t="shared" si="2"/>
        <v>98076</v>
      </c>
      <c r="C11" s="130">
        <v>0</v>
      </c>
      <c r="D11" s="6">
        <f t="shared" si="3"/>
        <v>0</v>
      </c>
      <c r="F11" s="70" t="s">
        <v>80</v>
      </c>
      <c r="G11" s="71">
        <v>14.8</v>
      </c>
      <c r="H11" s="70" t="s">
        <v>79</v>
      </c>
      <c r="I11" s="72">
        <v>68660</v>
      </c>
      <c r="AK11" s="149"/>
    </row>
    <row r="12" spans="1:39" x14ac:dyDescent="0.25">
      <c r="A12" s="27" t="s">
        <v>39</v>
      </c>
      <c r="B12" s="26">
        <f t="shared" si="2"/>
        <v>68660</v>
      </c>
      <c r="C12" s="130">
        <v>0</v>
      </c>
      <c r="D12" s="6">
        <f t="shared" si="3"/>
        <v>0</v>
      </c>
      <c r="F12" s="70" t="s">
        <v>81</v>
      </c>
      <c r="G12" s="71">
        <v>37.6</v>
      </c>
      <c r="H12" s="70" t="s">
        <v>79</v>
      </c>
      <c r="I12" s="72">
        <v>119575</v>
      </c>
      <c r="AK12" s="149"/>
    </row>
    <row r="13" spans="1:39" x14ac:dyDescent="0.25">
      <c r="A13" s="27" t="s">
        <v>40</v>
      </c>
      <c r="B13" s="26">
        <f t="shared" si="2"/>
        <v>119575</v>
      </c>
      <c r="C13" s="130">
        <f t="shared" ref="C13:C18" si="4">(V17*2204.62262)/B13</f>
        <v>0</v>
      </c>
      <c r="D13" s="6">
        <f t="shared" si="3"/>
        <v>0</v>
      </c>
      <c r="F13" s="70" t="s">
        <v>209</v>
      </c>
      <c r="G13" s="71">
        <v>40.4</v>
      </c>
      <c r="H13" s="70" t="s">
        <v>79</v>
      </c>
      <c r="I13" s="72">
        <v>163998</v>
      </c>
      <c r="W13" s="151"/>
    </row>
    <row r="14" spans="1:39" x14ac:dyDescent="0.25">
      <c r="A14" s="27" t="s">
        <v>41</v>
      </c>
      <c r="B14" s="26">
        <f t="shared" si="2"/>
        <v>163998</v>
      </c>
      <c r="C14" s="130">
        <f t="shared" si="4"/>
        <v>0</v>
      </c>
      <c r="D14" s="6">
        <f t="shared" si="3"/>
        <v>0</v>
      </c>
      <c r="F14" s="70" t="s">
        <v>82</v>
      </c>
      <c r="G14" s="71">
        <v>70</v>
      </c>
      <c r="H14" s="70" t="s">
        <v>79</v>
      </c>
      <c r="I14" s="72">
        <v>438456</v>
      </c>
      <c r="W14" s="151"/>
    </row>
    <row r="15" spans="1:39" x14ac:dyDescent="0.25">
      <c r="A15" s="27" t="s">
        <v>42</v>
      </c>
      <c r="B15" s="26">
        <f t="shared" si="2"/>
        <v>438456</v>
      </c>
      <c r="C15" s="130">
        <f t="shared" si="4"/>
        <v>0</v>
      </c>
      <c r="D15" s="6">
        <f t="shared" si="3"/>
        <v>0</v>
      </c>
      <c r="F15" s="70" t="s">
        <v>83</v>
      </c>
      <c r="G15" s="71">
        <v>10</v>
      </c>
      <c r="H15" s="70" t="s">
        <v>79</v>
      </c>
      <c r="I15" s="72">
        <v>66538</v>
      </c>
    </row>
    <row r="16" spans="1:39" x14ac:dyDescent="0.25">
      <c r="A16" s="27" t="s">
        <v>43</v>
      </c>
      <c r="B16" s="26">
        <f t="shared" si="2"/>
        <v>66538</v>
      </c>
      <c r="C16" s="130">
        <f t="shared" si="4"/>
        <v>0</v>
      </c>
      <c r="D16" s="6">
        <f t="shared" si="3"/>
        <v>0</v>
      </c>
      <c r="F16" s="70" t="s">
        <v>84</v>
      </c>
      <c r="G16" s="71">
        <v>265</v>
      </c>
      <c r="H16" s="70" t="s">
        <v>79</v>
      </c>
      <c r="I16" s="72">
        <v>991068</v>
      </c>
    </row>
    <row r="17" spans="1:21" x14ac:dyDescent="0.25">
      <c r="A17" s="27" t="s">
        <v>44</v>
      </c>
      <c r="B17" s="26">
        <f t="shared" si="2"/>
        <v>991068</v>
      </c>
      <c r="C17" s="130">
        <f t="shared" si="4"/>
        <v>0</v>
      </c>
      <c r="D17" s="6">
        <f t="shared" si="3"/>
        <v>0</v>
      </c>
      <c r="F17" s="70" t="s">
        <v>85</v>
      </c>
      <c r="G17" s="71">
        <v>487.8</v>
      </c>
      <c r="H17" s="70" t="s">
        <v>79</v>
      </c>
      <c r="I17" s="72">
        <v>1573513</v>
      </c>
    </row>
    <row r="18" spans="1:21" x14ac:dyDescent="0.25">
      <c r="A18" s="27" t="s">
        <v>45</v>
      </c>
      <c r="B18" s="26">
        <f t="shared" si="2"/>
        <v>1573513</v>
      </c>
      <c r="C18" s="130">
        <f t="shared" si="4"/>
        <v>0</v>
      </c>
      <c r="D18" s="6">
        <f t="shared" si="3"/>
        <v>0</v>
      </c>
    </row>
    <row r="19" spans="1:21" x14ac:dyDescent="0.25">
      <c r="A19" s="27" t="s">
        <v>247</v>
      </c>
      <c r="B19" s="26">
        <f>R6</f>
        <v>1826872.43</v>
      </c>
      <c r="C19" s="130">
        <f>(D19*2000)/B19</f>
        <v>748.26832096627459</v>
      </c>
      <c r="D19" s="6">
        <f>U6</f>
        <v>683495.38290783891</v>
      </c>
    </row>
    <row r="20" spans="1:21" ht="15.75" x14ac:dyDescent="0.25">
      <c r="A20" s="27" t="s">
        <v>134</v>
      </c>
      <c r="B20" s="26"/>
      <c r="C20" s="26">
        <v>0</v>
      </c>
      <c r="D20" s="6">
        <f t="shared" si="3"/>
        <v>0</v>
      </c>
      <c r="F20" s="77">
        <v>2019</v>
      </c>
      <c r="G20" s="76"/>
      <c r="H20" s="78"/>
      <c r="I20" s="79" t="s">
        <v>86</v>
      </c>
      <c r="J20" s="79" t="s">
        <v>87</v>
      </c>
      <c r="K20" s="80" t="s">
        <v>88</v>
      </c>
      <c r="L20" s="81" t="s">
        <v>89</v>
      </c>
      <c r="M20" s="80" t="s">
        <v>90</v>
      </c>
      <c r="N20" s="80" t="s">
        <v>91</v>
      </c>
      <c r="O20" s="80" t="s">
        <v>92</v>
      </c>
      <c r="P20" s="81" t="s">
        <v>93</v>
      </c>
      <c r="Q20" s="81" t="s">
        <v>94</v>
      </c>
      <c r="R20" s="82" t="s">
        <v>95</v>
      </c>
      <c r="S20" s="82" t="s">
        <v>96</v>
      </c>
      <c r="T20" s="82" t="s">
        <v>97</v>
      </c>
      <c r="U20" s="83" t="s">
        <v>98</v>
      </c>
    </row>
    <row r="21" spans="1:21" ht="60" x14ac:dyDescent="0.25">
      <c r="A21" s="26" t="s">
        <v>213</v>
      </c>
      <c r="B21" s="26">
        <v>42346</v>
      </c>
      <c r="C21" s="26">
        <v>0</v>
      </c>
      <c r="D21" s="6">
        <f t="shared" si="3"/>
        <v>0</v>
      </c>
      <c r="F21" s="84"/>
      <c r="G21" s="85"/>
      <c r="H21" s="86"/>
      <c r="I21" s="87" t="s">
        <v>99</v>
      </c>
      <c r="J21" s="87" t="s">
        <v>100</v>
      </c>
      <c r="K21" s="87" t="s">
        <v>101</v>
      </c>
      <c r="L21" s="87" t="s">
        <v>102</v>
      </c>
      <c r="M21" s="87" t="s">
        <v>103</v>
      </c>
      <c r="N21" s="87" t="s">
        <v>104</v>
      </c>
      <c r="O21" s="87" t="s">
        <v>105</v>
      </c>
      <c r="P21" s="88" t="s">
        <v>106</v>
      </c>
      <c r="Q21" s="88" t="s">
        <v>107</v>
      </c>
      <c r="R21" s="88" t="s">
        <v>108</v>
      </c>
      <c r="S21" s="88" t="s">
        <v>109</v>
      </c>
      <c r="T21" s="88" t="s">
        <v>176</v>
      </c>
      <c r="U21" s="89" t="s">
        <v>177</v>
      </c>
    </row>
    <row r="22" spans="1:21" ht="30" x14ac:dyDescent="0.25">
      <c r="A22" s="26" t="s">
        <v>184</v>
      </c>
      <c r="B22" s="26">
        <v>383309</v>
      </c>
      <c r="C22" s="26">
        <v>0</v>
      </c>
      <c r="D22" s="6">
        <f t="shared" si="3"/>
        <v>0</v>
      </c>
      <c r="F22" s="75"/>
      <c r="G22" s="90"/>
      <c r="H22" s="78"/>
      <c r="I22" s="91"/>
      <c r="J22" s="91"/>
      <c r="K22" s="91"/>
      <c r="L22" s="91"/>
      <c r="M22" s="92" t="s">
        <v>110</v>
      </c>
      <c r="N22" s="92" t="s">
        <v>111</v>
      </c>
      <c r="O22" s="92"/>
      <c r="P22" s="93"/>
      <c r="Q22" s="93"/>
      <c r="R22" s="94"/>
      <c r="S22" s="94"/>
      <c r="T22" s="89" t="s">
        <v>112</v>
      </c>
      <c r="U22" s="95" t="s">
        <v>113</v>
      </c>
    </row>
    <row r="23" spans="1:21" ht="34.5" customHeight="1" x14ac:dyDescent="0.25">
      <c r="A23" s="26" t="s">
        <v>170</v>
      </c>
      <c r="B23" s="26">
        <v>3805</v>
      </c>
      <c r="C23" s="26">
        <v>0</v>
      </c>
      <c r="D23" s="6">
        <f t="shared" si="3"/>
        <v>0</v>
      </c>
      <c r="F23" s="96" t="s">
        <v>114</v>
      </c>
      <c r="G23" s="97" t="s">
        <v>71</v>
      </c>
      <c r="H23" s="98">
        <v>0.5</v>
      </c>
      <c r="I23" s="99">
        <v>1000</v>
      </c>
      <c r="J23" s="100" t="s">
        <v>115</v>
      </c>
      <c r="K23" s="101">
        <v>5.0999999999999997E-2</v>
      </c>
      <c r="L23" s="102" t="s">
        <v>116</v>
      </c>
      <c r="M23" s="100" t="s">
        <v>117</v>
      </c>
      <c r="N23" s="99">
        <v>51</v>
      </c>
      <c r="O23" s="103" t="s">
        <v>118</v>
      </c>
      <c r="P23" s="104">
        <v>14</v>
      </c>
      <c r="Q23" s="100" t="s">
        <v>119</v>
      </c>
      <c r="R23" s="131">
        <v>1</v>
      </c>
      <c r="S23" s="132">
        <v>1</v>
      </c>
      <c r="T23" s="105">
        <v>2618.0000000000023</v>
      </c>
      <c r="U23" s="106">
        <v>2.6180000000000021</v>
      </c>
    </row>
    <row r="24" spans="1:21" x14ac:dyDescent="0.25">
      <c r="A24" s="26" t="s">
        <v>185</v>
      </c>
      <c r="B24" s="26">
        <v>279934</v>
      </c>
      <c r="C24" s="26">
        <v>0</v>
      </c>
      <c r="D24" s="6">
        <f t="shared" si="3"/>
        <v>0</v>
      </c>
      <c r="F24" s="107" t="s">
        <v>120</v>
      </c>
      <c r="G24" s="108" t="s">
        <v>121</v>
      </c>
      <c r="H24" s="108" t="s">
        <v>122</v>
      </c>
      <c r="I24" s="109"/>
      <c r="J24" s="110"/>
      <c r="K24" s="110"/>
      <c r="L24" s="110"/>
      <c r="M24" s="110"/>
      <c r="N24" s="110"/>
      <c r="O24" s="110"/>
      <c r="P24" s="111"/>
      <c r="Q24" s="112"/>
      <c r="R24" s="113"/>
      <c r="S24" s="113"/>
      <c r="T24" s="113"/>
      <c r="U24" s="110"/>
    </row>
    <row r="25" spans="1:21" ht="30" x14ac:dyDescent="0.25">
      <c r="A25" s="26" t="s">
        <v>186</v>
      </c>
      <c r="B25" s="26">
        <v>8903</v>
      </c>
      <c r="C25" s="26">
        <v>0</v>
      </c>
      <c r="D25" s="6">
        <f t="shared" si="3"/>
        <v>0</v>
      </c>
      <c r="F25" s="114" t="s">
        <v>32</v>
      </c>
      <c r="G25" s="114" t="s">
        <v>69</v>
      </c>
      <c r="H25" s="133">
        <v>0.15</v>
      </c>
      <c r="I25" s="115">
        <v>970451</v>
      </c>
      <c r="J25" s="116" t="s">
        <v>123</v>
      </c>
      <c r="K25" s="117">
        <v>17.024999999999999</v>
      </c>
      <c r="L25" s="116" t="s">
        <v>124</v>
      </c>
      <c r="M25" s="116" t="s">
        <v>117</v>
      </c>
      <c r="N25" s="118">
        <v>16521928.274999999</v>
      </c>
      <c r="O25" s="119" t="s">
        <v>125</v>
      </c>
      <c r="P25" s="120">
        <v>93.4</v>
      </c>
      <c r="Q25" s="119" t="s">
        <v>126</v>
      </c>
      <c r="R25" s="121">
        <v>0.98</v>
      </c>
      <c r="S25" s="122">
        <v>1</v>
      </c>
      <c r="T25" s="123">
        <v>1512285138.8673</v>
      </c>
      <c r="U25" s="123">
        <v>1512285.1388673</v>
      </c>
    </row>
    <row r="26" spans="1:21" ht="25.5" x14ac:dyDescent="0.25">
      <c r="A26" s="26" t="s">
        <v>187</v>
      </c>
      <c r="B26" s="26">
        <v>0</v>
      </c>
      <c r="C26" s="26">
        <v>0</v>
      </c>
      <c r="D26" s="6">
        <f t="shared" si="3"/>
        <v>0</v>
      </c>
      <c r="F26" s="114" t="s">
        <v>32</v>
      </c>
      <c r="G26" s="114" t="s">
        <v>127</v>
      </c>
      <c r="H26" s="124">
        <v>0.15</v>
      </c>
      <c r="I26" s="115">
        <v>2075</v>
      </c>
      <c r="J26" s="116" t="s">
        <v>128</v>
      </c>
      <c r="K26" s="120">
        <v>5.88</v>
      </c>
      <c r="L26" s="125" t="s">
        <v>129</v>
      </c>
      <c r="M26" s="116" t="s">
        <v>117</v>
      </c>
      <c r="N26" s="118">
        <v>12201</v>
      </c>
      <c r="O26" s="119" t="s">
        <v>125</v>
      </c>
      <c r="P26" s="120">
        <v>73.959999999999994</v>
      </c>
      <c r="Q26" s="119" t="s">
        <v>126</v>
      </c>
      <c r="R26" s="121">
        <v>0.99</v>
      </c>
      <c r="S26" s="122">
        <v>1</v>
      </c>
      <c r="T26" s="123">
        <v>893362.1004</v>
      </c>
      <c r="U26" s="123">
        <v>893.36210040000003</v>
      </c>
    </row>
    <row r="27" spans="1:21" x14ac:dyDescent="0.25">
      <c r="A27" s="26" t="s">
        <v>135</v>
      </c>
      <c r="B27" s="26">
        <v>302136</v>
      </c>
      <c r="C27" s="26">
        <v>0</v>
      </c>
      <c r="D27" s="6">
        <f t="shared" si="3"/>
        <v>0</v>
      </c>
      <c r="F27" s="114" t="s">
        <v>130</v>
      </c>
      <c r="G27" s="114" t="s">
        <v>71</v>
      </c>
      <c r="H27" s="124">
        <v>1</v>
      </c>
      <c r="I27" s="120">
        <v>2087.85</v>
      </c>
      <c r="J27" s="116" t="s">
        <v>131</v>
      </c>
      <c r="K27" s="126">
        <v>1026</v>
      </c>
      <c r="L27" s="116" t="s">
        <v>132</v>
      </c>
      <c r="M27" s="116" t="s">
        <v>117</v>
      </c>
      <c r="N27" s="118">
        <v>2142134.1</v>
      </c>
      <c r="O27" s="119" t="s">
        <v>125</v>
      </c>
      <c r="P27" s="120">
        <v>53.06</v>
      </c>
      <c r="Q27" s="119" t="s">
        <v>126</v>
      </c>
      <c r="R27" s="121">
        <v>0.995</v>
      </c>
      <c r="S27" s="122">
        <v>1</v>
      </c>
      <c r="T27" s="123">
        <v>113093327.16927001</v>
      </c>
      <c r="U27" s="123">
        <v>113093.32716927001</v>
      </c>
    </row>
    <row r="28" spans="1:21" x14ac:dyDescent="0.25">
      <c r="A28" s="26" t="s">
        <v>188</v>
      </c>
      <c r="B28" s="26">
        <v>25</v>
      </c>
      <c r="C28" s="26">
        <v>0</v>
      </c>
      <c r="D28" s="6">
        <f t="shared" si="3"/>
        <v>0</v>
      </c>
      <c r="F28" s="114" t="s">
        <v>133</v>
      </c>
      <c r="G28" s="114" t="s">
        <v>71</v>
      </c>
      <c r="H28" s="124">
        <v>1</v>
      </c>
      <c r="I28" s="120">
        <v>41.88</v>
      </c>
      <c r="J28" s="116" t="s">
        <v>131</v>
      </c>
      <c r="K28" s="126">
        <v>1026</v>
      </c>
      <c r="L28" s="116" t="s">
        <v>132</v>
      </c>
      <c r="M28" s="116" t="s">
        <v>117</v>
      </c>
      <c r="N28" s="118">
        <v>42968.880000000005</v>
      </c>
      <c r="O28" s="119" t="s">
        <v>125</v>
      </c>
      <c r="P28" s="120">
        <v>53.06</v>
      </c>
      <c r="Q28" s="119" t="s">
        <v>126</v>
      </c>
      <c r="R28" s="121">
        <v>0.995</v>
      </c>
      <c r="S28" s="122">
        <v>1</v>
      </c>
      <c r="T28" s="123">
        <v>2268529.1289360002</v>
      </c>
      <c r="U28" s="123">
        <v>2268.5291289360002</v>
      </c>
    </row>
    <row r="29" spans="1:21" ht="29.25" customHeight="1" x14ac:dyDescent="0.25">
      <c r="A29" s="26" t="s">
        <v>191</v>
      </c>
      <c r="B29" s="26">
        <v>366833</v>
      </c>
      <c r="C29" s="26">
        <v>0</v>
      </c>
      <c r="D29" s="6">
        <f t="shared" si="3"/>
        <v>0</v>
      </c>
      <c r="F29" s="114" t="s">
        <v>35</v>
      </c>
      <c r="G29" s="114" t="s">
        <v>71</v>
      </c>
      <c r="H29" s="124">
        <v>1</v>
      </c>
      <c r="I29" s="120">
        <v>594.29999999999995</v>
      </c>
      <c r="J29" s="116" t="s">
        <v>131</v>
      </c>
      <c r="K29" s="126">
        <v>1026</v>
      </c>
      <c r="L29" s="116" t="s">
        <v>132</v>
      </c>
      <c r="M29" s="116" t="s">
        <v>117</v>
      </c>
      <c r="N29" s="118">
        <v>609751.79999999993</v>
      </c>
      <c r="O29" s="119" t="s">
        <v>125</v>
      </c>
      <c r="P29" s="120">
        <v>53.06</v>
      </c>
      <c r="Q29" s="119" t="s">
        <v>126</v>
      </c>
      <c r="R29" s="121">
        <v>0.995</v>
      </c>
      <c r="S29" s="122">
        <v>1</v>
      </c>
      <c r="T29" s="123">
        <v>32191663.355459999</v>
      </c>
      <c r="U29" s="123">
        <v>32191.663355459998</v>
      </c>
    </row>
    <row r="30" spans="1:21" ht="27" customHeight="1" x14ac:dyDescent="0.25">
      <c r="A30" s="26" t="s">
        <v>192</v>
      </c>
      <c r="B30" s="26">
        <v>16380</v>
      </c>
      <c r="C30" s="26">
        <v>0</v>
      </c>
      <c r="D30" s="6">
        <f t="shared" si="3"/>
        <v>0</v>
      </c>
      <c r="F30" s="114" t="s">
        <v>36</v>
      </c>
      <c r="G30" s="114" t="s">
        <v>71</v>
      </c>
      <c r="H30" s="124">
        <v>1</v>
      </c>
      <c r="I30" s="120">
        <v>12440.73</v>
      </c>
      <c r="J30" s="116" t="s">
        <v>131</v>
      </c>
      <c r="K30" s="126">
        <v>1026</v>
      </c>
      <c r="L30" s="116" t="s">
        <v>132</v>
      </c>
      <c r="M30" s="116" t="s">
        <v>117</v>
      </c>
      <c r="N30" s="118">
        <v>12764188.98</v>
      </c>
      <c r="O30" s="119" t="s">
        <v>125</v>
      </c>
      <c r="P30" s="120">
        <v>53.06</v>
      </c>
      <c r="Q30" s="119" t="s">
        <v>126</v>
      </c>
      <c r="R30" s="121">
        <v>0.995</v>
      </c>
      <c r="S30" s="122">
        <v>1</v>
      </c>
      <c r="T30" s="123">
        <v>673881527.94240606</v>
      </c>
      <c r="U30" s="123">
        <v>673881.52794240601</v>
      </c>
    </row>
    <row r="31" spans="1:21" x14ac:dyDescent="0.25">
      <c r="A31" s="26" t="s">
        <v>193</v>
      </c>
      <c r="B31" s="26">
        <v>116842</v>
      </c>
      <c r="C31" s="26">
        <v>0</v>
      </c>
      <c r="D31" s="6">
        <f t="shared" si="3"/>
        <v>0</v>
      </c>
      <c r="F31" s="114" t="s">
        <v>37</v>
      </c>
      <c r="G31" s="114" t="s">
        <v>71</v>
      </c>
      <c r="H31" s="124">
        <v>1</v>
      </c>
      <c r="I31" s="120">
        <v>207.23</v>
      </c>
      <c r="J31" s="116" t="s">
        <v>131</v>
      </c>
      <c r="K31" s="126">
        <v>1026</v>
      </c>
      <c r="L31" s="116" t="s">
        <v>132</v>
      </c>
      <c r="M31" s="116" t="s">
        <v>117</v>
      </c>
      <c r="N31" s="118">
        <v>212617.97999999998</v>
      </c>
      <c r="O31" s="119" t="s">
        <v>125</v>
      </c>
      <c r="P31" s="120">
        <v>53.06</v>
      </c>
      <c r="Q31" s="119" t="s">
        <v>126</v>
      </c>
      <c r="R31" s="121">
        <v>0.995</v>
      </c>
      <c r="S31" s="122">
        <v>1</v>
      </c>
      <c r="T31" s="123">
        <v>11225102.468706001</v>
      </c>
      <c r="U31" s="123">
        <v>11225.102468706</v>
      </c>
    </row>
    <row r="32" spans="1:21" x14ac:dyDescent="0.25">
      <c r="A32" s="26" t="s">
        <v>189</v>
      </c>
      <c r="B32" s="26">
        <v>6436</v>
      </c>
      <c r="C32" s="26">
        <v>0</v>
      </c>
      <c r="D32" s="6">
        <f t="shared" si="3"/>
        <v>0</v>
      </c>
      <c r="F32" s="114" t="s">
        <v>178</v>
      </c>
      <c r="G32" s="127" t="s">
        <v>71</v>
      </c>
      <c r="H32" s="124">
        <v>1</v>
      </c>
      <c r="I32" s="120">
        <v>8.82</v>
      </c>
      <c r="J32" s="116" t="s">
        <v>131</v>
      </c>
      <c r="K32" s="126">
        <v>1026</v>
      </c>
      <c r="L32" s="116" t="s">
        <v>132</v>
      </c>
      <c r="M32" s="116" t="s">
        <v>117</v>
      </c>
      <c r="N32" s="118">
        <v>9049.32</v>
      </c>
      <c r="O32" s="119" t="s">
        <v>125</v>
      </c>
      <c r="P32" s="120">
        <v>53.06</v>
      </c>
      <c r="Q32" s="119" t="s">
        <v>126</v>
      </c>
      <c r="R32" s="121">
        <v>0.995</v>
      </c>
      <c r="S32" s="122">
        <v>1</v>
      </c>
      <c r="T32" s="123">
        <v>477756.13460400002</v>
      </c>
      <c r="U32" s="123">
        <v>477.75613460400001</v>
      </c>
    </row>
    <row r="33" spans="1:25" x14ac:dyDescent="0.25">
      <c r="A33" s="26" t="s">
        <v>190</v>
      </c>
      <c r="B33" s="26">
        <v>37550</v>
      </c>
      <c r="C33" s="26"/>
      <c r="D33" s="6">
        <f t="shared" si="3"/>
        <v>0</v>
      </c>
      <c r="F33" s="128"/>
      <c r="G33" s="129"/>
      <c r="H33" s="124">
        <v>1</v>
      </c>
      <c r="I33" s="120"/>
      <c r="J33" s="116"/>
      <c r="K33" s="126" t="s">
        <v>179</v>
      </c>
      <c r="L33" s="116" t="s">
        <v>179</v>
      </c>
      <c r="M33" s="116" t="s">
        <v>179</v>
      </c>
      <c r="N33" s="118">
        <v>0</v>
      </c>
      <c r="O33" s="119" t="s">
        <v>179</v>
      </c>
      <c r="P33" s="120" t="s">
        <v>179</v>
      </c>
      <c r="Q33" s="119" t="s">
        <v>179</v>
      </c>
      <c r="R33" s="121" t="s">
        <v>179</v>
      </c>
      <c r="S33" s="122" t="s">
        <v>179</v>
      </c>
      <c r="T33" s="123">
        <v>0</v>
      </c>
      <c r="U33" s="123">
        <v>0</v>
      </c>
    </row>
    <row r="34" spans="1:25" x14ac:dyDescent="0.25">
      <c r="A34" s="26" t="s">
        <v>218</v>
      </c>
      <c r="B34" s="26">
        <v>1283</v>
      </c>
      <c r="C34" s="26"/>
      <c r="D34" s="6">
        <f t="shared" si="3"/>
        <v>0</v>
      </c>
      <c r="F34" s="128" t="s">
        <v>63</v>
      </c>
      <c r="G34" s="129"/>
      <c r="H34" s="124">
        <v>1</v>
      </c>
      <c r="I34" s="120"/>
      <c r="J34" s="116"/>
      <c r="K34" s="126"/>
      <c r="L34" s="116"/>
      <c r="M34" s="116"/>
      <c r="N34" s="118">
        <v>0</v>
      </c>
      <c r="O34" s="119"/>
      <c r="P34" s="120"/>
      <c r="Q34" s="119"/>
      <c r="R34" s="121"/>
      <c r="S34" s="122"/>
      <c r="T34" s="123">
        <v>0</v>
      </c>
      <c r="U34" s="123">
        <v>0</v>
      </c>
    </row>
    <row r="35" spans="1:25" x14ac:dyDescent="0.25">
      <c r="A35" s="26" t="s">
        <v>169</v>
      </c>
      <c r="B35" s="26">
        <v>37288</v>
      </c>
      <c r="C35" s="26"/>
      <c r="D35" s="6">
        <f t="shared" si="3"/>
        <v>0</v>
      </c>
    </row>
    <row r="36" spans="1:25" x14ac:dyDescent="0.25">
      <c r="A36" s="26" t="s">
        <v>194</v>
      </c>
      <c r="B36" s="26">
        <v>561</v>
      </c>
      <c r="C36" s="26"/>
      <c r="D36" s="6">
        <f t="shared" si="3"/>
        <v>0</v>
      </c>
      <c r="F36" s="158">
        <v>2019</v>
      </c>
      <c r="I36" s="158" t="s">
        <v>86</v>
      </c>
      <c r="J36" s="158" t="s">
        <v>87</v>
      </c>
      <c r="K36" s="158" t="s">
        <v>88</v>
      </c>
      <c r="L36" s="158" t="s">
        <v>89</v>
      </c>
      <c r="M36" s="158" t="s">
        <v>90</v>
      </c>
      <c r="N36" s="158" t="s">
        <v>91</v>
      </c>
      <c r="O36" s="158" t="s">
        <v>92</v>
      </c>
      <c r="P36" s="158" t="s">
        <v>93</v>
      </c>
      <c r="Q36" s="158" t="s">
        <v>94</v>
      </c>
      <c r="R36" s="158" t="s">
        <v>95</v>
      </c>
      <c r="S36" s="158" t="s">
        <v>96</v>
      </c>
      <c r="T36" s="158" t="s">
        <v>97</v>
      </c>
      <c r="U36" s="158" t="s">
        <v>98</v>
      </c>
      <c r="V36" s="158" t="s">
        <v>233</v>
      </c>
    </row>
    <row r="37" spans="1:25" x14ac:dyDescent="0.25">
      <c r="A37" s="26" t="s">
        <v>195</v>
      </c>
      <c r="B37" s="26">
        <v>163</v>
      </c>
      <c r="C37" s="26"/>
      <c r="D37" s="6">
        <f t="shared" si="3"/>
        <v>0</v>
      </c>
      <c r="F37" s="67"/>
      <c r="G37" s="67"/>
      <c r="H37" s="68"/>
      <c r="I37" s="136" t="s">
        <v>99</v>
      </c>
      <c r="J37" s="136" t="s">
        <v>100</v>
      </c>
      <c r="K37" s="69" t="s">
        <v>101</v>
      </c>
      <c r="L37" s="135" t="s">
        <v>102</v>
      </c>
      <c r="M37" s="158" t="s">
        <v>103</v>
      </c>
      <c r="N37" s="158" t="s">
        <v>104</v>
      </c>
      <c r="O37" s="158" t="s">
        <v>105</v>
      </c>
      <c r="P37" s="158" t="s">
        <v>234</v>
      </c>
      <c r="Q37" s="158" t="s">
        <v>107</v>
      </c>
      <c r="R37" s="158" t="s">
        <v>235</v>
      </c>
      <c r="S37" s="158" t="s">
        <v>236</v>
      </c>
      <c r="T37" s="158" t="s">
        <v>109</v>
      </c>
      <c r="U37" s="158" t="s">
        <v>237</v>
      </c>
      <c r="V37" s="158" t="s">
        <v>238</v>
      </c>
      <c r="X37" s="160" t="s">
        <v>239</v>
      </c>
    </row>
    <row r="38" spans="1:25" x14ac:dyDescent="0.25">
      <c r="A38" s="27" t="s">
        <v>216</v>
      </c>
      <c r="B38" s="26">
        <v>2716</v>
      </c>
      <c r="C38" s="26"/>
      <c r="D38" s="6">
        <f t="shared" si="3"/>
        <v>0</v>
      </c>
      <c r="F38" s="67"/>
      <c r="G38" s="67"/>
      <c r="H38" s="68"/>
      <c r="I38" s="136"/>
      <c r="J38" s="136"/>
      <c r="K38" s="69"/>
      <c r="M38" s="158" t="s">
        <v>110</v>
      </c>
      <c r="N38" s="158" t="s">
        <v>111</v>
      </c>
      <c r="U38" s="158" t="s">
        <v>240</v>
      </c>
      <c r="V38" s="158" t="s">
        <v>241</v>
      </c>
      <c r="X38" s="160"/>
    </row>
    <row r="39" spans="1:25" ht="15.75" thickBot="1" x14ac:dyDescent="0.3">
      <c r="A39" s="27" t="s">
        <v>217</v>
      </c>
      <c r="B39" s="26">
        <v>868</v>
      </c>
      <c r="C39" s="26"/>
      <c r="D39" s="6">
        <f t="shared" si="3"/>
        <v>0</v>
      </c>
      <c r="F39" s="67"/>
      <c r="G39" s="67"/>
      <c r="H39" s="68"/>
      <c r="I39" s="136">
        <v>1000</v>
      </c>
      <c r="J39" s="136" t="s">
        <v>115</v>
      </c>
      <c r="K39" s="69">
        <v>5.0999999999999997E-2</v>
      </c>
      <c r="L39" s="158" t="s">
        <v>116</v>
      </c>
      <c r="M39" s="158" t="s">
        <v>117</v>
      </c>
      <c r="N39" s="158">
        <v>51</v>
      </c>
      <c r="O39" s="158" t="s">
        <v>118</v>
      </c>
      <c r="P39" s="158">
        <v>1E-3</v>
      </c>
      <c r="Q39" s="158" t="s">
        <v>242</v>
      </c>
      <c r="R39" s="158">
        <v>2E-3</v>
      </c>
      <c r="S39" s="158" t="s">
        <v>243</v>
      </c>
      <c r="T39" s="158">
        <v>1</v>
      </c>
      <c r="U39" s="158">
        <v>5.1000000000000004E-2</v>
      </c>
      <c r="V39" s="158">
        <v>0.10200000000000001</v>
      </c>
      <c r="X39" s="160"/>
    </row>
    <row r="40" spans="1:25" ht="16.5" thickTop="1" thickBot="1" x14ac:dyDescent="0.3">
      <c r="A40" s="1"/>
      <c r="B40" s="9">
        <f>SUM(B4:B39)</f>
        <v>11110193.477500001</v>
      </c>
      <c r="C40" s="163">
        <f>D40/B40</f>
        <v>0.27789522651257004</v>
      </c>
      <c r="D40" s="9">
        <f>SUM(D4:D39)</f>
        <v>3087469.7330283411</v>
      </c>
      <c r="F40" s="67" t="s">
        <v>120</v>
      </c>
      <c r="G40" s="67" t="s">
        <v>121</v>
      </c>
      <c r="H40" s="68" t="s">
        <v>122</v>
      </c>
      <c r="I40" s="136"/>
      <c r="J40" s="136"/>
      <c r="K40" s="69"/>
      <c r="X40" s="160"/>
    </row>
    <row r="41" spans="1:25" x14ac:dyDescent="0.25">
      <c r="F41" s="158" t="s">
        <v>32</v>
      </c>
      <c r="G41" s="158" t="s">
        <v>69</v>
      </c>
      <c r="H41" s="158">
        <v>0.15</v>
      </c>
      <c r="I41" s="158">
        <v>970451</v>
      </c>
      <c r="J41" s="158" t="s">
        <v>123</v>
      </c>
      <c r="K41" s="158">
        <v>17.024999999999999</v>
      </c>
      <c r="L41" s="158" t="s">
        <v>124</v>
      </c>
      <c r="M41" s="158" t="s">
        <v>117</v>
      </c>
      <c r="N41" s="158">
        <v>16521928.274999999</v>
      </c>
      <c r="O41" s="158" t="s">
        <v>244</v>
      </c>
      <c r="P41" s="158">
        <v>1.0999999999999999E-2</v>
      </c>
      <c r="Q41" s="158" t="s">
        <v>245</v>
      </c>
      <c r="R41" s="158">
        <v>1.6000000000000001E-3</v>
      </c>
      <c r="S41" s="158" t="s">
        <v>245</v>
      </c>
      <c r="T41" s="158">
        <v>1</v>
      </c>
      <c r="U41" s="158">
        <v>181741.21102499997</v>
      </c>
      <c r="V41" s="158">
        <v>26435.08524</v>
      </c>
      <c r="X41" s="160">
        <v>12094.051497299999</v>
      </c>
      <c r="Y41" s="158" t="s">
        <v>32</v>
      </c>
    </row>
    <row r="42" spans="1:25" x14ac:dyDescent="0.25">
      <c r="F42" s="158" t="s">
        <v>32</v>
      </c>
      <c r="G42" s="158" t="s">
        <v>127</v>
      </c>
      <c r="H42" s="158">
        <v>0.15</v>
      </c>
      <c r="I42" s="158">
        <v>2075</v>
      </c>
      <c r="J42" s="158" t="s">
        <v>128</v>
      </c>
      <c r="K42" s="158">
        <v>5.88</v>
      </c>
      <c r="L42" s="158" t="s">
        <v>246</v>
      </c>
      <c r="M42" s="158" t="s">
        <v>117</v>
      </c>
      <c r="N42" s="158">
        <v>12201</v>
      </c>
      <c r="O42" s="158" t="s">
        <v>125</v>
      </c>
      <c r="P42" s="158">
        <v>3.0000000000000001E-3</v>
      </c>
      <c r="Q42" s="158" t="s">
        <v>245</v>
      </c>
      <c r="R42" s="158">
        <v>5.9999999999999995E-4</v>
      </c>
      <c r="S42" s="158" t="s">
        <v>245</v>
      </c>
      <c r="T42" s="158">
        <v>1</v>
      </c>
      <c r="U42" s="158">
        <v>36.603000000000002</v>
      </c>
      <c r="V42" s="158">
        <v>7.3205999999999998</v>
      </c>
      <c r="X42" s="160">
        <v>2.9648429999999997</v>
      </c>
      <c r="Y42" s="158" t="s">
        <v>32</v>
      </c>
    </row>
    <row r="43" spans="1:25" x14ac:dyDescent="0.25">
      <c r="A43" s="154"/>
      <c r="B43" s="155"/>
      <c r="F43" s="158" t="s">
        <v>130</v>
      </c>
      <c r="G43" s="158" t="s">
        <v>71</v>
      </c>
      <c r="H43" s="158">
        <v>1</v>
      </c>
      <c r="I43" s="158">
        <v>2087.85</v>
      </c>
      <c r="J43" s="158" t="s">
        <v>131</v>
      </c>
      <c r="K43" s="158">
        <v>1026</v>
      </c>
      <c r="L43" s="158" t="s">
        <v>132</v>
      </c>
      <c r="M43" s="158" t="s">
        <v>117</v>
      </c>
      <c r="N43" s="158">
        <v>2142134.1</v>
      </c>
      <c r="O43" s="158" t="s">
        <v>244</v>
      </c>
      <c r="P43" s="158">
        <v>1E-3</v>
      </c>
      <c r="Q43" s="158" t="s">
        <v>245</v>
      </c>
      <c r="R43" s="158">
        <v>1E-4</v>
      </c>
      <c r="S43" s="158" t="s">
        <v>245</v>
      </c>
      <c r="T43" s="158">
        <v>1</v>
      </c>
      <c r="U43" s="158">
        <v>2142.1341000000002</v>
      </c>
      <c r="V43" s="158">
        <v>214.21341000000001</v>
      </c>
      <c r="X43" s="160">
        <v>116.74630845000002</v>
      </c>
      <c r="Y43" s="158" t="s">
        <v>130</v>
      </c>
    </row>
    <row r="44" spans="1:25" x14ac:dyDescent="0.25">
      <c r="A44" s="154"/>
      <c r="B44" s="156"/>
      <c r="C44" s="68"/>
      <c r="D44" s="69"/>
      <c r="F44" s="158" t="s">
        <v>133</v>
      </c>
      <c r="G44" s="158" t="s">
        <v>71</v>
      </c>
      <c r="H44" s="158">
        <v>1</v>
      </c>
      <c r="I44" s="158">
        <v>41.88</v>
      </c>
      <c r="J44" s="158" t="s">
        <v>131</v>
      </c>
      <c r="K44" s="158">
        <v>1026</v>
      </c>
      <c r="L44" s="158" t="s">
        <v>132</v>
      </c>
      <c r="M44" s="158" t="s">
        <v>117</v>
      </c>
      <c r="N44" s="158">
        <v>42968.880000000005</v>
      </c>
      <c r="O44" s="158" t="s">
        <v>125</v>
      </c>
      <c r="P44" s="158">
        <v>1E-3</v>
      </c>
      <c r="Q44" s="158" t="s">
        <v>245</v>
      </c>
      <c r="R44" s="158">
        <v>1E-4</v>
      </c>
      <c r="S44" s="158" t="s">
        <v>245</v>
      </c>
      <c r="T44" s="158">
        <v>1</v>
      </c>
      <c r="U44" s="158">
        <v>42.968880000000006</v>
      </c>
      <c r="V44" s="158">
        <v>4.2968880000000009</v>
      </c>
      <c r="X44" s="160">
        <v>2.34180396</v>
      </c>
      <c r="Y44" s="158" t="s">
        <v>133</v>
      </c>
    </row>
    <row r="45" spans="1:25" x14ac:dyDescent="0.25">
      <c r="A45" s="154"/>
      <c r="B45" s="156"/>
      <c r="C45" s="68"/>
      <c r="D45" s="69"/>
      <c r="F45" s="158" t="s">
        <v>35</v>
      </c>
      <c r="G45" s="158" t="s">
        <v>71</v>
      </c>
      <c r="H45" s="158">
        <v>1</v>
      </c>
      <c r="I45" s="158">
        <v>594.29999999999995</v>
      </c>
      <c r="J45" s="158" t="s">
        <v>131</v>
      </c>
      <c r="K45" s="158">
        <v>1026</v>
      </c>
      <c r="L45" s="158" t="s">
        <v>132</v>
      </c>
      <c r="M45" s="158" t="s">
        <v>117</v>
      </c>
      <c r="N45" s="158">
        <v>609751.79999999993</v>
      </c>
      <c r="O45" s="158" t="s">
        <v>244</v>
      </c>
      <c r="P45" s="158">
        <v>1E-3</v>
      </c>
      <c r="Q45" s="158" t="s">
        <v>245</v>
      </c>
      <c r="R45" s="158">
        <v>1E-4</v>
      </c>
      <c r="S45" s="158" t="s">
        <v>245</v>
      </c>
      <c r="T45" s="158">
        <v>1</v>
      </c>
      <c r="U45" s="158">
        <v>609.75179999999989</v>
      </c>
      <c r="V45" s="158">
        <v>60.975179999999995</v>
      </c>
      <c r="X45" s="160">
        <v>33.231473099999995</v>
      </c>
      <c r="Y45" s="158" t="s">
        <v>35</v>
      </c>
    </row>
    <row r="46" spans="1:25" x14ac:dyDescent="0.25">
      <c r="A46" s="154"/>
      <c r="B46" s="156"/>
      <c r="F46" s="158" t="s">
        <v>36</v>
      </c>
      <c r="G46" s="158" t="s">
        <v>71</v>
      </c>
      <c r="H46" s="158">
        <v>1</v>
      </c>
      <c r="I46" s="158">
        <v>12440.73</v>
      </c>
      <c r="J46" s="158" t="s">
        <v>131</v>
      </c>
      <c r="K46" s="158">
        <v>1026</v>
      </c>
      <c r="L46" s="158" t="s">
        <v>132</v>
      </c>
      <c r="M46" s="158" t="s">
        <v>117</v>
      </c>
      <c r="N46" s="158">
        <v>12764188.98</v>
      </c>
      <c r="O46" s="158" t="s">
        <v>125</v>
      </c>
      <c r="P46" s="158">
        <v>1E-3</v>
      </c>
      <c r="Q46" s="158" t="s">
        <v>245</v>
      </c>
      <c r="R46" s="158">
        <v>1E-4</v>
      </c>
      <c r="S46" s="158" t="s">
        <v>245</v>
      </c>
      <c r="T46" s="158">
        <v>1</v>
      </c>
      <c r="U46" s="158">
        <v>12764.188980000001</v>
      </c>
      <c r="V46" s="158">
        <v>1276.4188980000001</v>
      </c>
      <c r="X46" s="160">
        <v>695.64829940999994</v>
      </c>
      <c r="Y46" s="158" t="s">
        <v>36</v>
      </c>
    </row>
    <row r="47" spans="1:25" x14ac:dyDescent="0.25">
      <c r="A47" s="154"/>
      <c r="B47" s="156"/>
      <c r="F47" s="158" t="s">
        <v>37</v>
      </c>
      <c r="G47" s="158" t="s">
        <v>71</v>
      </c>
      <c r="H47" s="158">
        <v>1</v>
      </c>
      <c r="I47" s="158">
        <v>207.23</v>
      </c>
      <c r="J47" s="158" t="s">
        <v>131</v>
      </c>
      <c r="K47" s="158">
        <v>1026</v>
      </c>
      <c r="L47" s="158" t="s">
        <v>132</v>
      </c>
      <c r="M47" s="158" t="s">
        <v>117</v>
      </c>
      <c r="N47" s="158">
        <v>212617.97999999998</v>
      </c>
      <c r="O47" s="158" t="s">
        <v>244</v>
      </c>
      <c r="P47" s="158">
        <v>1E-3</v>
      </c>
      <c r="Q47" s="158" t="s">
        <v>245</v>
      </c>
      <c r="R47" s="158">
        <v>1E-4</v>
      </c>
      <c r="S47" s="158" t="s">
        <v>245</v>
      </c>
      <c r="T47" s="158">
        <v>1</v>
      </c>
      <c r="U47" s="158">
        <v>212.61797999999999</v>
      </c>
      <c r="V47" s="158">
        <v>21.261797999999999</v>
      </c>
      <c r="X47" s="160">
        <v>11.587679909999999</v>
      </c>
      <c r="Y47" s="158" t="s">
        <v>37</v>
      </c>
    </row>
    <row r="48" spans="1:25" x14ac:dyDescent="0.25">
      <c r="A48" s="154"/>
      <c r="B48" s="156"/>
      <c r="F48" s="158" t="s">
        <v>178</v>
      </c>
      <c r="G48" s="158" t="s">
        <v>71</v>
      </c>
      <c r="H48" s="158">
        <v>1</v>
      </c>
      <c r="I48" s="158">
        <v>8.82</v>
      </c>
      <c r="J48" s="158" t="s">
        <v>131</v>
      </c>
      <c r="K48" s="158">
        <v>1026</v>
      </c>
      <c r="L48" s="158" t="s">
        <v>132</v>
      </c>
      <c r="M48" s="158" t="s">
        <v>117</v>
      </c>
      <c r="N48" s="158">
        <v>9049.32</v>
      </c>
      <c r="O48" s="158" t="s">
        <v>125</v>
      </c>
      <c r="P48" s="158">
        <v>1E-3</v>
      </c>
      <c r="Q48" s="158" t="s">
        <v>245</v>
      </c>
      <c r="R48" s="158">
        <v>1E-4</v>
      </c>
      <c r="S48" s="158" t="s">
        <v>245</v>
      </c>
      <c r="T48" s="158">
        <v>1</v>
      </c>
      <c r="U48" s="158">
        <v>9.0493199999999998</v>
      </c>
      <c r="V48" s="158">
        <v>0.90493200000000007</v>
      </c>
      <c r="X48" s="160">
        <v>0.49318794000000005</v>
      </c>
      <c r="Y48" s="158" t="s">
        <v>178</v>
      </c>
    </row>
    <row r="49" spans="1:25" x14ac:dyDescent="0.25">
      <c r="A49" s="154"/>
      <c r="B49" s="156"/>
      <c r="H49" s="158">
        <v>1</v>
      </c>
      <c r="I49" s="158">
        <v>0</v>
      </c>
      <c r="J49" s="158">
        <v>0</v>
      </c>
      <c r="K49" s="158">
        <v>0</v>
      </c>
      <c r="L49" s="158" t="s">
        <v>179</v>
      </c>
      <c r="M49" s="158" t="s">
        <v>179</v>
      </c>
      <c r="N49" s="158" t="s">
        <v>179</v>
      </c>
      <c r="X49" s="160"/>
    </row>
    <row r="50" spans="1:25" x14ac:dyDescent="0.25">
      <c r="A50" s="154"/>
      <c r="B50" s="156"/>
      <c r="F50" s="158" t="s">
        <v>63</v>
      </c>
      <c r="H50" s="158">
        <v>1</v>
      </c>
      <c r="I50" s="158">
        <v>0</v>
      </c>
      <c r="J50" s="158">
        <v>0</v>
      </c>
      <c r="N50" s="158">
        <v>12664888</v>
      </c>
      <c r="O50" s="158" t="s">
        <v>125</v>
      </c>
      <c r="P50" s="158">
        <v>1E-3</v>
      </c>
      <c r="Q50" s="158" t="s">
        <v>245</v>
      </c>
      <c r="R50" s="158">
        <v>1E-4</v>
      </c>
      <c r="S50" s="158" t="s">
        <v>245</v>
      </c>
      <c r="T50" s="158">
        <v>1</v>
      </c>
      <c r="U50" s="158">
        <v>12664.888000000001</v>
      </c>
      <c r="V50" s="158">
        <v>1266.4888000000001</v>
      </c>
      <c r="X50" s="160">
        <v>690.2363959999999</v>
      </c>
      <c r="Y50" s="158" t="s">
        <v>63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topLeftCell="A31" workbookViewId="0">
      <selection activeCell="G60" sqref="G60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5" customFormat="1" ht="15" customHeight="1" thickBot="1" x14ac:dyDescent="0.3">
      <c r="A1" s="140" t="s">
        <v>171</v>
      </c>
      <c r="B1" s="141">
        <v>2019</v>
      </c>
      <c r="G1" s="174"/>
      <c r="H1" s="174"/>
      <c r="I1" s="174"/>
      <c r="J1" s="174"/>
    </row>
    <row r="2" spans="1:10" s="145" customFormat="1" ht="15" customHeight="1" x14ac:dyDescent="0.35">
      <c r="A2" s="134"/>
      <c r="B2" s="175" t="s">
        <v>250</v>
      </c>
      <c r="C2" s="175"/>
      <c r="D2" s="175"/>
      <c r="E2" s="176"/>
      <c r="F2" s="162">
        <v>0.437</v>
      </c>
      <c r="G2" s="145" t="s">
        <v>249</v>
      </c>
      <c r="H2" s="142"/>
      <c r="I2" s="142"/>
      <c r="J2" s="142"/>
    </row>
    <row r="3" spans="1:10" s="145" customFormat="1" ht="15" customHeight="1" x14ac:dyDescent="0.35">
      <c r="E3" s="145" t="s">
        <v>172</v>
      </c>
      <c r="F3" s="137">
        <f>'Known Resources'!C40</f>
        <v>0.27789522651257004</v>
      </c>
      <c r="G3" s="145" t="s">
        <v>249</v>
      </c>
    </row>
    <row r="4" spans="1:10" ht="49.5" customHeight="1" x14ac:dyDescent="0.25">
      <c r="A4" s="138" t="s">
        <v>155</v>
      </c>
      <c r="B4" s="138" t="s">
        <v>156</v>
      </c>
      <c r="D4" s="138" t="s">
        <v>155</v>
      </c>
      <c r="E4" s="138" t="s">
        <v>157</v>
      </c>
      <c r="F4" s="138" t="s">
        <v>173</v>
      </c>
      <c r="G4" s="139" t="s">
        <v>251</v>
      </c>
    </row>
    <row r="5" spans="1:10" ht="15" customHeight="1" x14ac:dyDescent="0.25">
      <c r="A5" s="159" t="s">
        <v>196</v>
      </c>
      <c r="B5" s="147">
        <v>107346</v>
      </c>
      <c r="C5" s="145"/>
      <c r="D5" s="159" t="s">
        <v>196</v>
      </c>
      <c r="E5" s="147">
        <v>243580</v>
      </c>
      <c r="F5" s="148">
        <f>B5-E5</f>
        <v>-136234</v>
      </c>
      <c r="G5" s="150">
        <f>IF(F5&gt;0,F5*$F$2,F5*$F$3)</f>
        <v>-37858.778288713467</v>
      </c>
    </row>
    <row r="6" spans="1:10" ht="15" customHeight="1" x14ac:dyDescent="0.25">
      <c r="A6" s="159" t="s">
        <v>46</v>
      </c>
      <c r="B6" s="147">
        <v>0</v>
      </c>
      <c r="C6" s="145"/>
      <c r="D6" s="159" t="s">
        <v>46</v>
      </c>
      <c r="E6" s="147">
        <v>1565</v>
      </c>
      <c r="F6" s="148">
        <f t="shared" ref="F6:F60" si="0">B6-E6</f>
        <v>-1565</v>
      </c>
      <c r="G6" s="150">
        <f t="shared" ref="G6:G60" si="1">IF(F6&gt;0,F6*$F$2,F6*$F$3)</f>
        <v>-434.90602949217208</v>
      </c>
    </row>
    <row r="7" spans="1:10" ht="15" customHeight="1" x14ac:dyDescent="0.25">
      <c r="A7" s="159" t="s">
        <v>158</v>
      </c>
      <c r="B7" s="147">
        <v>358696</v>
      </c>
      <c r="C7" s="145"/>
      <c r="D7" s="159" t="s">
        <v>158</v>
      </c>
      <c r="E7" s="147">
        <v>107605</v>
      </c>
      <c r="F7" s="148">
        <f t="shared" si="0"/>
        <v>251091</v>
      </c>
      <c r="G7" s="150">
        <f t="shared" si="1"/>
        <v>109726.76700000001</v>
      </c>
    </row>
    <row r="8" spans="1:10" ht="15" customHeight="1" x14ac:dyDescent="0.25">
      <c r="A8" s="159" t="s">
        <v>47</v>
      </c>
      <c r="B8" s="147">
        <v>48</v>
      </c>
      <c r="C8" s="148"/>
      <c r="D8" s="159" t="s">
        <v>47</v>
      </c>
      <c r="E8" s="147">
        <v>4000</v>
      </c>
      <c r="F8" s="148">
        <f t="shared" si="0"/>
        <v>-3952</v>
      </c>
      <c r="G8" s="150">
        <f t="shared" si="1"/>
        <v>-1098.2419351776769</v>
      </c>
    </row>
    <row r="9" spans="1:10" ht="15" customHeight="1" x14ac:dyDescent="0.25">
      <c r="A9" s="159" t="s">
        <v>180</v>
      </c>
      <c r="B9" s="147">
        <v>0</v>
      </c>
      <c r="C9" s="145"/>
      <c r="D9" s="159" t="s">
        <v>180</v>
      </c>
      <c r="E9" s="147">
        <v>5</v>
      </c>
      <c r="F9" s="148">
        <f t="shared" si="0"/>
        <v>-5</v>
      </c>
      <c r="G9" s="150">
        <f t="shared" si="1"/>
        <v>-1.3894761325628502</v>
      </c>
    </row>
    <row r="10" spans="1:10" ht="15" customHeight="1" x14ac:dyDescent="0.25">
      <c r="A10" s="159" t="s">
        <v>159</v>
      </c>
      <c r="B10" s="147">
        <v>2776</v>
      </c>
      <c r="C10" s="148"/>
      <c r="D10" s="159" t="s">
        <v>159</v>
      </c>
      <c r="E10" s="147">
        <v>20030</v>
      </c>
      <c r="F10" s="148">
        <f t="shared" si="0"/>
        <v>-17254</v>
      </c>
      <c r="G10" s="150">
        <f t="shared" si="1"/>
        <v>-4794.8042382478834</v>
      </c>
    </row>
    <row r="11" spans="1:10" ht="15" customHeight="1" x14ac:dyDescent="0.25">
      <c r="A11" s="159" t="s">
        <v>197</v>
      </c>
      <c r="B11" s="147">
        <v>21707</v>
      </c>
      <c r="C11" s="145"/>
      <c r="D11" s="159" t="s">
        <v>197</v>
      </c>
      <c r="E11" s="147">
        <v>272928</v>
      </c>
      <c r="F11" s="148">
        <f t="shared" si="0"/>
        <v>-251221</v>
      </c>
      <c r="G11" s="150">
        <f t="shared" si="1"/>
        <v>-69813.116699714359</v>
      </c>
    </row>
    <row r="12" spans="1:10" ht="15" customHeight="1" x14ac:dyDescent="0.25">
      <c r="A12" s="159" t="s">
        <v>174</v>
      </c>
      <c r="B12" s="147">
        <v>13452</v>
      </c>
      <c r="C12" s="145"/>
      <c r="D12" s="159" t="s">
        <v>174</v>
      </c>
      <c r="E12" s="147">
        <v>46700</v>
      </c>
      <c r="F12" s="148">
        <f t="shared" si="0"/>
        <v>-33248</v>
      </c>
      <c r="G12" s="150">
        <f t="shared" si="1"/>
        <v>-9239.4604910899288</v>
      </c>
    </row>
    <row r="13" spans="1:10" ht="15" customHeight="1" x14ac:dyDescent="0.25">
      <c r="A13" s="159" t="s">
        <v>48</v>
      </c>
      <c r="B13" s="147">
        <v>0</v>
      </c>
      <c r="C13" s="145"/>
      <c r="D13" s="159" t="s">
        <v>48</v>
      </c>
      <c r="E13" s="147">
        <v>19552</v>
      </c>
      <c r="F13" s="148">
        <f t="shared" si="0"/>
        <v>-19552</v>
      </c>
      <c r="G13" s="150">
        <f t="shared" si="1"/>
        <v>-5433.4074687737693</v>
      </c>
    </row>
    <row r="14" spans="1:10" ht="15" customHeight="1" x14ac:dyDescent="0.25">
      <c r="A14" s="159" t="s">
        <v>198</v>
      </c>
      <c r="B14" s="147">
        <v>704</v>
      </c>
      <c r="C14" s="145"/>
      <c r="D14" s="159" t="s">
        <v>198</v>
      </c>
      <c r="E14" s="147">
        <v>2051</v>
      </c>
      <c r="F14" s="148">
        <f t="shared" si="0"/>
        <v>-1347</v>
      </c>
      <c r="G14" s="150">
        <f t="shared" si="1"/>
        <v>-374.32487011243182</v>
      </c>
    </row>
    <row r="15" spans="1:10" ht="15" customHeight="1" x14ac:dyDescent="0.25">
      <c r="A15" s="159" t="s">
        <v>175</v>
      </c>
      <c r="B15" s="147">
        <v>15600</v>
      </c>
      <c r="C15" s="145"/>
      <c r="D15" s="159" t="s">
        <v>175</v>
      </c>
      <c r="E15" s="147">
        <v>67740</v>
      </c>
      <c r="F15" s="148">
        <f t="shared" si="0"/>
        <v>-52140</v>
      </c>
      <c r="G15" s="150">
        <f t="shared" si="1"/>
        <v>-14489.457110365402</v>
      </c>
    </row>
    <row r="16" spans="1:10" ht="15" customHeight="1" x14ac:dyDescent="0.25">
      <c r="A16" s="159" t="s">
        <v>219</v>
      </c>
      <c r="B16" s="147">
        <v>366</v>
      </c>
      <c r="C16" s="145"/>
      <c r="D16" s="159" t="s">
        <v>219</v>
      </c>
      <c r="E16" s="147">
        <v>0</v>
      </c>
      <c r="F16" s="148">
        <f t="shared" si="0"/>
        <v>366</v>
      </c>
      <c r="G16" s="150">
        <f t="shared" si="1"/>
        <v>159.94200000000001</v>
      </c>
    </row>
    <row r="17" spans="1:7" ht="15" customHeight="1" x14ac:dyDescent="0.25">
      <c r="A17" s="159" t="s">
        <v>181</v>
      </c>
      <c r="B17" s="147">
        <v>960</v>
      </c>
      <c r="C17" s="145"/>
      <c r="D17" s="159" t="s">
        <v>181</v>
      </c>
      <c r="E17" s="147">
        <v>183998</v>
      </c>
      <c r="F17" s="148">
        <f t="shared" si="0"/>
        <v>-183038</v>
      </c>
      <c r="G17" s="150">
        <f t="shared" si="1"/>
        <v>-50865.386470407793</v>
      </c>
    </row>
    <row r="18" spans="1:7" ht="15" customHeight="1" x14ac:dyDescent="0.25">
      <c r="A18" s="159" t="s">
        <v>49</v>
      </c>
      <c r="B18" s="147">
        <v>12565</v>
      </c>
      <c r="C18" s="145"/>
      <c r="D18" s="159" t="s">
        <v>160</v>
      </c>
      <c r="E18" s="147">
        <v>137664</v>
      </c>
      <c r="F18" s="148">
        <f t="shared" si="0"/>
        <v>-125099</v>
      </c>
      <c r="G18" s="150">
        <f t="shared" si="1"/>
        <v>-34764.414941495997</v>
      </c>
    </row>
    <row r="19" spans="1:7" ht="15" customHeight="1" x14ac:dyDescent="0.25">
      <c r="A19" s="159" t="s">
        <v>220</v>
      </c>
      <c r="B19" s="147">
        <v>1</v>
      </c>
      <c r="C19" s="145"/>
      <c r="D19" s="159" t="s">
        <v>220</v>
      </c>
      <c r="E19" s="147">
        <v>0</v>
      </c>
      <c r="F19" s="148">
        <f t="shared" si="0"/>
        <v>1</v>
      </c>
      <c r="G19" s="150">
        <f t="shared" si="1"/>
        <v>0.437</v>
      </c>
    </row>
    <row r="20" spans="1:7" ht="15" customHeight="1" x14ac:dyDescent="0.25">
      <c r="A20" s="159" t="s">
        <v>199</v>
      </c>
      <c r="B20" s="147">
        <v>90</v>
      </c>
      <c r="C20" s="145"/>
      <c r="D20" s="159" t="s">
        <v>199</v>
      </c>
      <c r="E20" s="147">
        <v>27554</v>
      </c>
      <c r="F20" s="148">
        <f t="shared" si="0"/>
        <v>-27464</v>
      </c>
      <c r="G20" s="150">
        <f t="shared" si="1"/>
        <v>-7632.1145009412239</v>
      </c>
    </row>
    <row r="21" spans="1:7" ht="15" customHeight="1" x14ac:dyDescent="0.25">
      <c r="A21" s="159" t="s">
        <v>50</v>
      </c>
      <c r="B21" s="147">
        <v>14585</v>
      </c>
      <c r="C21" s="145"/>
      <c r="D21" s="159" t="s">
        <v>50</v>
      </c>
      <c r="E21" s="147">
        <v>35184</v>
      </c>
      <c r="F21" s="148">
        <f t="shared" si="0"/>
        <v>-20599</v>
      </c>
      <c r="G21" s="150">
        <f t="shared" si="1"/>
        <v>-5724.3637709324303</v>
      </c>
    </row>
    <row r="22" spans="1:7" ht="15" customHeight="1" x14ac:dyDescent="0.25">
      <c r="A22" s="159" t="s">
        <v>161</v>
      </c>
      <c r="B22" s="147">
        <v>1217</v>
      </c>
      <c r="C22" s="145"/>
      <c r="D22" s="159" t="s">
        <v>161</v>
      </c>
      <c r="E22" s="147">
        <v>17110</v>
      </c>
      <c r="F22" s="148">
        <f t="shared" si="0"/>
        <v>-15893</v>
      </c>
      <c r="G22" s="150">
        <f t="shared" si="1"/>
        <v>-4416.5888349642755</v>
      </c>
    </row>
    <row r="23" spans="1:7" ht="15" customHeight="1" x14ac:dyDescent="0.25">
      <c r="A23" s="159" t="s">
        <v>224</v>
      </c>
      <c r="B23" s="147">
        <v>0</v>
      </c>
      <c r="C23" s="145"/>
      <c r="D23" s="159" t="s">
        <v>224</v>
      </c>
      <c r="E23" s="147">
        <v>2200</v>
      </c>
      <c r="F23" s="148">
        <f t="shared" si="0"/>
        <v>-2200</v>
      </c>
      <c r="G23" s="150">
        <f t="shared" si="1"/>
        <v>-611.36949832765413</v>
      </c>
    </row>
    <row r="24" spans="1:7" ht="15" customHeight="1" x14ac:dyDescent="0.25">
      <c r="A24" s="159" t="s">
        <v>51</v>
      </c>
      <c r="B24" s="147">
        <v>26826</v>
      </c>
      <c r="C24" s="145"/>
      <c r="D24" s="159" t="s">
        <v>51</v>
      </c>
      <c r="E24" s="147">
        <v>26105</v>
      </c>
      <c r="F24" s="148">
        <f t="shared" si="0"/>
        <v>721</v>
      </c>
      <c r="G24" s="150">
        <f t="shared" si="1"/>
        <v>315.077</v>
      </c>
    </row>
    <row r="25" spans="1:7" ht="15" customHeight="1" x14ac:dyDescent="0.25">
      <c r="A25" s="159" t="s">
        <v>52</v>
      </c>
      <c r="B25" s="147">
        <v>7</v>
      </c>
      <c r="C25" s="145"/>
      <c r="D25" s="159" t="s">
        <v>52</v>
      </c>
      <c r="E25" s="147">
        <v>2</v>
      </c>
      <c r="F25" s="148">
        <f t="shared" si="0"/>
        <v>5</v>
      </c>
      <c r="G25" s="150">
        <f t="shared" si="1"/>
        <v>2.1850000000000001</v>
      </c>
    </row>
    <row r="26" spans="1:7" ht="15" customHeight="1" x14ac:dyDescent="0.25">
      <c r="A26" s="159" t="s">
        <v>200</v>
      </c>
      <c r="B26" s="147">
        <v>5</v>
      </c>
      <c r="C26" s="145"/>
      <c r="D26" s="159" t="s">
        <v>200</v>
      </c>
      <c r="E26" s="147">
        <v>364</v>
      </c>
      <c r="F26" s="148">
        <f t="shared" si="0"/>
        <v>-359</v>
      </c>
      <c r="G26" s="150">
        <f t="shared" si="1"/>
        <v>-99.76438631801264</v>
      </c>
    </row>
    <row r="27" spans="1:7" ht="15" customHeight="1" x14ac:dyDescent="0.25">
      <c r="A27" s="159" t="s">
        <v>201</v>
      </c>
      <c r="B27" s="147">
        <v>2752</v>
      </c>
      <c r="C27" s="145"/>
      <c r="D27" s="159" t="s">
        <v>201</v>
      </c>
      <c r="E27" s="147">
        <v>0</v>
      </c>
      <c r="F27" s="148">
        <f t="shared" si="0"/>
        <v>2752</v>
      </c>
      <c r="G27" s="150">
        <f t="shared" si="1"/>
        <v>1202.624</v>
      </c>
    </row>
    <row r="28" spans="1:7" ht="15" customHeight="1" x14ac:dyDescent="0.25">
      <c r="A28" s="159" t="s">
        <v>53</v>
      </c>
      <c r="B28" s="147">
        <v>176842</v>
      </c>
      <c r="C28" s="145"/>
      <c r="D28" s="159" t="s">
        <v>53</v>
      </c>
      <c r="E28" s="147">
        <v>11106</v>
      </c>
      <c r="F28" s="148">
        <f t="shared" si="0"/>
        <v>165736</v>
      </c>
      <c r="G28" s="150">
        <f t="shared" si="1"/>
        <v>72426.631999999998</v>
      </c>
    </row>
    <row r="29" spans="1:7" ht="15" customHeight="1" x14ac:dyDescent="0.25">
      <c r="A29" s="159" t="s">
        <v>162</v>
      </c>
      <c r="B29" s="147">
        <v>139</v>
      </c>
      <c r="C29" s="145"/>
      <c r="D29" s="159" t="s">
        <v>162</v>
      </c>
      <c r="E29" s="147">
        <v>0</v>
      </c>
      <c r="F29" s="148">
        <f t="shared" si="0"/>
        <v>139</v>
      </c>
      <c r="G29" s="150">
        <f t="shared" si="1"/>
        <v>60.743000000000002</v>
      </c>
    </row>
    <row r="30" spans="1:7" ht="15" customHeight="1" x14ac:dyDescent="0.25">
      <c r="A30" s="159" t="s">
        <v>54</v>
      </c>
      <c r="B30" s="147">
        <v>1235</v>
      </c>
      <c r="C30" s="145"/>
      <c r="D30" s="159" t="s">
        <v>54</v>
      </c>
      <c r="E30" s="147">
        <v>1266</v>
      </c>
      <c r="F30" s="148">
        <f t="shared" si="0"/>
        <v>-31</v>
      </c>
      <c r="G30" s="150">
        <f t="shared" si="1"/>
        <v>-8.6147520218896716</v>
      </c>
    </row>
    <row r="31" spans="1:7" ht="15" customHeight="1" x14ac:dyDescent="0.25">
      <c r="A31" s="159" t="s">
        <v>55</v>
      </c>
      <c r="B31" s="147">
        <v>39822</v>
      </c>
      <c r="C31" s="145"/>
      <c r="D31" s="159" t="s">
        <v>55</v>
      </c>
      <c r="E31" s="147">
        <v>111119</v>
      </c>
      <c r="F31" s="148">
        <f t="shared" si="0"/>
        <v>-71297</v>
      </c>
      <c r="G31" s="150">
        <f t="shared" si="1"/>
        <v>-19813.095964666707</v>
      </c>
    </row>
    <row r="32" spans="1:7" ht="15" customHeight="1" x14ac:dyDescent="0.25">
      <c r="A32" s="159" t="s">
        <v>56</v>
      </c>
      <c r="B32" s="147">
        <v>37315</v>
      </c>
      <c r="C32" s="145"/>
      <c r="D32" s="159" t="s">
        <v>56</v>
      </c>
      <c r="E32" s="147">
        <v>418081</v>
      </c>
      <c r="F32" s="148">
        <f t="shared" si="0"/>
        <v>-380766</v>
      </c>
      <c r="G32" s="150">
        <f t="shared" si="1"/>
        <v>-105813.05381828525</v>
      </c>
    </row>
    <row r="33" spans="1:7" ht="15" customHeight="1" x14ac:dyDescent="0.25">
      <c r="A33" s="159" t="s">
        <v>214</v>
      </c>
      <c r="B33" s="147">
        <v>0</v>
      </c>
      <c r="C33" s="145"/>
      <c r="D33" s="159" t="s">
        <v>214</v>
      </c>
      <c r="E33" s="147">
        <v>299</v>
      </c>
      <c r="F33" s="148">
        <f t="shared" si="0"/>
        <v>-299</v>
      </c>
      <c r="G33" s="150">
        <f t="shared" si="1"/>
        <v>-83.090672727258436</v>
      </c>
    </row>
    <row r="34" spans="1:7" ht="15" customHeight="1" x14ac:dyDescent="0.25">
      <c r="A34" s="159" t="s">
        <v>202</v>
      </c>
      <c r="B34" s="147">
        <v>1</v>
      </c>
      <c r="C34" s="145"/>
      <c r="D34" s="159" t="s">
        <v>202</v>
      </c>
      <c r="E34" s="147">
        <v>2085</v>
      </c>
      <c r="F34" s="148">
        <f t="shared" si="0"/>
        <v>-2084</v>
      </c>
      <c r="G34" s="150">
        <f t="shared" si="1"/>
        <v>-579.133652052196</v>
      </c>
    </row>
    <row r="35" spans="1:7" ht="15" customHeight="1" x14ac:dyDescent="0.25">
      <c r="A35" s="159" t="s">
        <v>203</v>
      </c>
      <c r="B35" s="147">
        <v>2600</v>
      </c>
      <c r="C35" s="145"/>
      <c r="D35" s="159" t="s">
        <v>203</v>
      </c>
      <c r="E35" s="147">
        <v>0</v>
      </c>
      <c r="F35" s="148">
        <f t="shared" si="0"/>
        <v>2600</v>
      </c>
      <c r="G35" s="150">
        <f t="shared" si="1"/>
        <v>1136.2</v>
      </c>
    </row>
    <row r="36" spans="1:7" ht="15" customHeight="1" x14ac:dyDescent="0.25">
      <c r="A36" s="159" t="s">
        <v>163</v>
      </c>
      <c r="B36" s="147">
        <v>20220</v>
      </c>
      <c r="C36" s="151"/>
      <c r="D36" s="159" t="s">
        <v>163</v>
      </c>
      <c r="E36" s="147">
        <v>96106</v>
      </c>
      <c r="F36" s="148">
        <f t="shared" si="0"/>
        <v>-75886</v>
      </c>
      <c r="G36" s="150">
        <f t="shared" si="1"/>
        <v>-21088.357159132891</v>
      </c>
    </row>
    <row r="37" spans="1:7" ht="15" customHeight="1" x14ac:dyDescent="0.25">
      <c r="A37" s="159" t="s">
        <v>57</v>
      </c>
      <c r="B37" s="147">
        <v>49962</v>
      </c>
      <c r="C37" s="145"/>
      <c r="D37" s="159" t="s">
        <v>57</v>
      </c>
      <c r="E37" s="147">
        <v>142794</v>
      </c>
      <c r="F37" s="148">
        <f t="shared" si="0"/>
        <v>-92832</v>
      </c>
      <c r="G37" s="150">
        <f t="shared" si="1"/>
        <v>-25797.569667614902</v>
      </c>
    </row>
    <row r="38" spans="1:7" ht="15" customHeight="1" x14ac:dyDescent="0.25">
      <c r="A38" s="159" t="s">
        <v>164</v>
      </c>
      <c r="B38" s="147">
        <v>65106</v>
      </c>
      <c r="C38" s="145"/>
      <c r="D38" s="159" t="s">
        <v>164</v>
      </c>
      <c r="E38" s="147">
        <v>98596</v>
      </c>
      <c r="F38" s="148">
        <f t="shared" si="0"/>
        <v>-33490</v>
      </c>
      <c r="G38" s="150">
        <f t="shared" si="1"/>
        <v>-9306.7111359059709</v>
      </c>
    </row>
    <row r="39" spans="1:7" ht="15" customHeight="1" x14ac:dyDescent="0.25">
      <c r="A39" s="159" t="s">
        <v>58</v>
      </c>
      <c r="B39" s="147">
        <v>101729</v>
      </c>
      <c r="C39" s="145"/>
      <c r="D39" s="159" t="s">
        <v>58</v>
      </c>
      <c r="E39" s="147">
        <v>100531</v>
      </c>
      <c r="F39" s="148">
        <f t="shared" si="0"/>
        <v>1198</v>
      </c>
      <c r="G39" s="150">
        <f t="shared" si="1"/>
        <v>523.52599999999995</v>
      </c>
    </row>
    <row r="40" spans="1:7" ht="15" customHeight="1" x14ac:dyDescent="0.25">
      <c r="A40" s="159" t="s">
        <v>59</v>
      </c>
      <c r="B40" s="147">
        <v>44295</v>
      </c>
      <c r="C40" s="145"/>
      <c r="D40" s="159" t="s">
        <v>59</v>
      </c>
      <c r="E40" s="147">
        <v>26794</v>
      </c>
      <c r="F40" s="148">
        <f t="shared" si="0"/>
        <v>17501</v>
      </c>
      <c r="G40" s="150">
        <f t="shared" si="1"/>
        <v>7647.9369999999999</v>
      </c>
    </row>
    <row r="41" spans="1:7" ht="15" customHeight="1" x14ac:dyDescent="0.25">
      <c r="A41" s="159" t="s">
        <v>60</v>
      </c>
      <c r="B41" s="147">
        <v>9170</v>
      </c>
      <c r="C41" s="145"/>
      <c r="D41" s="159" t="s">
        <v>60</v>
      </c>
      <c r="E41" s="147">
        <v>12045</v>
      </c>
      <c r="F41" s="148">
        <f t="shared" si="0"/>
        <v>-2875</v>
      </c>
      <c r="G41" s="150">
        <f t="shared" si="1"/>
        <v>-798.9487762236389</v>
      </c>
    </row>
    <row r="42" spans="1:7" ht="15" customHeight="1" x14ac:dyDescent="0.25">
      <c r="A42" s="159" t="s">
        <v>61</v>
      </c>
      <c r="B42" s="147">
        <v>6712</v>
      </c>
      <c r="C42" s="145"/>
      <c r="D42" s="159" t="s">
        <v>61</v>
      </c>
      <c r="E42" s="147">
        <v>82673</v>
      </c>
      <c r="F42" s="148">
        <f t="shared" si="0"/>
        <v>-75961</v>
      </c>
      <c r="G42" s="150">
        <f t="shared" si="1"/>
        <v>-21109.199301121331</v>
      </c>
    </row>
    <row r="43" spans="1:7" ht="15" customHeight="1" x14ac:dyDescent="0.25">
      <c r="A43" s="159" t="s">
        <v>204</v>
      </c>
      <c r="B43" s="147">
        <v>246</v>
      </c>
      <c r="C43" s="145"/>
      <c r="D43" s="159" t="s">
        <v>204</v>
      </c>
      <c r="E43" s="147">
        <v>405</v>
      </c>
      <c r="F43" s="148">
        <f t="shared" si="0"/>
        <v>-159</v>
      </c>
      <c r="G43" s="150">
        <f t="shared" si="1"/>
        <v>-44.185341015498636</v>
      </c>
    </row>
    <row r="44" spans="1:7" ht="15" customHeight="1" x14ac:dyDescent="0.25">
      <c r="A44" s="159" t="s">
        <v>165</v>
      </c>
      <c r="B44" s="147">
        <v>72659</v>
      </c>
      <c r="C44" s="145"/>
      <c r="D44" s="159" t="s">
        <v>165</v>
      </c>
      <c r="E44" s="147">
        <v>167048</v>
      </c>
      <c r="F44" s="148">
        <f t="shared" si="0"/>
        <v>-94389</v>
      </c>
      <c r="G44" s="150">
        <f t="shared" si="1"/>
        <v>-26230.252535294974</v>
      </c>
    </row>
    <row r="45" spans="1:7" ht="15" customHeight="1" x14ac:dyDescent="0.25">
      <c r="A45" s="159" t="s">
        <v>62</v>
      </c>
      <c r="B45" s="147">
        <v>0</v>
      </c>
      <c r="C45" s="145"/>
      <c r="D45" s="159" t="s">
        <v>62</v>
      </c>
      <c r="E45" s="147">
        <v>389</v>
      </c>
      <c r="F45" s="148">
        <f t="shared" si="0"/>
        <v>-389</v>
      </c>
      <c r="G45" s="150">
        <f t="shared" si="1"/>
        <v>-108.10124311338974</v>
      </c>
    </row>
    <row r="46" spans="1:7" ht="15" customHeight="1" x14ac:dyDescent="0.25">
      <c r="A46" s="159" t="s">
        <v>64</v>
      </c>
      <c r="B46" s="147">
        <v>13448</v>
      </c>
      <c r="C46" s="145"/>
      <c r="D46" s="159" t="s">
        <v>64</v>
      </c>
      <c r="E46" s="147">
        <v>12468</v>
      </c>
      <c r="F46" s="148">
        <f t="shared" si="0"/>
        <v>980</v>
      </c>
      <c r="G46" s="150">
        <f t="shared" si="1"/>
        <v>428.26</v>
      </c>
    </row>
    <row r="47" spans="1:7" ht="15" customHeight="1" x14ac:dyDescent="0.25">
      <c r="A47" s="159" t="s">
        <v>205</v>
      </c>
      <c r="B47" s="147">
        <v>97508</v>
      </c>
      <c r="C47" s="145"/>
      <c r="D47" s="159" t="s">
        <v>205</v>
      </c>
      <c r="E47" s="147">
        <v>122961</v>
      </c>
      <c r="F47" s="148">
        <f t="shared" si="0"/>
        <v>-25453</v>
      </c>
      <c r="G47" s="150">
        <f t="shared" si="1"/>
        <v>-7073.267200424445</v>
      </c>
    </row>
    <row r="48" spans="1:7" ht="15" customHeight="1" x14ac:dyDescent="0.25">
      <c r="A48" s="159" t="s">
        <v>166</v>
      </c>
      <c r="B48" s="147">
        <v>0</v>
      </c>
      <c r="C48" s="145"/>
      <c r="D48" s="159" t="s">
        <v>166</v>
      </c>
      <c r="E48" s="147">
        <v>5</v>
      </c>
      <c r="F48" s="148">
        <f t="shared" si="0"/>
        <v>-5</v>
      </c>
      <c r="G48" s="150">
        <f t="shared" si="1"/>
        <v>-1.3894761325628502</v>
      </c>
    </row>
    <row r="49" spans="1:7" ht="15" customHeight="1" x14ac:dyDescent="0.25">
      <c r="A49" s="159" t="s">
        <v>65</v>
      </c>
      <c r="B49" s="147">
        <v>0</v>
      </c>
      <c r="C49" s="145"/>
      <c r="D49" s="159" t="s">
        <v>65</v>
      </c>
      <c r="E49" s="147">
        <v>15</v>
      </c>
      <c r="F49" s="148">
        <f t="shared" si="0"/>
        <v>-15</v>
      </c>
      <c r="G49" s="150">
        <f t="shared" si="1"/>
        <v>-4.168428397688551</v>
      </c>
    </row>
    <row r="50" spans="1:7" ht="15" customHeight="1" x14ac:dyDescent="0.25">
      <c r="A50" s="159" t="s">
        <v>221</v>
      </c>
      <c r="B50" s="147">
        <v>18540</v>
      </c>
      <c r="C50" s="151"/>
      <c r="D50" s="159" t="s">
        <v>221</v>
      </c>
      <c r="E50" s="147">
        <v>36063</v>
      </c>
      <c r="F50" s="148">
        <f t="shared" si="0"/>
        <v>-17523</v>
      </c>
      <c r="G50" s="150">
        <f t="shared" si="1"/>
        <v>-4869.5580541797644</v>
      </c>
    </row>
    <row r="51" spans="1:7" ht="15" customHeight="1" x14ac:dyDescent="0.25">
      <c r="A51" s="159" t="s">
        <v>66</v>
      </c>
      <c r="B51" s="147">
        <v>7539</v>
      </c>
      <c r="C51" s="145"/>
      <c r="D51" s="159" t="s">
        <v>66</v>
      </c>
      <c r="E51" s="147">
        <v>13629</v>
      </c>
      <c r="F51" s="148">
        <f t="shared" si="0"/>
        <v>-6090</v>
      </c>
      <c r="G51" s="150">
        <f t="shared" si="1"/>
        <v>-1692.3819294615516</v>
      </c>
    </row>
    <row r="52" spans="1:7" ht="15" customHeight="1" x14ac:dyDescent="0.25">
      <c r="A52" s="159" t="s">
        <v>206</v>
      </c>
      <c r="B52" s="147">
        <v>121032</v>
      </c>
      <c r="C52" s="145"/>
      <c r="D52" s="159" t="s">
        <v>206</v>
      </c>
      <c r="E52" s="147">
        <v>0</v>
      </c>
      <c r="F52" s="148">
        <f t="shared" si="0"/>
        <v>121032</v>
      </c>
      <c r="G52" s="150">
        <f t="shared" si="1"/>
        <v>52890.983999999997</v>
      </c>
    </row>
    <row r="53" spans="1:7" ht="15" customHeight="1" x14ac:dyDescent="0.25">
      <c r="A53" s="159" t="s">
        <v>67</v>
      </c>
      <c r="B53" s="147">
        <v>8258</v>
      </c>
      <c r="C53" s="145"/>
      <c r="D53" s="159" t="s">
        <v>67</v>
      </c>
      <c r="E53" s="147">
        <v>12289</v>
      </c>
      <c r="F53" s="148">
        <f t="shared" si="0"/>
        <v>-4031</v>
      </c>
      <c r="G53" s="150">
        <f t="shared" si="1"/>
        <v>-1120.1956580721699</v>
      </c>
    </row>
    <row r="54" spans="1:7" ht="15" customHeight="1" x14ac:dyDescent="0.25">
      <c r="A54" s="159" t="s">
        <v>215</v>
      </c>
      <c r="B54" s="147">
        <v>0</v>
      </c>
      <c r="C54" s="145"/>
      <c r="D54" s="159" t="s">
        <v>215</v>
      </c>
      <c r="E54" s="147">
        <v>16063</v>
      </c>
      <c r="F54" s="148">
        <f t="shared" si="0"/>
        <v>-16063</v>
      </c>
      <c r="G54" s="150">
        <f t="shared" si="1"/>
        <v>-4463.8310234714127</v>
      </c>
    </row>
    <row r="55" spans="1:7" ht="15" customHeight="1" x14ac:dyDescent="0.25">
      <c r="A55" s="159" t="s">
        <v>182</v>
      </c>
      <c r="B55" s="147">
        <v>0</v>
      </c>
      <c r="C55" s="145"/>
      <c r="D55" s="159" t="s">
        <v>182</v>
      </c>
      <c r="E55" s="147">
        <v>228</v>
      </c>
      <c r="F55" s="148">
        <f t="shared" si="0"/>
        <v>-228</v>
      </c>
      <c r="G55" s="150">
        <f t="shared" si="1"/>
        <v>-63.360111644865967</v>
      </c>
    </row>
    <row r="56" spans="1:7" ht="15" customHeight="1" x14ac:dyDescent="0.25">
      <c r="A56" s="159" t="s">
        <v>222</v>
      </c>
      <c r="B56" s="147">
        <v>103</v>
      </c>
      <c r="C56" s="145"/>
      <c r="D56" s="159" t="s">
        <v>222</v>
      </c>
      <c r="E56" s="147">
        <v>0</v>
      </c>
      <c r="F56" s="148">
        <f t="shared" si="0"/>
        <v>103</v>
      </c>
      <c r="G56" s="150">
        <f t="shared" si="1"/>
        <v>45.011000000000003</v>
      </c>
    </row>
    <row r="57" spans="1:7" ht="15" customHeight="1" x14ac:dyDescent="0.25">
      <c r="A57" s="159" t="s">
        <v>207</v>
      </c>
      <c r="B57" s="147">
        <v>94122</v>
      </c>
      <c r="C57" s="145"/>
      <c r="D57" s="159" t="s">
        <v>207</v>
      </c>
      <c r="E57" s="147">
        <v>233406</v>
      </c>
      <c r="F57" s="148">
        <f t="shared" si="0"/>
        <v>-139284</v>
      </c>
      <c r="G57" s="150">
        <f t="shared" si="1"/>
        <v>-38706.358729576808</v>
      </c>
    </row>
    <row r="58" spans="1:7" ht="15" customHeight="1" x14ac:dyDescent="0.25">
      <c r="A58" s="159" t="s">
        <v>167</v>
      </c>
      <c r="B58" s="147">
        <v>4901</v>
      </c>
      <c r="C58" s="145"/>
      <c r="D58" s="159" t="s">
        <v>225</v>
      </c>
      <c r="E58" s="147">
        <v>45</v>
      </c>
      <c r="F58" s="148">
        <f t="shared" si="0"/>
        <v>4856</v>
      </c>
      <c r="G58" s="150">
        <f t="shared" si="1"/>
        <v>2122.0720000000001</v>
      </c>
    </row>
    <row r="59" spans="1:7" ht="15" customHeight="1" x14ac:dyDescent="0.25">
      <c r="A59" s="159" t="s">
        <v>208</v>
      </c>
      <c r="B59" s="147">
        <v>8600</v>
      </c>
      <c r="C59" s="145"/>
      <c r="D59" s="159" t="s">
        <v>208</v>
      </c>
      <c r="E59" s="147">
        <v>7800</v>
      </c>
      <c r="F59" s="148">
        <f t="shared" si="0"/>
        <v>800</v>
      </c>
      <c r="G59" s="150">
        <f t="shared" si="1"/>
        <v>349.6</v>
      </c>
    </row>
    <row r="60" spans="1:7" ht="15" customHeight="1" x14ac:dyDescent="0.25">
      <c r="A60" s="159" t="s">
        <v>223</v>
      </c>
      <c r="B60" s="147">
        <v>800</v>
      </c>
      <c r="D60" s="159" t="s">
        <v>226</v>
      </c>
      <c r="E60" s="147">
        <v>2</v>
      </c>
      <c r="F60" s="148">
        <f t="shared" si="0"/>
        <v>798</v>
      </c>
      <c r="G60" s="150">
        <f t="shared" si="1"/>
        <v>348.726</v>
      </c>
    </row>
    <row r="61" spans="1:7" ht="15" customHeight="1" x14ac:dyDescent="0.25">
      <c r="A61" s="143"/>
      <c r="B61" s="144"/>
      <c r="D61" s="146"/>
      <c r="E61" s="147"/>
      <c r="F61" s="148"/>
      <c r="G61" s="150"/>
    </row>
    <row r="63" spans="1:7" ht="15" customHeight="1" x14ac:dyDescent="0.25">
      <c r="A63" s="143"/>
      <c r="B63" s="144"/>
      <c r="D63" s="146"/>
      <c r="E63" s="147"/>
      <c r="F63" s="148">
        <f>SUM(F5:F61)</f>
        <v>-1359641</v>
      </c>
      <c r="G63" s="137">
        <f>SUM(G5:G61)/2000</f>
        <v>-143.51999532087208</v>
      </c>
    </row>
    <row r="64" spans="1:7" ht="15" customHeight="1" x14ac:dyDescent="0.25">
      <c r="A64" s="143"/>
      <c r="B64" s="144"/>
    </row>
    <row r="67" spans="1:7" ht="15" customHeight="1" x14ac:dyDescent="0.25">
      <c r="G67" s="148"/>
    </row>
    <row r="69" spans="1:7" ht="15" customHeight="1" x14ac:dyDescent="0.25">
      <c r="A69" s="143"/>
      <c r="B69" s="144"/>
      <c r="D69" s="146"/>
      <c r="E69" s="147"/>
    </row>
    <row r="70" spans="1:7" ht="15" customHeight="1" x14ac:dyDescent="0.25">
      <c r="G70" s="148"/>
    </row>
    <row r="71" spans="1:7" ht="15" customHeight="1" x14ac:dyDescent="0.25">
      <c r="A71" s="142"/>
      <c r="B71" s="142"/>
    </row>
    <row r="74" spans="1:7" ht="15" customHeight="1" x14ac:dyDescent="0.25">
      <c r="A74" s="143"/>
      <c r="B74" s="144"/>
      <c r="D74" s="146"/>
      <c r="E74" s="147"/>
    </row>
    <row r="75" spans="1:7" ht="15" customHeight="1" x14ac:dyDescent="0.25">
      <c r="G75" s="148"/>
    </row>
    <row r="76" spans="1:7" ht="15" customHeight="1" x14ac:dyDescent="0.25">
      <c r="A76" s="143"/>
      <c r="B76" s="144"/>
      <c r="D76" s="146"/>
      <c r="E76" s="147"/>
    </row>
    <row r="85" spans="1:7" ht="15" customHeight="1" x14ac:dyDescent="0.25">
      <c r="A85" s="143"/>
      <c r="B85" s="144"/>
      <c r="D85" s="146"/>
      <c r="E85" s="147"/>
    </row>
    <row r="86" spans="1:7" ht="15" customHeight="1" x14ac:dyDescent="0.25">
      <c r="A86" s="143"/>
      <c r="B86" s="144"/>
      <c r="D86" s="146"/>
      <c r="E86" s="147"/>
    </row>
    <row r="87" spans="1:7" ht="15" customHeight="1" x14ac:dyDescent="0.25">
      <c r="G87" s="148"/>
    </row>
    <row r="92" spans="1:7" ht="15" customHeight="1" x14ac:dyDescent="0.25">
      <c r="F92" s="148"/>
    </row>
    <row r="95" spans="1:7" ht="15" customHeight="1" x14ac:dyDescent="0.25">
      <c r="D95" s="146"/>
      <c r="E95" s="147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2022-05-31T07:00:00+00:00</OpenedDate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220395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FC8D93B885BC4F896C3A3D4E58C1D3" ma:contentTypeVersion="28" ma:contentTypeDescription="" ma:contentTypeScope="" ma:versionID="d27732ad638b01e1bb803726393e36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194D3C-98DC-4CC7-A107-EC5212A4F67D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6A05E0-503D-4D3C-9800-DFBFB0228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0x0101006E56B4D1795A2E4DB2F0B01679ED314A003BFC8D93B885BC4F896C3A3D4E58C1D3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