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Mason 2149\Dump Fee\Dump Fee Mason 2-1-2022\"/>
    </mc:Choice>
  </mc:AlternateContent>
  <bookViews>
    <workbookView xWindow="0" yWindow="0" windowWidth="28800" windowHeight="11400" tabRatio="707"/>
  </bookViews>
  <sheets>
    <sheet name="References" sheetId="25" r:id="rId1"/>
    <sheet name="DF Calculation" sheetId="7" r:id="rId2"/>
    <sheet name="Mapping" sheetId="17" r:id="rId3"/>
    <sheet name="Disposal Schedule" sheetId="27" r:id="rId4"/>
    <sheet name="Mason Co. Regulated - Price Out" sheetId="26" r:id="rId5"/>
    <sheet name="Kitsap Regulated - Price Out" sheetId="28" r:id="rId6"/>
    <sheet name="Rate Sheet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3">[3]Hidden!#REF!</definedName>
    <definedName name="__ACT1" localSheetId="5">[3]Hidden!#REF!</definedName>
    <definedName name="__ACT1" localSheetId="4">[3]Hidden!#REF!</definedName>
    <definedName name="__ACT1" localSheetId="0">[2]Hidden!#REF!</definedName>
    <definedName name="__ACT1">[3]Hidden!#REF!</definedName>
    <definedName name="__ACT2" localSheetId="3">[3]Hidden!#REF!</definedName>
    <definedName name="__ACT2" localSheetId="4">[3]Hidden!#REF!</definedName>
    <definedName name="__ACT2" localSheetId="0">[2]Hidden!#REF!</definedName>
    <definedName name="__ACT2">[3]Hidden!#REF!</definedName>
    <definedName name="__ACT3" localSheetId="3">[3]Hidden!#REF!</definedName>
    <definedName name="__ACT3" localSheetId="4">[3]Hidden!#REF!</definedName>
    <definedName name="__ACT3" localSheetId="0">[2]Hidden!#REF!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 localSheetId="3">[3]Hidden!#REF!</definedName>
    <definedName name="_ACT1" localSheetId="5">[3]Hidden!#REF!</definedName>
    <definedName name="_ACT1" localSheetId="4">[3]Hidden!#REF!</definedName>
    <definedName name="_ACT1" localSheetId="0">[3]Hidden!#REF!</definedName>
    <definedName name="_ACT1">[7]Hidden!#REF!</definedName>
    <definedName name="_ACT2" localSheetId="3">[3]Hidden!#REF!</definedName>
    <definedName name="_ACT2" localSheetId="5">[3]Hidden!#REF!</definedName>
    <definedName name="_ACT2" localSheetId="4">[3]Hidden!#REF!</definedName>
    <definedName name="_ACT2" localSheetId="0">[3]Hidden!#REF!</definedName>
    <definedName name="_ACT2">[7]Hidden!#REF!</definedName>
    <definedName name="_ACT3" localSheetId="3">[3]Hidden!#REF!</definedName>
    <definedName name="_ACT3" localSheetId="5">[3]Hidden!#REF!</definedName>
    <definedName name="_ACT3" localSheetId="4">[3]Hidden!#REF!</definedName>
    <definedName name="_ACT3" localSheetId="0">[3]Hidden!#REF!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'DF Calculation'!$A$6:$T$36</definedName>
    <definedName name="_xlnm._FilterDatabase" localSheetId="5" hidden="1">'Kitsap Regulated - Price Out'!$A$5:$AM$127</definedName>
    <definedName name="_xlnm._FilterDatabase" localSheetId="2" hidden="1">Mapping!$A$1:$O$37</definedName>
    <definedName name="_xlnm._FilterDatabase" localSheetId="4" hidden="1">'Mason Co. Regulated - Price Out'!$A$5:$AP$148</definedName>
    <definedName name="_xlnm._FilterDatabase" localSheetId="6" hidden="1">'Rate Sheet'!$A$1:$J$39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 localSheetId="3">#REF!</definedName>
    <definedName name="a" localSheetId="5">#REF!</definedName>
    <definedName name="a" localSheetId="4">#REF!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3">[3]Hidden!#REF!</definedName>
    <definedName name="ACCT" localSheetId="5">[3]Hidden!#REF!</definedName>
    <definedName name="ACCT" localSheetId="4">[3]Hidden!#REF!</definedName>
    <definedName name="ACCT" localSheetId="0">[1]Hidden!$D$11</definedName>
    <definedName name="ACCT">[7]Hidden!#REF!</definedName>
    <definedName name="ACCT.ConsolSum">[1]Hidden!$Q$11</definedName>
    <definedName name="AcctName">'[8]2012 Act-Fcast P&amp;L'!#REF!</definedName>
    <definedName name="ACT_CUR" localSheetId="3">[3]Hidden!#REF!</definedName>
    <definedName name="ACT_CUR" localSheetId="5">[3]Hidden!#REF!</definedName>
    <definedName name="ACT_CUR" localSheetId="4">[3]Hidden!#REF!</definedName>
    <definedName name="ACT_CUR" localSheetId="0">[3]Hidden!#REF!</definedName>
    <definedName name="ACT_CUR">[7]Hidden!#REF!</definedName>
    <definedName name="ACT_YTD" localSheetId="3">[3]Hidden!#REF!</definedName>
    <definedName name="ACT_YTD" localSheetId="5">[3]Hidden!#REF!</definedName>
    <definedName name="ACT_YTD" localSheetId="4">[3]Hidden!#REF!</definedName>
    <definedName name="ACT_YTD" localSheetId="0">[3]Hidden!#REF!</definedName>
    <definedName name="ACT_YTD">[7]Hidden!#REF!</definedName>
    <definedName name="afsdfsdfsd">#REF!</definedName>
    <definedName name="AmountCount" localSheetId="5">#REF!</definedName>
    <definedName name="AmountCount" localSheetId="4">#REF!</definedName>
    <definedName name="AmountCount" localSheetId="0">#REF!</definedName>
    <definedName name="AmountCount">#REF!</definedName>
    <definedName name="AmountCount1">#REF!</definedName>
    <definedName name="AmountFrom" localSheetId="0">#REF!</definedName>
    <definedName name="AmountFrom">#REF!</definedName>
    <definedName name="AmountTo" localSheetId="0">#REF!</definedName>
    <definedName name="AmountTo">#REF!</definedName>
    <definedName name="AmountTotal" localSheetId="5">#REF!</definedName>
    <definedName name="AmountTotal" localSheetId="4">#REF!</definedName>
    <definedName name="AmountTotal" localSheetId="0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0">'[10]Pacific Regulated - Price Out'!$F$50</definedName>
    <definedName name="BookRev">'[11]Pacific Regulated - Price Out'!$F$50</definedName>
    <definedName name="BookRev_com" localSheetId="0">'[10]Pacific Regulated - Price Out'!$F$214</definedName>
    <definedName name="BookRev_com">'[11]Pacific Regulated - Price Out'!$F$214</definedName>
    <definedName name="BookRev_mfr" localSheetId="0">'[10]Pacific Regulated - Price Out'!$F$222</definedName>
    <definedName name="BookRev_mfr">'[11]Pacific Regulated - Price Out'!$F$222</definedName>
    <definedName name="BookRev_ro" localSheetId="0">'[10]Pacific Regulated - Price Out'!$F$282</definedName>
    <definedName name="BookRev_ro">'[11]Pacific Regulated - Price Out'!$F$282</definedName>
    <definedName name="BookRev_rr" localSheetId="0">'[10]Pacific Regulated - Price Out'!$F$59</definedName>
    <definedName name="BookRev_rr">'[11]Pacific Regulated - Price Out'!$F$59</definedName>
    <definedName name="BookRev_yw" localSheetId="0">'[10]Pacific Regulated - Price Out'!$F$70</definedName>
    <definedName name="BookRev_yw">'[11]Pacific Regulated - Price Out'!$F$70</definedName>
    <definedName name="BREMAIR_COST_of_SERVICE_STUDY" localSheetId="3">#REF!</definedName>
    <definedName name="BREMAIR_COST_of_SERVICE_STUDY" localSheetId="5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[3]Hidden!#REF!</definedName>
    <definedName name="BUD_CUR" localSheetId="5">[3]Hidden!#REF!</definedName>
    <definedName name="BUD_CUR" localSheetId="4">[3]Hidden!#REF!</definedName>
    <definedName name="BUD_CUR" localSheetId="0">[3]Hidden!#REF!</definedName>
    <definedName name="BUD_CUR">[7]Hidden!#REF!</definedName>
    <definedName name="BUD_YTD" localSheetId="3">[3]Hidden!#REF!</definedName>
    <definedName name="BUD_YTD" localSheetId="5">[3]Hidden!#REF!</definedName>
    <definedName name="BUD_YTD" localSheetId="4">[3]Hidden!#REF!</definedName>
    <definedName name="BUD_YTD" localSheetId="0">[3]Hidden!#REF!</definedName>
    <definedName name="BUD_YTD">[7]Hidden!#REF!</definedName>
    <definedName name="BusUnitCode">[9]Settings!$I$3</definedName>
    <definedName name="BusUnitName">[9]Settings!$I$4</definedName>
    <definedName name="CalRecyTons" localSheetId="0">'[12]Recycl Tons, Commodity Value'!$L$23</definedName>
    <definedName name="CalRecyTons">'[13]Recycl Tons, Commodity Value'!$L$23</definedName>
    <definedName name="CanCartTons">[14]CanCartTonsAllocate!$E$3</definedName>
    <definedName name="CheckTotals" localSheetId="3">#REF!</definedName>
    <definedName name="CheckTotals" localSheetId="5">#REF!</definedName>
    <definedName name="CheckTotals" localSheetId="4">#REF!</definedName>
    <definedName name="CheckTotals" localSheetId="0">#REF!</definedName>
    <definedName name="CheckTotals">#REF!</definedName>
    <definedName name="CoCanTons">[15]Cust_Count1!$M$28</definedName>
    <definedName name="CoComYd">'[15]Gross Yardage Worksheet'!$L$16</definedName>
    <definedName name="CoCustCnt" localSheetId="3">#REF!</definedName>
    <definedName name="CoCustCnt" localSheetId="5">#REF!</definedName>
    <definedName name="CoCustCnt" localSheetId="4">#REF!</definedName>
    <definedName name="CoCustCnt">#REF!</definedName>
    <definedName name="colgroup">[1]Orientation!$G$6</definedName>
    <definedName name="colsegment">[1]Orientation!$F$6</definedName>
    <definedName name="Comments">[16]Main!$K$57:INDEX([16]Main!$K$57:$K$59,SUMPRODUCT(--([16]Main!$K$57:$K$59&lt;&gt;"")))</definedName>
    <definedName name="CommlStaffPriceOut">'[17]Price Out-Reg EASTSIDE-Resi'!#REF!</definedName>
    <definedName name="CoMultiYd">'[15]Gross Yardage Worksheet'!$L$31</definedName>
    <definedName name="ContainerTons">[14]ContainerTonsAllocation!$E$2</definedName>
    <definedName name="COST_OF_SERVICE_STUDY" localSheetId="3">#REF!</definedName>
    <definedName name="COST_OF_SERVICE_STUDY" localSheetId="5">#REF!</definedName>
    <definedName name="COST_OF_SERVICE_STUDY" localSheetId="4">#REF!</definedName>
    <definedName name="COST_OF_SERVICE_STUDY">#REF!</definedName>
    <definedName name="CoXtraYds" localSheetId="3">#REF!</definedName>
    <definedName name="CoXtraYds" localSheetId="4">#REF!</definedName>
    <definedName name="CoXtraYds">#REF!</definedName>
    <definedName name="CR" localSheetId="3">#REF!</definedName>
    <definedName name="CR" localSheetId="4">#REF!</definedName>
    <definedName name="CR">#REF!</definedName>
    <definedName name="CRCTable" localSheetId="5">#REF!</definedName>
    <definedName name="CRCTable" localSheetId="4">#REF!</definedName>
    <definedName name="CRCTable" localSheetId="0">#REF!</definedName>
    <definedName name="CRCTable">#REF!</definedName>
    <definedName name="CRCTableOLD" localSheetId="5">#REF!</definedName>
    <definedName name="CRCTableOLD" localSheetId="4">#REF!</definedName>
    <definedName name="CRCTableOLD" localSheetId="0">#REF!</definedName>
    <definedName name="CRCTableOLD">#REF!</definedName>
    <definedName name="CriteriaType">[18]ControlPanel!$Z$2:$Z$5</definedName>
    <definedName name="CtyCanTons">[15]Cust_Count1!$N$28</definedName>
    <definedName name="CtyComYd">'[15]Gross Yardage Worksheet'!$L$49</definedName>
    <definedName name="CtyCustCnt" localSheetId="3">#REF!</definedName>
    <definedName name="CtyCustCnt" localSheetId="5">#REF!</definedName>
    <definedName name="CtyCustCnt" localSheetId="4">#REF!</definedName>
    <definedName name="CtyCustCnt">#REF!</definedName>
    <definedName name="CtyMultiYd">'[15]Gross Yardage Worksheet'!$L$64</definedName>
    <definedName name="CtyXtraYds" localSheetId="3">#REF!</definedName>
    <definedName name="CtyXtraYds" localSheetId="5">#REF!</definedName>
    <definedName name="CtyXtraYds" localSheetId="4">#REF!</definedName>
    <definedName name="CtyXtraYds">#REF!</definedName>
    <definedName name="Currency">[16]Main!$I$82</definedName>
    <definedName name="CurrentMonth" localSheetId="0">'[19]Service Charges'!$J$8</definedName>
    <definedName name="CurrentMonth">#REF!</definedName>
    <definedName name="Cutomers" localSheetId="5">#REF!</definedName>
    <definedName name="Cutomers" localSheetId="4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5">#REF!</definedName>
    <definedName name="Database1" localSheetId="4">#REF!</definedName>
    <definedName name="Database1" localSheetId="0">#REF!</definedName>
    <definedName name="Database1">#REF!</definedName>
    <definedName name="DateFrom" localSheetId="3">'[20]JE Query'!$I$12</definedName>
    <definedName name="DateFrom" localSheetId="5">'[21]Finance Charges'!$I$12</definedName>
    <definedName name="DateFrom" localSheetId="4">'[21]Finance Charges'!$I$12</definedName>
    <definedName name="DateFrom" localSheetId="0">'[19]Service Charges'!$I$12</definedName>
    <definedName name="DateFrom">#REF!</definedName>
    <definedName name="DateRange">#REF!</definedName>
    <definedName name="DateTo" localSheetId="3">'[20]JE Query'!$I$13</definedName>
    <definedName name="DateTo" localSheetId="5">'[21]Finance Charges'!$I$13</definedName>
    <definedName name="DateTo" localSheetId="4">'[21]Finance Charges'!$I$13</definedName>
    <definedName name="DateTo" localSheetId="0">'[19]Service Charges'!$I$13</definedName>
    <definedName name="DateTo">#REF!</definedName>
    <definedName name="DBxStaffPriceOut">'[17]Price Out-Reg EASTSIDE-Resi'!#REF!</definedName>
    <definedName name="debtP" localSheetId="3">#REF!</definedName>
    <definedName name="debtP" localSheetId="5">#REF!</definedName>
    <definedName name="debtP" localSheetId="4">#REF!</definedName>
    <definedName name="debtP">#REF!</definedName>
    <definedName name="DEPT" localSheetId="3">[3]Hidden!#REF!</definedName>
    <definedName name="DEPT" localSheetId="5">[3]Hidden!#REF!</definedName>
    <definedName name="DEPT" localSheetId="4">[3]Hidden!#REF!</definedName>
    <definedName name="DEPT" localSheetId="0">[3]Hidden!#REF!</definedName>
    <definedName name="DEPT">[7]Hidden!#REF!</definedName>
    <definedName name="DetailBudYear" localSheetId="3">#REF!</definedName>
    <definedName name="DetailBudYear" localSheetId="5">#REF!</definedName>
    <definedName name="DetailBudYear" localSheetId="4">#REF!</definedName>
    <definedName name="DetailBudYear">#REF!</definedName>
    <definedName name="DetailDistrict" localSheetId="3">#REF!</definedName>
    <definedName name="DetailDistrict" localSheetId="4">#REF!</definedName>
    <definedName name="DetailDistrict">#REF!</definedName>
    <definedName name="Dist" localSheetId="0">#REF!</definedName>
    <definedName name="Dist">[22]Data!$E$3</definedName>
    <definedName name="District" localSheetId="0">'[23]Vashon BS'!#REF!</definedName>
    <definedName name="District">'[24]Vashon BS'!#REF!</definedName>
    <definedName name="DistrictNum" localSheetId="3">#REF!</definedName>
    <definedName name="DistrictNum" localSheetId="5">#REF!</definedName>
    <definedName name="DistrictNum" localSheetId="4">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[25]Summary!$C$6</definedName>
    <definedName name="dOG">#REF!</definedName>
    <definedName name="drlFilter">[1]Settings!$D$27</definedName>
    <definedName name="End" localSheetId="3">#REF!</definedName>
    <definedName name="End" localSheetId="5">#REF!</definedName>
    <definedName name="End" localSheetId="4">#REF!</definedName>
    <definedName name="End" localSheetId="0">#REF!</definedName>
    <definedName name="End">#REF!</definedName>
    <definedName name="EntrieShownLimit" localSheetId="3">'[20]JE Query'!$D$6</definedName>
    <definedName name="EntrieShownLimit" localSheetId="5">'[21]Finance Charges'!$D$6</definedName>
    <definedName name="EntrieShownLimit" localSheetId="4">'[21]Finance Charges'!$D$6</definedName>
    <definedName name="EntrieShownLimit" localSheetId="0">'[19]Service Charges'!$D$6</definedName>
    <definedName name="EntrieShownLimit">#REF!</definedName>
    <definedName name="ExcludeIC" localSheetId="0">'[23]Vashon BS'!#REF!</definedName>
    <definedName name="ExcludeIC">'[24]Vashon BS'!#REF!</definedName>
    <definedName name="ExpensesPF1">#REF!</definedName>
    <definedName name="EXT">#REF!</definedName>
    <definedName name="FBTable" localSheetId="5">#REF!</definedName>
    <definedName name="FBTable" localSheetId="4">#REF!</definedName>
    <definedName name="FBTable" localSheetId="0">#REF!</definedName>
    <definedName name="FBTable">#REF!</definedName>
    <definedName name="FBTableOld" localSheetId="5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0">#REF!</definedName>
    <definedName name="FromMonth">#REF!</definedName>
    <definedName name="FundsApprPend" localSheetId="0">[26]Data!#REF!</definedName>
    <definedName name="FundsApprPend">[22]Data!#REF!</definedName>
    <definedName name="FundsBudUnbud" localSheetId="0">[26]Data!#REF!</definedName>
    <definedName name="FundsBudUnbud">[22]Data!#REF!</definedName>
    <definedName name="GLMappingStart" localSheetId="3">#REF!</definedName>
    <definedName name="GLMappingStart" localSheetId="5">#REF!</definedName>
    <definedName name="GLMappingStart" localSheetId="4">#REF!</definedName>
    <definedName name="GLMappingStart" localSheetId="0">#REF!</definedName>
    <definedName name="GLMappingStart">#REF!</definedName>
    <definedName name="GLMappingStart1">#REF!</definedName>
    <definedName name="GRETABLE" localSheetId="3">[27]Gresham!$E$12:$AI$261</definedName>
    <definedName name="GRETABLE" localSheetId="5">[27]Gresham!$E$12:$AI$261</definedName>
    <definedName name="GRETABLE" localSheetId="4">[27]Gresham!$E$12:$AI$261</definedName>
    <definedName name="GRETABLE">[28]Gresham!$E$12:$AI$261</definedName>
    <definedName name="Import_Range" localSheetId="0">[26]Data!#REF!</definedName>
    <definedName name="Import_Range">[22]Data!#REF!</definedName>
    <definedName name="IncomeStmnt" localSheetId="3">#REF!</definedName>
    <definedName name="IncomeStmnt" localSheetId="5">#REF!</definedName>
    <definedName name="IncomeStmnt" localSheetId="4">#REF!</definedName>
    <definedName name="IncomeStmnt" localSheetId="0">#REF!</definedName>
    <definedName name="IncomeStmnt">#REF!</definedName>
    <definedName name="INPUT" localSheetId="5">#REF!</definedName>
    <definedName name="INPUT" localSheetId="4">#REF!</definedName>
    <definedName name="INPUT" localSheetId="0">#REF!</definedName>
    <definedName name="INPUT">#REF!</definedName>
    <definedName name="INPUTc">#REF!</definedName>
    <definedName name="Insurance" localSheetId="5">#REF!</definedName>
    <definedName name="Insurance" localSheetId="0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[26]Invoice_Drill!#REF!</definedName>
    <definedName name="Invoice_Start">[22]Invoice_Drill!#REF!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5">#REF!</definedName>
    <definedName name="JEDetail" localSheetId="4">#REF!</definedName>
    <definedName name="JEDetail" localSheetId="0">#REF!</definedName>
    <definedName name="JEDetail">#REF!</definedName>
    <definedName name="JEDetail1">#REF!</definedName>
    <definedName name="JEType" localSheetId="5">#REF!</definedName>
    <definedName name="JEType" localSheetId="4">#REF!</definedName>
    <definedName name="JEType" localSheetId="0">#REF!</definedName>
    <definedName name="JEType">#REF!</definedName>
    <definedName name="JEType1">#REF!</definedName>
    <definedName name="Juris1CanCount">[14]Cust_Count1!$C$60</definedName>
    <definedName name="Juris1CanTons">[14]Cust_Count1!$C$30</definedName>
    <definedName name="Juris1ComYd">'[14]Gross Yardage Worksheet'!$L$16</definedName>
    <definedName name="Juris1CustCnt">[14]Cust_Count2!$E$39</definedName>
    <definedName name="Juris1MultiYd">'[14]Gross Yardage Worksheet'!$X$16</definedName>
    <definedName name="Juris1SeasonalYds">'[14]Gross Yardage Worksheet'!$R$18</definedName>
    <definedName name="Juris1XtraYds">[14]Cust_Count2!$E$28</definedName>
    <definedName name="Juris2CanCount">[14]Cust_Count1!$D$60</definedName>
    <definedName name="Juris2CanTons">[14]Cust_Count1!$D$30</definedName>
    <definedName name="Juris2ComYd">'[14]Gross Yardage Worksheet'!$L$33</definedName>
    <definedName name="Juris2CustCnt">[14]Cust_Count2!$F$39</definedName>
    <definedName name="Juris2MultiYd">'[14]Gross Yardage Worksheet'!$X$33</definedName>
    <definedName name="Juris2SeasonalYds">'[14]Gross Yardage Worksheet'!$R$35</definedName>
    <definedName name="Juris2XtraYds">[14]Cust_Count2!$F$28</definedName>
    <definedName name="Juris3CanCount">[14]Cust_Count1!$E$60</definedName>
    <definedName name="Juris3CanTons">[14]Cust_Count1!$E$30</definedName>
    <definedName name="Juris3ComYd">'[14]Gross Yardage Worksheet'!$L$51</definedName>
    <definedName name="Juris3CustCnt">[14]Cust_Count2!$G$39</definedName>
    <definedName name="Juris3MultiYd">'[14]Gross Yardage Worksheet'!$X$51</definedName>
    <definedName name="Juris3SeasonalYds">'[14]Gross Yardage Worksheet'!$R$53</definedName>
    <definedName name="Juris3XtraYds">[14]Cust_Count2!$G$28</definedName>
    <definedName name="Juris4CanCount">[14]Cust_Count1!$F$60</definedName>
    <definedName name="Juris4CanTons">[14]Cust_Count1!$F$30</definedName>
    <definedName name="Juris4ComYd">'[14]Gross Yardage Worksheet'!$L$68</definedName>
    <definedName name="Juris4CustCnt">[14]Cust_Count2!$H$39</definedName>
    <definedName name="Juris4MultiYd">'[14]Gross Yardage Worksheet'!$X$68</definedName>
    <definedName name="Juris4SeasonalYds">'[14]Gross Yardage Worksheet'!$R$70</definedName>
    <definedName name="Juris4XtraYds">[14]Cust_Count2!$H$28</definedName>
    <definedName name="Juris5CanCount">[14]Cust_Count1!$G$60</definedName>
    <definedName name="Juris5CanTons">[14]Cust_Count1!$G$30</definedName>
    <definedName name="Juris5ComYD">'[14]Gross Yardage Worksheet'!$L$85</definedName>
    <definedName name="Juris5CustCnt">[14]Cust_Count2!$I$39</definedName>
    <definedName name="Juris5MultiYd">'[14]Gross Yardage Worksheet'!$X$85</definedName>
    <definedName name="Juris5SeasonalYds">'[14]Gross Yardage Worksheet'!$R$87</definedName>
    <definedName name="Juris5XtraYds">[14]Cust_Count2!$I$28</definedName>
    <definedName name="Jurisdiction_1">'[14]Title Inputs'!$C$5</definedName>
    <definedName name="Jurisdiction_2">'[14]Title Inputs'!$C$6</definedName>
    <definedName name="Jurisdiction_3">'[14]Title Inputs'!$C$7</definedName>
    <definedName name="Jurisdiction_4">'[14]Title Inputs'!$C$8</definedName>
    <definedName name="Jurisdiction_5">'[14]Title Inputs'!$C$9</definedName>
    <definedName name="lblBillAreaStatus" localSheetId="3">#REF!</definedName>
    <definedName name="lblBillAreaStatus" localSheetId="5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5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5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5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5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5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5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 localSheetId="0">[29]DropDownRanges!$B$4:$B$37</definedName>
    <definedName name="LOB">[30]DropDownRanges!$B$4:$B$37</definedName>
    <definedName name="LU_Line" localSheetId="3">#REF!</definedName>
    <definedName name="LU_Line" localSheetId="5">#REF!</definedName>
    <definedName name="LU_Line" localSheetId="4">#REF!</definedName>
    <definedName name="LU_Line">#REF!</definedName>
    <definedName name="MainDataEnd" localSheetId="3">#REF!</definedName>
    <definedName name="MainDataEnd" localSheetId="5">#REF!</definedName>
    <definedName name="MainDataEnd" localSheetId="4">#REF!</definedName>
    <definedName name="MainDataEnd" localSheetId="0">#REF!</definedName>
    <definedName name="MainDataEnd">#REF!</definedName>
    <definedName name="MainDataStart" localSheetId="5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5">#REF!</definedName>
    <definedName name="MapKeyStart" localSheetId="4">#REF!</definedName>
    <definedName name="MapKeyStart" localSheetId="0">#REF!</definedName>
    <definedName name="MapKeyStart">#REF!</definedName>
    <definedName name="master_def" localSheetId="5">#REF!</definedName>
    <definedName name="master_def" localSheetId="4">#REF!</definedName>
    <definedName name="master_def" localSheetId="0">#REF!</definedName>
    <definedName name="master_def">#REF!</definedName>
    <definedName name="MATRIX">#REF!</definedName>
    <definedName name="MemoAttachment" localSheetId="0">#REF!</definedName>
    <definedName name="MemoAttachment">#REF!</definedName>
    <definedName name="MetaSet">[1]Orientation!$C$22</definedName>
    <definedName name="MFStaffPriceOut">'[17]Price Out-Reg EASTSIDE-Resi'!#REF!</definedName>
    <definedName name="MILTON">#REF!</definedName>
    <definedName name="Month" localSheetId="3">#REF!</definedName>
    <definedName name="Month" localSheetId="4">#REF!</definedName>
    <definedName name="Month">#REF!</definedName>
    <definedName name="MonthList" localSheetId="0">'[26]Lookup Tables'!$A$1:$A$13</definedName>
    <definedName name="MonthList">'[22]Lookup Tables'!$A$1:$A$13</definedName>
    <definedName name="NarrThreshold_Doll">[9]Settings!$I$27</definedName>
    <definedName name="NarrThreshold_Perc">[9]Settings!$I$26</definedName>
    <definedName name="NewLob" localSheetId="0">[29]DropDownRanges!$B$4:$B$37</definedName>
    <definedName name="NewLob">[30]DropDownRanges!$B$4:$B$37</definedName>
    <definedName name="NewOnlyOrg">#N/A</definedName>
    <definedName name="NewSource" localSheetId="0">[29]DropDownRanges!$D$4:$D$7</definedName>
    <definedName name="NewSource">[30]DropDownRanges!$D$4:$D$7</definedName>
    <definedName name="nn">#REF!</definedName>
    <definedName name="NOTES" localSheetId="5">#REF!</definedName>
    <definedName name="NOTES" localSheetId="4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[31]JEexport!$L$10</definedName>
    <definedName name="OffsetAcctPmt">[31]JEexport!$L$9</definedName>
    <definedName name="Org11_13">#N/A</definedName>
    <definedName name="Org7_10">#N/A</definedName>
    <definedName name="OthCanTons">[15]Cust_Count1!$O$28</definedName>
    <definedName name="OthComYd">'[15]Gross Yardage Worksheet'!$L$82</definedName>
    <definedName name="OthCustCnt" localSheetId="3">#REF!</definedName>
    <definedName name="OthCustCnt" localSheetId="5">#REF!</definedName>
    <definedName name="OthCustCnt" localSheetId="4">#REF!</definedName>
    <definedName name="OthCustCnt">#REF!</definedName>
    <definedName name="OthMultiYd">'[15]Gross Yardage Worksheet'!$L$98</definedName>
    <definedName name="OthXtraYds" localSheetId="3">#REF!</definedName>
    <definedName name="OthXtraYds" localSheetId="5">#REF!</definedName>
    <definedName name="OthXtraYds" localSheetId="4">#REF!</definedName>
    <definedName name="OthXtraYds">#REF!</definedName>
    <definedName name="p" localSheetId="3">#REF!</definedName>
    <definedName name="p" localSheetId="5">#REF!</definedName>
    <definedName name="p" localSheetId="4">#REF!</definedName>
    <definedName name="p" localSheetId="0">#REF!</definedName>
    <definedName name="p">#REF!</definedName>
    <definedName name="PAGE_1" localSheetId="5">#REF!</definedName>
    <definedName name="PAGE_1" localSheetId="4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5">#REF!</definedName>
    <definedName name="pBatchID" localSheetId="4">#REF!</definedName>
    <definedName name="pBatchID" localSheetId="0">#REF!</definedName>
    <definedName name="pBatchID">#REF!</definedName>
    <definedName name="pBillArea" localSheetId="5">#REF!</definedName>
    <definedName name="pBillArea" localSheetId="4">#REF!</definedName>
    <definedName name="pBillArea" localSheetId="0">#REF!</definedName>
    <definedName name="pBillArea">#REF!</definedName>
    <definedName name="pBillCycle" localSheetId="5">#REF!</definedName>
    <definedName name="pBillCycle" localSheetId="4">#REF!</definedName>
    <definedName name="pBillCycle" localSheetId="0">#REF!</definedName>
    <definedName name="pBillCycle">#REF!</definedName>
    <definedName name="pCategory" localSheetId="5">#REF!</definedName>
    <definedName name="pCategory" localSheetId="4">#REF!</definedName>
    <definedName name="pCategory" localSheetId="0">#REF!</definedName>
    <definedName name="pCategory">#REF!</definedName>
    <definedName name="pCompany" localSheetId="5">#REF!</definedName>
    <definedName name="pCompany" localSheetId="4">#REF!</definedName>
    <definedName name="pCompany" localSheetId="0">#REF!</definedName>
    <definedName name="pCompany">#REF!</definedName>
    <definedName name="pCustomerNumber" localSheetId="5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5">#REF!</definedName>
    <definedName name="pDatabase" localSheetId="4">#REF!</definedName>
    <definedName name="pDatabase" localSheetId="0">#REF!</definedName>
    <definedName name="pDatabase">#REF!</definedName>
    <definedName name="pEndPostDate" localSheetId="5">#REF!</definedName>
    <definedName name="pEndPostDate" localSheetId="4">#REF!</definedName>
    <definedName name="pEndPostDate" localSheetId="0">#REF!</definedName>
    <definedName name="pEndPostDate">#REF!</definedName>
    <definedName name="Period" localSheetId="5">#REF!</definedName>
    <definedName name="Period" localSheetId="4">#REF!</definedName>
    <definedName name="Period" localSheetId="0">#REF!</definedName>
    <definedName name="Period">#REF!</definedName>
    <definedName name="pMonth" localSheetId="5">#REF!</definedName>
    <definedName name="pMonth" localSheetId="4">#REF!</definedName>
    <definedName name="pMonth" localSheetId="0">#REF!</definedName>
    <definedName name="pMonth">#REF!</definedName>
    <definedName name="pOnlyShowLastTranx" localSheetId="5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0">#REF!</definedName>
    <definedName name="Posting">#REF!</definedName>
    <definedName name="primtbl">[1]Orientation!$C$23</definedName>
    <definedName name="_xlnm.Print_Area" localSheetId="1">'DF Calculation'!$A$1:$T$77</definedName>
    <definedName name="_xlnm.Print_Area" localSheetId="3">#REF!</definedName>
    <definedName name="_xlnm.Print_Area" localSheetId="5">'Kitsap Regulated - Price Out'!$C$1:$AG$133</definedName>
    <definedName name="_xlnm.Print_Area" localSheetId="2">Mapping!$A$1:$S$39</definedName>
    <definedName name="_xlnm.Print_Area" localSheetId="4">'Mason Co. Regulated - Price Out'!$A$1:$AJ$164</definedName>
    <definedName name="_xlnm.Print_Area" localSheetId="6">'Rate Sheet'!$A$1:$K$53</definedName>
    <definedName name="_xlnm.Print_Area" localSheetId="0">References!$A$1:$I$67</definedName>
    <definedName name="_xlnm.Print_Area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 localSheetId="0">#REF!</definedName>
    <definedName name="Print_Area_MI">#REF!</definedName>
    <definedName name="Print_Area_MIc">#REF!</definedName>
    <definedName name="Print_Area1" localSheetId="5">#REF!</definedName>
    <definedName name="Print_Area1" localSheetId="4">#REF!</definedName>
    <definedName name="Print_Area1" localSheetId="0">#REF!</definedName>
    <definedName name="Print_Area1">#REF!</definedName>
    <definedName name="Print_Area2" localSheetId="5">#REF!</definedName>
    <definedName name="Print_Area2" localSheetId="4">#REF!</definedName>
    <definedName name="Print_Area2" localSheetId="0">#REF!</definedName>
    <definedName name="Print_Area2">#REF!</definedName>
    <definedName name="Print_Area3" localSheetId="5">#REF!</definedName>
    <definedName name="Print_Area3" localSheetId="4">#REF!</definedName>
    <definedName name="Print_Area3" localSheetId="0">#REF!</definedName>
    <definedName name="Print_Area3">#REF!</definedName>
    <definedName name="Print_Area5" localSheetId="5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'DF Calculation'!$1:$6</definedName>
    <definedName name="_xlnm.Print_Titles" localSheetId="5">'Kitsap Regulated - Price Out'!$D:$D,'Kitsap Regulated - Price Out'!$1:$5</definedName>
    <definedName name="_xlnm.Print_Titles" localSheetId="2">Mapping!$1:$1</definedName>
    <definedName name="_xlnm.Print_Titles" localSheetId="4">'Mason Co. Regulated - Price Out'!$D:$D,'Mason Co. Regulated - Price Out'!$1:$5</definedName>
    <definedName name="_xlnm.Print_Titles" localSheetId="6">'Rate Sheet'!$1:$1</definedName>
    <definedName name="Print1" localSheetId="3">#REF!</definedName>
    <definedName name="Print1" localSheetId="5">#REF!</definedName>
    <definedName name="Print1" localSheetId="4">#REF!</definedName>
    <definedName name="Print1" localSheetId="0">#REF!</definedName>
    <definedName name="Print1">#REF!</definedName>
    <definedName name="Print2" localSheetId="5">#REF!</definedName>
    <definedName name="Print2" localSheetId="4">#REF!</definedName>
    <definedName name="Print2" localSheetId="0">#REF!</definedName>
    <definedName name="Print2">#REF!</definedName>
    <definedName name="Print5" localSheetId="5">#REF!</definedName>
    <definedName name="Print5" localSheetId="4">#REF!</definedName>
    <definedName name="Print5" localSheetId="0">#REF!</definedName>
    <definedName name="Print5">#REF!</definedName>
    <definedName name="ProRev" localSheetId="0">'[10]Pacific Regulated - Price Out'!$M$49</definedName>
    <definedName name="ProRev">'[11]Pacific Regulated - Price Out'!$M$49</definedName>
    <definedName name="ProRev_com" localSheetId="0">'[10]Pacific Regulated - Price Out'!$M$213</definedName>
    <definedName name="ProRev_com">'[11]Pacific Regulated - Price Out'!$M$213</definedName>
    <definedName name="ProRev_mfr" localSheetId="0">'[10]Pacific Regulated - Price Out'!$M$221</definedName>
    <definedName name="ProRev_mfr">'[11]Pacific Regulated - Price Out'!$M$221</definedName>
    <definedName name="ProRev_ro" localSheetId="0">'[10]Pacific Regulated - Price Out'!$M$281</definedName>
    <definedName name="ProRev_ro">'[11]Pacific Regulated - Price Out'!$M$281</definedName>
    <definedName name="ProRev_rr" localSheetId="0">'[10]Pacific Regulated - Price Out'!$M$58</definedName>
    <definedName name="ProRev_rr">'[11]Pacific Regulated - Price Out'!$M$58</definedName>
    <definedName name="ProRev_yw" localSheetId="0">'[10]Pacific Regulated - Price Out'!$M$69</definedName>
    <definedName name="ProRev_yw">'[11]Pacific Regulated - Price Out'!$M$69</definedName>
    <definedName name="pServer" localSheetId="3">#REF!</definedName>
    <definedName name="pServer" localSheetId="5">#REF!</definedName>
    <definedName name="pServer" localSheetId="4">#REF!</definedName>
    <definedName name="pServer" localSheetId="0">#REF!</definedName>
    <definedName name="pServer">#REF!</definedName>
    <definedName name="pServiceCode" localSheetId="5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5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5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5">#REF!</definedName>
    <definedName name="pSortOption" localSheetId="4">#REF!</definedName>
    <definedName name="pSortOption" localSheetId="0">#REF!</definedName>
    <definedName name="pSortOption">#REF!</definedName>
    <definedName name="pStartPostDate" localSheetId="5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5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'[32]Consolidated IS 2009 2010'!$AK$20</definedName>
    <definedName name="Reg_Cust_Percent">'[32]Consolidated IS 2009 2010'!$AC$20</definedName>
    <definedName name="Reg_Drive_Percent">'[32]Consolidated IS 2009 2010'!$AC$40</definedName>
    <definedName name="Reg_Haul_Rev_Percent">'[32]Consolidated IS 2009 2010'!$Z$18</definedName>
    <definedName name="Reg_Lab_Percent">'[32]Consolidated IS 2009 2010'!$AC$39</definedName>
    <definedName name="Reg_Steel_Cont_Percent">'[32]Consolidated IS 2009 2010'!$AE$120</definedName>
    <definedName name="RegulatedIS">'[32]2009 IS'!$A$12:$Q$655</definedName>
    <definedName name="RelatedSalary">#N/A</definedName>
    <definedName name="report_type">[1]Orientation!$C$24</definedName>
    <definedName name="Reporting_Jurisdiction">'[14]Title Inputs'!$C$4</definedName>
    <definedName name="ReportNames">[33]ControlPanel!$S$2:$S$16</definedName>
    <definedName name="ReportVersion">[1]Settings!$D$5</definedName>
    <definedName name="ReslStaffPriceOut">'[17]Price Out-Reg EASTSIDE-Resi'!#REF!</definedName>
    <definedName name="RetainedEarnings" localSheetId="3">#REF!</definedName>
    <definedName name="RetainedEarnings" localSheetId="5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[34]RevenuesCust!#REF!</definedName>
    <definedName name="RevCust" localSheetId="5">[34]RevenuesCust!#REF!</definedName>
    <definedName name="RevCust" localSheetId="4">[34]RevenuesCust!#REF!</definedName>
    <definedName name="RevCust" localSheetId="0">[34]RevenuesCust!#REF!</definedName>
    <definedName name="RevCust">[35]RevenuesCust!#REF!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 localSheetId="3">#REF!</definedName>
    <definedName name="SIC_Table" localSheetId="5">#REF!</definedName>
    <definedName name="SIC_Table" localSheetId="4">#REF!</definedName>
    <definedName name="SIC_Table">#REF!</definedName>
    <definedName name="slope">'[37]LG Nonpublic 2018 V5.0'!$X$58</definedName>
    <definedName name="sortcol" localSheetId="3">#REF!</definedName>
    <definedName name="sortcol" localSheetId="5">#REF!</definedName>
    <definedName name="sortcol" localSheetId="4">#REF!</definedName>
    <definedName name="sortcol" localSheetId="0">#REF!</definedName>
    <definedName name="sortcol">#REF!</definedName>
    <definedName name="Source" localSheetId="0">#REF!</definedName>
    <definedName name="Source">[30]DropDownRanges!$D$4:$D$7</definedName>
    <definedName name="SPWS_WBID">"115966228744984"</definedName>
    <definedName name="sSRCDate" localSheetId="3">'[38]Feb''12 FAR Data'!#REF!</definedName>
    <definedName name="sSRCDate" localSheetId="5">'[38]Feb''12 FAR Data'!#REF!</definedName>
    <definedName name="sSRCDate" localSheetId="4">'[38]Feb''12 FAR Data'!#REF!</definedName>
    <definedName name="sSRCDate" localSheetId="0">'[38]Feb''12 FAR Data'!#REF!</definedName>
    <definedName name="sSRCDate">'[39]Feb''12 FAR Data'!#REF!</definedName>
    <definedName name="SubSystem" localSheetId="3">#REF!</definedName>
    <definedName name="SubSystem" localSheetId="5">#REF!</definedName>
    <definedName name="SubSystem" localSheetId="4">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[40]BS_Close!$V$8</definedName>
    <definedName name="Systems" localSheetId="0">#REF!</definedName>
    <definedName name="Systems">#REF!</definedName>
    <definedName name="Table_SIC" localSheetId="3">#REF!</definedName>
    <definedName name="Table_SIC" localSheetId="4">#REF!</definedName>
    <definedName name="Table_SIC">#REF!</definedName>
    <definedName name="TargetMonths">[9]Settings!$I$18</definedName>
    <definedName name="TemplateEnd" localSheetId="5">#REF!</definedName>
    <definedName name="TemplateEnd" localSheetId="4">#REF!</definedName>
    <definedName name="TemplateEnd" localSheetId="0">#REF!</definedName>
    <definedName name="TemplateEnd">#REF!</definedName>
    <definedName name="TemplateStart" localSheetId="5">#REF!</definedName>
    <definedName name="TemplateStart" localSheetId="4">#REF!</definedName>
    <definedName name="TemplateStart" localSheetId="0">#REF!</definedName>
    <definedName name="TemplateStart">#REF!</definedName>
    <definedName name="TheTable" localSheetId="5">#REF!</definedName>
    <definedName name="TheTable" localSheetId="4">#REF!</definedName>
    <definedName name="TheTable" localSheetId="0">#REF!</definedName>
    <definedName name="TheTable">#REF!</definedName>
    <definedName name="TheTableOLD" localSheetId="5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0">#REF!</definedName>
    <definedName name="ToMonth">#REF!</definedName>
    <definedName name="Tons">#REF!</definedName>
    <definedName name="Total_Comm" localSheetId="0">'[12]Tariff Rate Sheet'!$L$214</definedName>
    <definedName name="Total_Comm">'[13]Tariff Rate Sheet'!$L$214</definedName>
    <definedName name="Total_DB" localSheetId="0">'[12]Tariff Rate Sheet'!$L$278</definedName>
    <definedName name="Total_DB">'[13]Tariff Rate Sheet'!$L$278</definedName>
    <definedName name="Total_Resi" localSheetId="0">'[12]Tariff Rate Sheet'!$L$107</definedName>
    <definedName name="Total_Resi">'[13]Tariff Rate Sheet'!$L$107</definedName>
    <definedName name="TotalYards">'[15]Gross Yardage Worksheet'!$N$101</definedName>
    <definedName name="TOTCONT" localSheetId="3">'[27]Sorted Master'!$K$9</definedName>
    <definedName name="TOTCONT" localSheetId="5">'[27]Sorted Master'!$K$9</definedName>
    <definedName name="TOTCONT" localSheetId="4">'[27]Sorted Master'!$K$9</definedName>
    <definedName name="TOTCONT">'[28]Sorted Master'!$K$9</definedName>
    <definedName name="TOTCRECCONT" localSheetId="3">'[27]Sorted Master'!$Z$9</definedName>
    <definedName name="TOTCRECCONT" localSheetId="5">'[27]Sorted Master'!$Z$9</definedName>
    <definedName name="TOTCRECCONT" localSheetId="4">'[27]Sorted Master'!$Z$9</definedName>
    <definedName name="TOTCRECCONT">'[28]Sorted Master'!$Z$9</definedName>
    <definedName name="TOTCRECCUST" localSheetId="3">'[41]Master IS (C)'!#REF!</definedName>
    <definedName name="TOTCRECCUST" localSheetId="5">'[41]Master IS (C)'!#REF!</definedName>
    <definedName name="TOTCRECCUST" localSheetId="4">'[41]Master IS (C)'!#REF!</definedName>
    <definedName name="TOTCRECCUST">'[42]Master IS (C)'!#REF!</definedName>
    <definedName name="TOTCRECDH" localSheetId="3">'[41]Master IS (C)'!#REF!</definedName>
    <definedName name="TOTCRECDH" localSheetId="5">'[41]Master IS (C)'!#REF!</definedName>
    <definedName name="TOTCRECDH" localSheetId="4">'[41]Master IS (C)'!#REF!</definedName>
    <definedName name="TOTCRECDH">'[42]Master IS (C)'!#REF!</definedName>
    <definedName name="TOTCRECREV" localSheetId="3">'[41]Master IS (C)'!#REF!</definedName>
    <definedName name="TOTCRECREV" localSheetId="5">'[41]Master IS (C)'!#REF!</definedName>
    <definedName name="TOTCRECREV" localSheetId="4">'[41]Master IS (C)'!#REF!</definedName>
    <definedName name="TOTCRECREV">'[42]Master IS (C)'!#REF!</definedName>
    <definedName name="TOTCRECTDEP" localSheetId="3">'[41]Master IS (C)'!#REF!</definedName>
    <definedName name="TOTCRECTDEP" localSheetId="5">'[41]Master IS (C)'!#REF!</definedName>
    <definedName name="TOTCRECTDEP" localSheetId="4">'[41]Master IS (C)'!#REF!</definedName>
    <definedName name="TOTCRECTDEP">'[42]Master IS (C)'!#REF!</definedName>
    <definedName name="TOTCRECTH" localSheetId="3">'[27]Sorted Master'!$Z$8</definedName>
    <definedName name="TOTCRECTH" localSheetId="5">'[27]Sorted Master'!$Z$8</definedName>
    <definedName name="TOTCRECTH" localSheetId="4">'[27]Sorted Master'!$Z$8</definedName>
    <definedName name="TOTCRECTH">'[28]Sorted Master'!$Z$8</definedName>
    <definedName name="TOTCRECTV" localSheetId="3">'[41]Master IS (C)'!#REF!</definedName>
    <definedName name="TOTCRECTV" localSheetId="5">'[41]Master IS (C)'!#REF!</definedName>
    <definedName name="TOTCRECTV" localSheetId="4">'[41]Master IS (C)'!#REF!</definedName>
    <definedName name="TOTCRECTV">'[42]Master IS (C)'!#REF!</definedName>
    <definedName name="TOTCUST" localSheetId="3">'[41]Master IS (C)'!#REF!</definedName>
    <definedName name="TOTCUST" localSheetId="5">'[41]Master IS (C)'!#REF!</definedName>
    <definedName name="TOTCUST" localSheetId="4">'[41]Master IS (C)'!#REF!</definedName>
    <definedName name="TOTCUST">'[42]Master IS (C)'!#REF!</definedName>
    <definedName name="TOTDBCONT" localSheetId="3">'[41]Master IS (C)'!#REF!</definedName>
    <definedName name="TOTDBCONT" localSheetId="5">'[41]Master IS (C)'!#REF!</definedName>
    <definedName name="TOTDBCONT" localSheetId="4">'[41]Master IS (C)'!#REF!</definedName>
    <definedName name="TOTDBCONT">'[42]Master IS (C)'!#REF!</definedName>
    <definedName name="TOTDBCUST" localSheetId="3">'[41]Master IS (C)'!#REF!</definedName>
    <definedName name="TOTDBCUST" localSheetId="5">'[41]Master IS (C)'!#REF!</definedName>
    <definedName name="TOTDBCUST" localSheetId="4">'[41]Master IS (C)'!#REF!</definedName>
    <definedName name="TOTDBCUST">'[42]Master IS (C)'!#REF!</definedName>
    <definedName name="TOTDBDH" localSheetId="3">'[41]Master IS (C)'!#REF!</definedName>
    <definedName name="TOTDBDH" localSheetId="5">'[41]Master IS (C)'!#REF!</definedName>
    <definedName name="TOTDBDH" localSheetId="4">'[41]Master IS (C)'!#REF!</definedName>
    <definedName name="TOTDBDH">'[42]Master IS (C)'!#REF!</definedName>
    <definedName name="TOTDBREV" localSheetId="3">'[41]Master IS (C)'!#REF!</definedName>
    <definedName name="TOTDBREV" localSheetId="5">'[41]Master IS (C)'!#REF!</definedName>
    <definedName name="TOTDBREV" localSheetId="4">'[41]Master IS (C)'!#REF!</definedName>
    <definedName name="TOTDBREV">'[42]Master IS (C)'!#REF!</definedName>
    <definedName name="TOTDBTDEP" localSheetId="3">'[41]Master IS (C)'!#REF!</definedName>
    <definedName name="TOTDBTDEP" localSheetId="5">'[41]Master IS (C)'!#REF!</definedName>
    <definedName name="TOTDBTDEP" localSheetId="4">'[41]Master IS (C)'!#REF!</definedName>
    <definedName name="TOTDBTDEP">'[42]Master IS (C)'!#REF!</definedName>
    <definedName name="TOTDBTH" localSheetId="3">'[41]Master IS (C)'!#REF!</definedName>
    <definedName name="TOTDBTH" localSheetId="5">'[41]Master IS (C)'!#REF!</definedName>
    <definedName name="TOTDBTH" localSheetId="4">'[41]Master IS (C)'!#REF!</definedName>
    <definedName name="TOTDBTH">'[42]Master IS (C)'!#REF!</definedName>
    <definedName name="TOTDBTV" localSheetId="3">'[41]Master IS (C)'!#REF!</definedName>
    <definedName name="TOTDBTV" localSheetId="5">'[41]Master IS (C)'!#REF!</definedName>
    <definedName name="TOTDBTV" localSheetId="4">'[41]Master IS (C)'!#REF!</definedName>
    <definedName name="TOTDBTV">'[42]Master IS (C)'!#REF!</definedName>
    <definedName name="TOTDEBCONT" localSheetId="3">'[41]Master IS (C)'!#REF!</definedName>
    <definedName name="TOTDEBCONT" localSheetId="5">'[41]Master IS (C)'!#REF!</definedName>
    <definedName name="TOTDEBCONT" localSheetId="4">'[41]Master IS (C)'!#REF!</definedName>
    <definedName name="TOTDEBCONT">'[42]Master IS (C)'!#REF!</definedName>
    <definedName name="TOTDEBCUST" localSheetId="3">'[41]Master IS (C)'!#REF!</definedName>
    <definedName name="TOTDEBCUST" localSheetId="5">'[41]Master IS (C)'!#REF!</definedName>
    <definedName name="TOTDEBCUST" localSheetId="4">'[41]Master IS (C)'!#REF!</definedName>
    <definedName name="TOTDEBCUST">'[42]Master IS (C)'!#REF!</definedName>
    <definedName name="TOTDEBDH" localSheetId="3">'[41]Master IS (C)'!#REF!</definedName>
    <definedName name="TOTDEBDH" localSheetId="5">'[41]Master IS (C)'!#REF!</definedName>
    <definedName name="TOTDEBDH" localSheetId="4">'[41]Master IS (C)'!#REF!</definedName>
    <definedName name="TOTDEBDH">'[42]Master IS (C)'!#REF!</definedName>
    <definedName name="TOTDEBREV" localSheetId="3">'[41]Master IS (C)'!#REF!</definedName>
    <definedName name="TOTDEBREV" localSheetId="5">'[41]Master IS (C)'!#REF!</definedName>
    <definedName name="TOTDEBREV" localSheetId="4">'[41]Master IS (C)'!#REF!</definedName>
    <definedName name="TOTDEBREV">'[42]Master IS (C)'!#REF!</definedName>
    <definedName name="TOTDEBTH" localSheetId="3">'[27]Sorted Master'!$AD$8</definedName>
    <definedName name="TOTDEBTH" localSheetId="5">'[27]Sorted Master'!$AD$8</definedName>
    <definedName name="TOTDEBTH" localSheetId="4">'[27]Sorted Master'!$AD$8</definedName>
    <definedName name="TOTDEBTH">'[28]Sorted Master'!$AD$8</definedName>
    <definedName name="TOTDH" localSheetId="3">'[41]Master IS (C)'!#REF!</definedName>
    <definedName name="TOTDH" localSheetId="5">'[41]Master IS (C)'!#REF!</definedName>
    <definedName name="TOTDH" localSheetId="4">'[41]Master IS (C)'!#REF!</definedName>
    <definedName name="TOTDH">'[42]Master IS (C)'!#REF!</definedName>
    <definedName name="TOTFELCONT" localSheetId="3">'[41]Master IS (C)'!#REF!</definedName>
    <definedName name="TOTFELCONT" localSheetId="5">'[41]Master IS (C)'!#REF!</definedName>
    <definedName name="TOTFELCONT" localSheetId="4">'[41]Master IS (C)'!#REF!</definedName>
    <definedName name="TOTFELCONT">'[42]Master IS (C)'!#REF!</definedName>
    <definedName name="TOTFELCUST" localSheetId="3">'[41]Master IS (C)'!#REF!</definedName>
    <definedName name="TOTFELCUST" localSheetId="5">'[41]Master IS (C)'!#REF!</definedName>
    <definedName name="TOTFELCUST" localSheetId="4">'[41]Master IS (C)'!#REF!</definedName>
    <definedName name="TOTFELCUST">'[42]Master IS (C)'!#REF!</definedName>
    <definedName name="TOTFELDH" localSheetId="3">'[41]Master IS (C)'!#REF!</definedName>
    <definedName name="TOTFELDH" localSheetId="5">'[41]Master IS (C)'!#REF!</definedName>
    <definedName name="TOTFELDH" localSheetId="4">'[41]Master IS (C)'!#REF!</definedName>
    <definedName name="TOTFELDH">'[42]Master IS (C)'!#REF!</definedName>
    <definedName name="TOTFELREV" localSheetId="3">'[41]Master IS (C)'!#REF!</definedName>
    <definedName name="TOTFELREV" localSheetId="5">'[41]Master IS (C)'!#REF!</definedName>
    <definedName name="TOTFELREV" localSheetId="4">'[41]Master IS (C)'!#REF!</definedName>
    <definedName name="TOTFELREV">'[42]Master IS (C)'!#REF!</definedName>
    <definedName name="TOTFELTDEP" localSheetId="3">'[41]Master IS (C)'!#REF!</definedName>
    <definedName name="TOTFELTDEP" localSheetId="5">'[41]Master IS (C)'!#REF!</definedName>
    <definedName name="TOTFELTDEP" localSheetId="4">'[41]Master IS (C)'!#REF!</definedName>
    <definedName name="TOTFELTDEP">'[42]Master IS (C)'!#REF!</definedName>
    <definedName name="TOTFELTH" localSheetId="3">'[41]Master IS (C)'!#REF!</definedName>
    <definedName name="TOTFELTH" localSheetId="5">'[41]Master IS (C)'!#REF!</definedName>
    <definedName name="TOTFELTH" localSheetId="4">'[41]Master IS (C)'!#REF!</definedName>
    <definedName name="TOTFELTH">'[42]Master IS (C)'!#REF!</definedName>
    <definedName name="TOTFELTV" localSheetId="3">'[41]Master IS (C)'!#REF!</definedName>
    <definedName name="TOTFELTV" localSheetId="5">'[41]Master IS (C)'!#REF!</definedName>
    <definedName name="TOTFELTV" localSheetId="4">'[41]Master IS (C)'!#REF!</definedName>
    <definedName name="TOTFELTV">'[42]Master IS (C)'!#REF!</definedName>
    <definedName name="TOTRESCONT" localSheetId="3">'[41]Master IS (C)'!#REF!</definedName>
    <definedName name="TOTRESCONT" localSheetId="5">'[41]Master IS (C)'!#REF!</definedName>
    <definedName name="TOTRESCONT" localSheetId="4">'[41]Master IS (C)'!#REF!</definedName>
    <definedName name="TOTRESCONT">'[42]Master IS (C)'!#REF!</definedName>
    <definedName name="TOTRESCUST" localSheetId="3">'[41]Master IS (C)'!#REF!</definedName>
    <definedName name="TOTRESCUST" localSheetId="5">'[41]Master IS (C)'!#REF!</definedName>
    <definedName name="TOTRESCUST" localSheetId="4">'[41]Master IS (C)'!#REF!</definedName>
    <definedName name="TOTRESCUST">'[42]Master IS (C)'!#REF!</definedName>
    <definedName name="TOTRESDH" localSheetId="3">'[41]Master IS (C)'!#REF!</definedName>
    <definedName name="TOTRESDH" localSheetId="5">'[41]Master IS (C)'!#REF!</definedName>
    <definedName name="TOTRESDH" localSheetId="4">'[41]Master IS (C)'!#REF!</definedName>
    <definedName name="TOTRESDH">'[42]Master IS (C)'!#REF!</definedName>
    <definedName name="TOTRESRCONT" localSheetId="3">'[41]Master IS (C)'!#REF!</definedName>
    <definedName name="TOTRESRCONT" localSheetId="5">'[41]Master IS (C)'!#REF!</definedName>
    <definedName name="TOTRESRCONT" localSheetId="4">'[41]Master IS (C)'!#REF!</definedName>
    <definedName name="TOTRESRCONT">'[42]Master IS (C)'!#REF!</definedName>
    <definedName name="TOTRESRCUST" localSheetId="3">'[41]Master IS (C)'!#REF!</definedName>
    <definedName name="TOTRESRCUST" localSheetId="5">'[41]Master IS (C)'!#REF!</definedName>
    <definedName name="TOTRESRCUST" localSheetId="4">'[41]Master IS (C)'!#REF!</definedName>
    <definedName name="TOTRESRCUST">'[42]Master IS (C)'!#REF!</definedName>
    <definedName name="TOTRESRDH" localSheetId="3">'[41]Master IS (C)'!#REF!</definedName>
    <definedName name="TOTRESRDH" localSheetId="5">'[41]Master IS (C)'!#REF!</definedName>
    <definedName name="TOTRESRDH" localSheetId="4">'[41]Master IS (C)'!#REF!</definedName>
    <definedName name="TOTRESRDH">'[42]Master IS (C)'!#REF!</definedName>
    <definedName name="TOTRESREV" localSheetId="3">'[41]Master IS (C)'!#REF!</definedName>
    <definedName name="TOTRESREV" localSheetId="5">'[41]Master IS (C)'!#REF!</definedName>
    <definedName name="TOTRESREV" localSheetId="4">'[41]Master IS (C)'!#REF!</definedName>
    <definedName name="TOTRESREV">'[42]Master IS (C)'!#REF!</definedName>
    <definedName name="TOTRESRREV" localSheetId="3">'[41]Master IS (C)'!#REF!</definedName>
    <definedName name="TOTRESRREV" localSheetId="5">'[41]Master IS (C)'!#REF!</definedName>
    <definedName name="TOTRESRREV" localSheetId="4">'[41]Master IS (C)'!#REF!</definedName>
    <definedName name="TOTRESRREV">'[42]Master IS (C)'!#REF!</definedName>
    <definedName name="TOTRESRTDEP" localSheetId="3">'[41]Master IS (C)'!#REF!</definedName>
    <definedName name="TOTRESRTDEP" localSheetId="5">'[41]Master IS (C)'!#REF!</definedName>
    <definedName name="TOTRESRTDEP" localSheetId="4">'[41]Master IS (C)'!#REF!</definedName>
    <definedName name="TOTRESRTDEP">'[42]Master IS (C)'!#REF!</definedName>
    <definedName name="TOTRESRTH" localSheetId="3">'[41]Master IS (C)'!#REF!</definedName>
    <definedName name="TOTRESRTH" localSheetId="5">'[41]Master IS (C)'!#REF!</definedName>
    <definedName name="TOTRESRTH" localSheetId="4">'[41]Master IS (C)'!#REF!</definedName>
    <definedName name="TOTRESRTH">'[42]Master IS (C)'!#REF!</definedName>
    <definedName name="TOTRESRTV" localSheetId="3">'[41]Master IS (C)'!#REF!</definedName>
    <definedName name="TOTRESRTV" localSheetId="5">'[41]Master IS (C)'!#REF!</definedName>
    <definedName name="TOTRESRTV" localSheetId="4">'[41]Master IS (C)'!#REF!</definedName>
    <definedName name="TOTRESRTV">'[42]Master IS (C)'!#REF!</definedName>
    <definedName name="TOTRESTDEP" localSheetId="3">'[41]Master IS (C)'!#REF!</definedName>
    <definedName name="TOTRESTDEP" localSheetId="5">'[41]Master IS (C)'!#REF!</definedName>
    <definedName name="TOTRESTDEP" localSheetId="4">'[41]Master IS (C)'!#REF!</definedName>
    <definedName name="TOTRESTDEP">'[42]Master IS (C)'!#REF!</definedName>
    <definedName name="TOTRESTH" localSheetId="3">'[41]Master IS (C)'!#REF!</definedName>
    <definedName name="TOTRESTH" localSheetId="5">'[41]Master IS (C)'!#REF!</definedName>
    <definedName name="TOTRESTH" localSheetId="4">'[41]Master IS (C)'!#REF!</definedName>
    <definedName name="TOTRESTH">'[42]Master IS (C)'!#REF!</definedName>
    <definedName name="TOTRESTV" localSheetId="3">'[41]Master IS (C)'!#REF!</definedName>
    <definedName name="TOTRESTV" localSheetId="5">'[41]Master IS (C)'!#REF!</definedName>
    <definedName name="TOTRESTV" localSheetId="4">'[41]Master IS (C)'!#REF!</definedName>
    <definedName name="TOTRESTV">'[42]Master IS (C)'!#REF!</definedName>
    <definedName name="TOTREV" localSheetId="3">'[41]Master IS (C)'!#REF!</definedName>
    <definedName name="TOTREV" localSheetId="5">'[41]Master IS (C)'!#REF!</definedName>
    <definedName name="TOTREV" localSheetId="4">'[41]Master IS (C)'!#REF!</definedName>
    <definedName name="TOTREV">'[42]Master IS (C)'!#REF!</definedName>
    <definedName name="TOTTDEP" localSheetId="3">'[41]Master IS (C)'!#REF!</definedName>
    <definedName name="TOTTDEP" localSheetId="5">'[41]Master IS (C)'!#REF!</definedName>
    <definedName name="TOTTDEP" localSheetId="4">'[41]Master IS (C)'!#REF!</definedName>
    <definedName name="TOTTDEP">'[42]Master IS (C)'!#REF!</definedName>
    <definedName name="TOTTH" localSheetId="3">'[41]Master IS (C)'!#REF!</definedName>
    <definedName name="TOTTH" localSheetId="5">'[41]Master IS (C)'!#REF!</definedName>
    <definedName name="TOTTH" localSheetId="4">'[41]Master IS (C)'!#REF!</definedName>
    <definedName name="TOTTH">'[42]Master IS (C)'!#REF!</definedName>
    <definedName name="TOTTV" localSheetId="3">'[41]Master IS (C)'!#REF!</definedName>
    <definedName name="TOTTV" localSheetId="5">'[41]Master IS (C)'!#REF!</definedName>
    <definedName name="TOTTV" localSheetId="4">'[41]Master IS (C)'!#REF!</definedName>
    <definedName name="TOTTV">'[42]Master IS (C)'!#REF!</definedName>
    <definedName name="Transactions" localSheetId="3">#REF!</definedName>
    <definedName name="Transactions" localSheetId="5">#REF!</definedName>
    <definedName name="Transactions" localSheetId="4">#REF!</definedName>
    <definedName name="Transactions" localSheetId="0">#REF!</definedName>
    <definedName name="Transactions">#REF!</definedName>
    <definedName name="UnformattedIS" localSheetId="3">#REF!</definedName>
    <definedName name="UnformattedIS" localSheetId="4">#REF!</definedName>
    <definedName name="UnformattedIS">#REF!</definedName>
    <definedName name="UnregulatedIS">'[32]2010 IS'!$A$12:$Q$654</definedName>
    <definedName name="ValidFormats">[4]Delivery!$AA$4:$AA$10</definedName>
    <definedName name="VendorCode" localSheetId="0">#REF!</definedName>
    <definedName name="VendorCode">#REF!</definedName>
    <definedName name="Version" localSheetId="0">[26]Data!#REF!</definedName>
    <definedName name="Version">[22]Data!#REF!</definedName>
    <definedName name="WksInYr" localSheetId="3">#REF!</definedName>
    <definedName name="WksInYr" localSheetId="5">#REF!</definedName>
    <definedName name="WksInYr" localSheetId="4">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3">#REF!</definedName>
    <definedName name="WTable" localSheetId="5">#REF!</definedName>
    <definedName name="WTable" localSheetId="4">#REF!</definedName>
    <definedName name="WTable" localSheetId="0">#REF!</definedName>
    <definedName name="WTable">#REF!</definedName>
    <definedName name="WTableOld" localSheetId="5">#REF!</definedName>
    <definedName name="WTableOld" localSheetId="4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3">[3]Hidden!#REF!</definedName>
    <definedName name="xtabin" localSheetId="5">[3]Hidden!#REF!</definedName>
    <definedName name="xtabin" localSheetId="4">[3]Hidden!#REF!</definedName>
    <definedName name="xtabin" localSheetId="0">[3]Hidden!#REF!</definedName>
    <definedName name="xtabin">[7]Hidden!#REF!</definedName>
    <definedName name="xx" localSheetId="3">#REF!</definedName>
    <definedName name="xx" localSheetId="5">#REF!</definedName>
    <definedName name="xx" localSheetId="4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'[37]LG Nonpublic 2018 V5.0'!$W$55</definedName>
    <definedName name="y_inter2">'[37]LG Nonpublic 2018 V5.0'!$W$56</definedName>
    <definedName name="y_inter3">'[37]LG Nonpublic 2018 V5.0'!$Y$55</definedName>
    <definedName name="y_inter4">'[37]LG Nonpublic 2018 V5.0'!$Y$56</definedName>
    <definedName name="Year" localSheetId="3">'[43]Aug Av. Fuel Price'!$E$15</definedName>
    <definedName name="Year" localSheetId="5">'[43]Aug Av. Fuel Price'!$E$15</definedName>
    <definedName name="Year" localSheetId="4">'[43]Aug Av. Fuel Price'!$E$15</definedName>
    <definedName name="Year">'[44]Aug Av. Fuel Price'!$E$15</definedName>
    <definedName name="Year_of_Review">'[14]Title Inputs'!$C$3</definedName>
    <definedName name="YearMonth" localSheetId="0">'[23]Vashon BS'!#REF!</definedName>
    <definedName name="YearMonth">'[24]Vashon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R7" i="17" l="1"/>
  <c r="D25" i="22" l="1"/>
  <c r="H25" i="22"/>
  <c r="D26" i="22"/>
  <c r="H26" i="22"/>
  <c r="D27" i="22"/>
  <c r="H27" i="22"/>
  <c r="D28" i="22"/>
  <c r="H28" i="22"/>
  <c r="C26" i="22"/>
  <c r="C27" i="22"/>
  <c r="C28" i="22"/>
  <c r="C25" i="22"/>
  <c r="D49" i="22"/>
  <c r="H49" i="22"/>
  <c r="C49" i="22"/>
  <c r="D50" i="22"/>
  <c r="H50" i="22"/>
  <c r="D51" i="22"/>
  <c r="H51" i="22"/>
  <c r="D52" i="22"/>
  <c r="H52" i="22"/>
  <c r="D53" i="22"/>
  <c r="H53" i="22"/>
  <c r="C51" i="22"/>
  <c r="C52" i="22"/>
  <c r="C53" i="22"/>
  <c r="C50" i="22"/>
  <c r="C29" i="22" l="1"/>
  <c r="D29" i="22"/>
  <c r="H29" i="22"/>
  <c r="G76" i="7"/>
  <c r="G75" i="7"/>
  <c r="G74" i="7"/>
  <c r="G73" i="7"/>
  <c r="G72" i="7"/>
  <c r="E76" i="7" l="1"/>
  <c r="E75" i="7"/>
  <c r="E74" i="7"/>
  <c r="E73" i="7"/>
  <c r="E72" i="7"/>
  <c r="E77" i="7" l="1"/>
  <c r="H73" i="7"/>
  <c r="H74" i="7"/>
  <c r="H75" i="7"/>
  <c r="H76" i="7"/>
  <c r="F76" i="7"/>
  <c r="F75" i="7"/>
  <c r="F74" i="7"/>
  <c r="F73" i="7"/>
  <c r="F72" i="7" l="1"/>
  <c r="H72" i="7"/>
  <c r="E56" i="7"/>
  <c r="H56" i="7" s="1"/>
  <c r="F56" i="7"/>
  <c r="G56" i="7"/>
  <c r="G55" i="7"/>
  <c r="F55" i="7"/>
  <c r="E55" i="7"/>
  <c r="G53" i="7"/>
  <c r="G54" i="7"/>
  <c r="F53" i="7"/>
  <c r="F54" i="7"/>
  <c r="E53" i="7"/>
  <c r="E54" i="7"/>
  <c r="H53" i="7" l="1"/>
  <c r="H55" i="7"/>
  <c r="H54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2" i="7"/>
  <c r="G51" i="7"/>
  <c r="F52" i="7"/>
  <c r="F51" i="7"/>
  <c r="E69" i="7"/>
  <c r="E66" i="7"/>
  <c r="E63" i="7"/>
  <c r="E60" i="7"/>
  <c r="E59" i="7"/>
  <c r="E58" i="7"/>
  <c r="E57" i="7"/>
  <c r="E52" i="7"/>
  <c r="H52" i="7" s="1"/>
  <c r="E51" i="7"/>
  <c r="AJ104" i="26" l="1"/>
  <c r="AJ47" i="26"/>
  <c r="AG41" i="28"/>
  <c r="M39" i="17"/>
  <c r="M38" i="17"/>
  <c r="L37" i="17"/>
  <c r="L36" i="17"/>
  <c r="L35" i="17"/>
  <c r="L17" i="17"/>
  <c r="L21" i="17"/>
  <c r="L16" i="17"/>
  <c r="L15" i="17"/>
  <c r="J46" i="7" l="1"/>
  <c r="D41" i="7"/>
  <c r="N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2" i="17"/>
  <c r="AJ140" i="26"/>
  <c r="AJ139" i="26"/>
  <c r="AJ138" i="26"/>
  <c r="AJ109" i="26"/>
  <c r="AJ110" i="26"/>
  <c r="AJ111" i="26"/>
  <c r="AJ112" i="26"/>
  <c r="AJ113" i="26"/>
  <c r="AJ114" i="26"/>
  <c r="AJ115" i="26"/>
  <c r="AJ116" i="26"/>
  <c r="AJ117" i="26"/>
  <c r="AJ118" i="26"/>
  <c r="AJ119" i="26"/>
  <c r="AJ120" i="26"/>
  <c r="AJ121" i="26"/>
  <c r="AJ122" i="26"/>
  <c r="AJ123" i="26"/>
  <c r="AJ124" i="26"/>
  <c r="AJ125" i="26"/>
  <c r="AJ126" i="26"/>
  <c r="AJ127" i="26"/>
  <c r="AJ128" i="26"/>
  <c r="AJ129" i="26"/>
  <c r="AJ130" i="26"/>
  <c r="AJ131" i="26"/>
  <c r="AJ132" i="26"/>
  <c r="AJ108" i="26"/>
  <c r="AJ73" i="26"/>
  <c r="AJ74" i="26"/>
  <c r="AJ75" i="26"/>
  <c r="AJ76" i="26"/>
  <c r="AJ77" i="26"/>
  <c r="AJ78" i="26"/>
  <c r="AJ79" i="26"/>
  <c r="AJ80" i="26"/>
  <c r="AJ81" i="26"/>
  <c r="AJ82" i="26"/>
  <c r="AJ83" i="26"/>
  <c r="AJ84" i="26"/>
  <c r="AJ85" i="26"/>
  <c r="AJ86" i="26"/>
  <c r="AJ87" i="26"/>
  <c r="AJ88" i="26"/>
  <c r="AJ89" i="26"/>
  <c r="AJ90" i="26"/>
  <c r="AJ91" i="26"/>
  <c r="AJ92" i="26"/>
  <c r="AJ93" i="26"/>
  <c r="AJ94" i="26"/>
  <c r="AJ95" i="26"/>
  <c r="AJ96" i="26"/>
  <c r="AJ97" i="26"/>
  <c r="AJ98" i="26"/>
  <c r="AJ99" i="26"/>
  <c r="AJ100" i="26"/>
  <c r="AJ101" i="26"/>
  <c r="AJ72" i="26"/>
  <c r="AJ51" i="26"/>
  <c r="AJ52" i="26"/>
  <c r="AJ53" i="26"/>
  <c r="AJ54" i="26"/>
  <c r="AJ55" i="26"/>
  <c r="AJ56" i="26"/>
  <c r="AJ57" i="26"/>
  <c r="AJ58" i="26"/>
  <c r="AJ59" i="26"/>
  <c r="AJ60" i="26"/>
  <c r="AJ61" i="26"/>
  <c r="AJ62" i="26"/>
  <c r="AJ63" i="26"/>
  <c r="AJ64" i="26"/>
  <c r="AJ50" i="26"/>
  <c r="AJ11" i="26"/>
  <c r="AJ12" i="26"/>
  <c r="AJ13" i="26"/>
  <c r="AJ14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J29" i="26"/>
  <c r="AJ30" i="26"/>
  <c r="AJ31" i="26"/>
  <c r="AJ32" i="26"/>
  <c r="AJ33" i="26"/>
  <c r="AJ34" i="26"/>
  <c r="AJ35" i="26"/>
  <c r="AJ36" i="26"/>
  <c r="AJ37" i="26"/>
  <c r="AJ38" i="26"/>
  <c r="AJ39" i="26"/>
  <c r="AJ40" i="26"/>
  <c r="AJ41" i="26"/>
  <c r="AJ42" i="26"/>
  <c r="AJ43" i="26"/>
  <c r="AJ44" i="26"/>
  <c r="AJ45" i="26"/>
  <c r="AJ10" i="26"/>
  <c r="M129" i="28" l="1"/>
  <c r="S126" i="28"/>
  <c r="R126" i="28"/>
  <c r="R129" i="28" s="1"/>
  <c r="Q126" i="28"/>
  <c r="P126" i="28"/>
  <c r="O126" i="28"/>
  <c r="N126" i="28"/>
  <c r="M126" i="28"/>
  <c r="L126" i="28"/>
  <c r="L129" i="28" s="1"/>
  <c r="K126" i="28"/>
  <c r="K129" i="28" s="1"/>
  <c r="J126" i="28"/>
  <c r="J129" i="28" s="1"/>
  <c r="I126" i="28"/>
  <c r="G126" i="28"/>
  <c r="H125" i="28"/>
  <c r="H126" i="28" s="1"/>
  <c r="H129" i="28" s="1"/>
  <c r="S124" i="28"/>
  <c r="A124" i="28"/>
  <c r="S123" i="28"/>
  <c r="A123" i="28"/>
  <c r="AE119" i="28"/>
  <c r="AD119" i="28"/>
  <c r="Y119" i="28"/>
  <c r="W119" i="28"/>
  <c r="V119" i="28"/>
  <c r="R119" i="28"/>
  <c r="Q119" i="28"/>
  <c r="Q129" i="28" s="1"/>
  <c r="P119" i="28"/>
  <c r="P129" i="28" s="1"/>
  <c r="O119" i="28"/>
  <c r="O129" i="28" s="1"/>
  <c r="N119" i="28"/>
  <c r="N129" i="28" s="1"/>
  <c r="M119" i="28"/>
  <c r="L119" i="28"/>
  <c r="K119" i="28"/>
  <c r="J119" i="28"/>
  <c r="I119" i="28"/>
  <c r="I129" i="28" s="1"/>
  <c r="H119" i="28"/>
  <c r="G119" i="28"/>
  <c r="G129" i="28" s="1"/>
  <c r="B119" i="28"/>
  <c r="AF118" i="28"/>
  <c r="AE118" i="28"/>
  <c r="AD118" i="28"/>
  <c r="AC118" i="28"/>
  <c r="AB118" i="28"/>
  <c r="AA118" i="28"/>
  <c r="Z118" i="28"/>
  <c r="Y118" i="28"/>
  <c r="X118" i="28"/>
  <c r="W118" i="28"/>
  <c r="V118" i="28"/>
  <c r="U118" i="28"/>
  <c r="AG118" i="28" s="1"/>
  <c r="S118" i="28"/>
  <c r="A118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AG117" i="28" s="1"/>
  <c r="S117" i="28"/>
  <c r="A117" i="28"/>
  <c r="AF116" i="28"/>
  <c r="AF119" i="28" s="1"/>
  <c r="AE116" i="28"/>
  <c r="AD116" i="28"/>
  <c r="AC116" i="28"/>
  <c r="AC119" i="28" s="1"/>
  <c r="AB116" i="28"/>
  <c r="AB119" i="28" s="1"/>
  <c r="AA116" i="28"/>
  <c r="AA119" i="28" s="1"/>
  <c r="Z116" i="28"/>
  <c r="Z119" i="28" s="1"/>
  <c r="Y116" i="28"/>
  <c r="X116" i="28"/>
  <c r="X119" i="28" s="1"/>
  <c r="W116" i="28"/>
  <c r="V116" i="28"/>
  <c r="U116" i="28"/>
  <c r="U119" i="28" s="1"/>
  <c r="S116" i="28"/>
  <c r="S119" i="28" s="1"/>
  <c r="T119" i="28" s="1"/>
  <c r="A116" i="28"/>
  <c r="AF115" i="28"/>
  <c r="AE115" i="28"/>
  <c r="AD115" i="28"/>
  <c r="AC115" i="28"/>
  <c r="AB115" i="28"/>
  <c r="AA115" i="28"/>
  <c r="Z115" i="28"/>
  <c r="Y115" i="28"/>
  <c r="X115" i="28"/>
  <c r="W115" i="28"/>
  <c r="V115" i="28"/>
  <c r="U115" i="28"/>
  <c r="AG115" i="28" s="1"/>
  <c r="AC113" i="28"/>
  <c r="AB113" i="28"/>
  <c r="AA113" i="28"/>
  <c r="Y113" i="28"/>
  <c r="X113" i="28"/>
  <c r="U113" i="28"/>
  <c r="R113" i="28"/>
  <c r="Q113" i="28"/>
  <c r="AE113" i="28" s="1"/>
  <c r="P113" i="28"/>
  <c r="AD113" i="28" s="1"/>
  <c r="O113" i="28"/>
  <c r="N113" i="28"/>
  <c r="M113" i="28"/>
  <c r="L113" i="28"/>
  <c r="Z113" i="28" s="1"/>
  <c r="K113" i="28"/>
  <c r="J113" i="28"/>
  <c r="I113" i="28"/>
  <c r="W113" i="28" s="1"/>
  <c r="H113" i="28"/>
  <c r="V113" i="28" s="1"/>
  <c r="G113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AG111" i="28" s="1"/>
  <c r="S111" i="28"/>
  <c r="A111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AG110" i="28" s="1"/>
  <c r="S110" i="28"/>
  <c r="A110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AG109" i="28" s="1"/>
  <c r="S109" i="28"/>
  <c r="A109" i="28"/>
  <c r="AF108" i="28"/>
  <c r="AE108" i="28"/>
  <c r="AD108" i="28"/>
  <c r="AC108" i="28"/>
  <c r="AB108" i="28"/>
  <c r="AA108" i="28"/>
  <c r="Z108" i="28"/>
  <c r="Y108" i="28"/>
  <c r="X108" i="28"/>
  <c r="W108" i="28"/>
  <c r="V108" i="28"/>
  <c r="U108" i="28"/>
  <c r="AG108" i="28" s="1"/>
  <c r="S108" i="28"/>
  <c r="A108" i="28"/>
  <c r="AF107" i="28"/>
  <c r="AE107" i="28"/>
  <c r="AD107" i="28"/>
  <c r="AC107" i="28"/>
  <c r="AB107" i="28"/>
  <c r="AA107" i="28"/>
  <c r="Z107" i="28"/>
  <c r="Y107" i="28"/>
  <c r="X107" i="28"/>
  <c r="W107" i="28"/>
  <c r="V107" i="28"/>
  <c r="U107" i="28"/>
  <c r="AG107" i="28" s="1"/>
  <c r="S107" i="28"/>
  <c r="A107" i="28"/>
  <c r="AF106" i="28"/>
  <c r="AN106" i="28" s="1"/>
  <c r="AE106" i="28"/>
  <c r="AD106" i="28"/>
  <c r="AC106" i="28"/>
  <c r="AB106" i="28"/>
  <c r="AA106" i="28"/>
  <c r="Z106" i="28"/>
  <c r="Y106" i="28"/>
  <c r="X106" i="28"/>
  <c r="W106" i="28"/>
  <c r="V106" i="28"/>
  <c r="AG106" i="28" s="1"/>
  <c r="U106" i="28"/>
  <c r="S106" i="28"/>
  <c r="A106" i="28"/>
  <c r="AF105" i="28"/>
  <c r="AN105" i="28" s="1"/>
  <c r="AE105" i="28"/>
  <c r="AD105" i="28"/>
  <c r="AC105" i="28"/>
  <c r="AB105" i="28"/>
  <c r="AA105" i="28"/>
  <c r="Z105" i="28"/>
  <c r="Y105" i="28"/>
  <c r="X105" i="28"/>
  <c r="W105" i="28"/>
  <c r="V105" i="28"/>
  <c r="U105" i="28"/>
  <c r="AG105" i="28" s="1"/>
  <c r="S105" i="28"/>
  <c r="A105" i="28"/>
  <c r="AF104" i="28"/>
  <c r="AN104" i="28" s="1"/>
  <c r="AE104" i="28"/>
  <c r="AD104" i="28"/>
  <c r="AC104" i="28"/>
  <c r="AB104" i="28"/>
  <c r="AA104" i="28"/>
  <c r="Z104" i="28"/>
  <c r="Y104" i="28"/>
  <c r="X104" i="28"/>
  <c r="AG104" i="28" s="1"/>
  <c r="W104" i="28"/>
  <c r="V104" i="28"/>
  <c r="U104" i="28"/>
  <c r="S104" i="28"/>
  <c r="A104" i="28"/>
  <c r="AD103" i="28"/>
  <c r="AC103" i="28"/>
  <c r="AB103" i="28"/>
  <c r="Z103" i="28"/>
  <c r="Y103" i="28"/>
  <c r="V103" i="28"/>
  <c r="U103" i="28"/>
  <c r="S103" i="28"/>
  <c r="E103" i="28"/>
  <c r="AF103" i="28" s="1"/>
  <c r="AN103" i="28" s="1"/>
  <c r="A103" i="28"/>
  <c r="S102" i="28"/>
  <c r="E102" i="28"/>
  <c r="Z102" i="28" s="1"/>
  <c r="A102" i="28"/>
  <c r="AF101" i="28"/>
  <c r="AN101" i="28" s="1"/>
  <c r="AD101" i="28"/>
  <c r="AC101" i="28"/>
  <c r="X101" i="28"/>
  <c r="V101" i="28"/>
  <c r="U101" i="28"/>
  <c r="S101" i="28"/>
  <c r="E101" i="28"/>
  <c r="AB101" i="28" s="1"/>
  <c r="A101" i="28"/>
  <c r="AF100" i="28"/>
  <c r="AE100" i="28"/>
  <c r="AD100" i="28"/>
  <c r="AC100" i="28"/>
  <c r="AB100" i="28"/>
  <c r="AA100" i="28"/>
  <c r="Z100" i="28"/>
  <c r="Y100" i="28"/>
  <c r="X100" i="28"/>
  <c r="W100" i="28"/>
  <c r="V100" i="28"/>
  <c r="AG100" i="28" s="1"/>
  <c r="U100" i="28"/>
  <c r="S100" i="28"/>
  <c r="A100" i="28"/>
  <c r="AF99" i="28"/>
  <c r="AE99" i="28"/>
  <c r="AD99" i="28"/>
  <c r="AC99" i="28"/>
  <c r="AB99" i="28"/>
  <c r="AA99" i="28"/>
  <c r="Z99" i="28"/>
  <c r="Y99" i="28"/>
  <c r="X99" i="28"/>
  <c r="W99" i="28"/>
  <c r="V99" i="28"/>
  <c r="AG99" i="28" s="1"/>
  <c r="U99" i="28"/>
  <c r="S99" i="28"/>
  <c r="A99" i="28"/>
  <c r="AF98" i="28"/>
  <c r="AE98" i="28"/>
  <c r="AD98" i="28"/>
  <c r="AC98" i="28"/>
  <c r="AB98" i="28"/>
  <c r="AA98" i="28"/>
  <c r="Z98" i="28"/>
  <c r="Y98" i="28"/>
  <c r="X98" i="28"/>
  <c r="W98" i="28"/>
  <c r="V98" i="28"/>
  <c r="AG98" i="28" s="1"/>
  <c r="U98" i="28"/>
  <c r="S98" i="28"/>
  <c r="A98" i="28"/>
  <c r="AF97" i="28"/>
  <c r="AE97" i="28"/>
  <c r="AD97" i="28"/>
  <c r="AC97" i="28"/>
  <c r="AB97" i="28"/>
  <c r="AA97" i="28"/>
  <c r="Z97" i="28"/>
  <c r="Y97" i="28"/>
  <c r="X97" i="28"/>
  <c r="W97" i="28"/>
  <c r="V97" i="28"/>
  <c r="AG97" i="28" s="1"/>
  <c r="U97" i="28"/>
  <c r="S97" i="28"/>
  <c r="A97" i="28"/>
  <c r="AF96" i="28"/>
  <c r="AE96" i="28"/>
  <c r="AD96" i="28"/>
  <c r="AC96" i="28"/>
  <c r="AB96" i="28"/>
  <c r="AA96" i="28"/>
  <c r="Z96" i="28"/>
  <c r="Y96" i="28"/>
  <c r="X96" i="28"/>
  <c r="W96" i="28"/>
  <c r="V96" i="28"/>
  <c r="AG96" i="28" s="1"/>
  <c r="U96" i="28"/>
  <c r="S96" i="28"/>
  <c r="A96" i="28"/>
  <c r="AF95" i="28"/>
  <c r="AE95" i="28"/>
  <c r="AD95" i="28"/>
  <c r="AC95" i="28"/>
  <c r="AB95" i="28"/>
  <c r="AA95" i="28"/>
  <c r="Z95" i="28"/>
  <c r="Y95" i="28"/>
  <c r="X95" i="28"/>
  <c r="W95" i="28"/>
  <c r="V95" i="28"/>
  <c r="AG95" i="28" s="1"/>
  <c r="U95" i="28"/>
  <c r="S95" i="28"/>
  <c r="A95" i="28"/>
  <c r="AF94" i="28"/>
  <c r="AE94" i="28"/>
  <c r="AD94" i="28"/>
  <c r="AC94" i="28"/>
  <c r="AB94" i="28"/>
  <c r="AA94" i="28"/>
  <c r="Z94" i="28"/>
  <c r="Y94" i="28"/>
  <c r="X94" i="28"/>
  <c r="W94" i="28"/>
  <c r="V94" i="28"/>
  <c r="AG94" i="28" s="1"/>
  <c r="U94" i="28"/>
  <c r="S94" i="28"/>
  <c r="A94" i="28"/>
  <c r="AF93" i="28"/>
  <c r="AE93" i="28"/>
  <c r="AD93" i="28"/>
  <c r="AC93" i="28"/>
  <c r="AB93" i="28"/>
  <c r="AA93" i="28"/>
  <c r="Z93" i="28"/>
  <c r="Y93" i="28"/>
  <c r="X93" i="28"/>
  <c r="W93" i="28"/>
  <c r="V93" i="28"/>
  <c r="AG93" i="28" s="1"/>
  <c r="U93" i="28"/>
  <c r="S93" i="28"/>
  <c r="A93" i="28"/>
  <c r="AF92" i="28"/>
  <c r="AE92" i="28"/>
  <c r="AD92" i="28"/>
  <c r="AC92" i="28"/>
  <c r="AB92" i="28"/>
  <c r="AA92" i="28"/>
  <c r="Z92" i="28"/>
  <c r="Y92" i="28"/>
  <c r="X92" i="28"/>
  <c r="W92" i="28"/>
  <c r="V92" i="28"/>
  <c r="AG92" i="28" s="1"/>
  <c r="U92" i="28"/>
  <c r="S92" i="28"/>
  <c r="A92" i="28"/>
  <c r="AF91" i="28"/>
  <c r="AE91" i="28"/>
  <c r="AD91" i="28"/>
  <c r="AC91" i="28"/>
  <c r="AB91" i="28"/>
  <c r="AA91" i="28"/>
  <c r="Z91" i="28"/>
  <c r="Y91" i="28"/>
  <c r="X91" i="28"/>
  <c r="W91" i="28"/>
  <c r="V91" i="28"/>
  <c r="AG91" i="28" s="1"/>
  <c r="U91" i="28"/>
  <c r="S91" i="28"/>
  <c r="A91" i="28"/>
  <c r="AF90" i="28"/>
  <c r="AE90" i="28"/>
  <c r="AD90" i="28"/>
  <c r="AC90" i="28"/>
  <c r="AB90" i="28"/>
  <c r="AA90" i="28"/>
  <c r="Z90" i="28"/>
  <c r="Y90" i="28"/>
  <c r="X90" i="28"/>
  <c r="W90" i="28"/>
  <c r="V90" i="28"/>
  <c r="AG90" i="28" s="1"/>
  <c r="U90" i="28"/>
  <c r="S90" i="28"/>
  <c r="S113" i="28" s="1"/>
  <c r="T113" i="28" s="1"/>
  <c r="A90" i="28"/>
  <c r="AF89" i="28"/>
  <c r="AE89" i="28"/>
  <c r="AD89" i="28"/>
  <c r="AC89" i="28"/>
  <c r="AB89" i="28"/>
  <c r="AA89" i="28"/>
  <c r="Z89" i="28"/>
  <c r="Y89" i="28"/>
  <c r="X89" i="28"/>
  <c r="W89" i="28"/>
  <c r="V89" i="28"/>
  <c r="AG89" i="28" s="1"/>
  <c r="U89" i="28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AG87" i="28" s="1"/>
  <c r="B87" i="28"/>
  <c r="AE84" i="28"/>
  <c r="AD84" i="28"/>
  <c r="AA84" i="28"/>
  <c r="Z84" i="28"/>
  <c r="W84" i="28"/>
  <c r="V84" i="28"/>
  <c r="R84" i="28"/>
  <c r="Q84" i="28"/>
  <c r="P84" i="28"/>
  <c r="O84" i="28"/>
  <c r="AC84" i="28" s="1"/>
  <c r="N84" i="28"/>
  <c r="AB84" i="28" s="1"/>
  <c r="M84" i="28"/>
  <c r="L84" i="28"/>
  <c r="K84" i="28"/>
  <c r="Y84" i="28" s="1"/>
  <c r="J84" i="28"/>
  <c r="X84" i="28" s="1"/>
  <c r="I84" i="28"/>
  <c r="H84" i="28"/>
  <c r="G84" i="28"/>
  <c r="U84" i="28" s="1"/>
  <c r="AF82" i="28"/>
  <c r="AE82" i="28"/>
  <c r="AD82" i="28"/>
  <c r="AC82" i="28"/>
  <c r="AB82" i="28"/>
  <c r="AA82" i="28"/>
  <c r="Z82" i="28"/>
  <c r="Y82" i="28"/>
  <c r="X82" i="28"/>
  <c r="W82" i="28"/>
  <c r="V82" i="28"/>
  <c r="AG82" i="28" s="1"/>
  <c r="U82" i="28"/>
  <c r="S82" i="28"/>
  <c r="A82" i="28"/>
  <c r="AF81" i="28"/>
  <c r="AE81" i="28"/>
  <c r="AD81" i="28"/>
  <c r="AC81" i="28"/>
  <c r="AB81" i="28"/>
  <c r="AA81" i="28"/>
  <c r="Z81" i="28"/>
  <c r="Y81" i="28"/>
  <c r="X81" i="28"/>
  <c r="W81" i="28"/>
  <c r="V81" i="28"/>
  <c r="AG81" i="28" s="1"/>
  <c r="U81" i="28"/>
  <c r="S81" i="28"/>
  <c r="A81" i="28"/>
  <c r="AF80" i="28"/>
  <c r="AE80" i="28"/>
  <c r="AD80" i="28"/>
  <c r="AC80" i="28"/>
  <c r="AB80" i="28"/>
  <c r="AA80" i="28"/>
  <c r="Z80" i="28"/>
  <c r="Y80" i="28"/>
  <c r="X80" i="28"/>
  <c r="W80" i="28"/>
  <c r="V80" i="28"/>
  <c r="AG80" i="28" s="1"/>
  <c r="U80" i="28"/>
  <c r="S80" i="28"/>
  <c r="A80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AG79" i="28" s="1"/>
  <c r="S79" i="28"/>
  <c r="A79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AG78" i="28" s="1"/>
  <c r="S78" i="28"/>
  <c r="A78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AG77" i="28" s="1"/>
  <c r="S77" i="28"/>
  <c r="A77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AG76" i="28" s="1"/>
  <c r="S76" i="28"/>
  <c r="A76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AG75" i="28" s="1"/>
  <c r="S75" i="28"/>
  <c r="A75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AG74" i="28" s="1"/>
  <c r="S74" i="28"/>
  <c r="A74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AG73" i="28" s="1"/>
  <c r="S73" i="28"/>
  <c r="A73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AG72" i="28" s="1"/>
  <c r="S72" i="28"/>
  <c r="A72" i="28"/>
  <c r="AF71" i="28"/>
  <c r="AN71" i="28" s="1"/>
  <c r="AC71" i="28"/>
  <c r="Y71" i="28"/>
  <c r="X71" i="28"/>
  <c r="U71" i="28"/>
  <c r="S71" i="28"/>
  <c r="E71" i="28"/>
  <c r="AE71" i="28" s="1"/>
  <c r="A71" i="28"/>
  <c r="Z70" i="28"/>
  <c r="S70" i="28"/>
  <c r="E70" i="28"/>
  <c r="Y70" i="28" s="1"/>
  <c r="B70" i="28"/>
  <c r="A70" i="28"/>
  <c r="AF69" i="28"/>
  <c r="AN69" i="28" s="1"/>
  <c r="AE69" i="28"/>
  <c r="AD69" i="28"/>
  <c r="AC69" i="28"/>
  <c r="AB69" i="28"/>
  <c r="Z69" i="28"/>
  <c r="Y69" i="28"/>
  <c r="X69" i="28"/>
  <c r="W69" i="28"/>
  <c r="V69" i="28"/>
  <c r="U69" i="28"/>
  <c r="S69" i="28"/>
  <c r="E69" i="28"/>
  <c r="AA69" i="28" s="1"/>
  <c r="A69" i="28"/>
  <c r="AE68" i="28"/>
  <c r="AD68" i="28"/>
  <c r="W68" i="28"/>
  <c r="V68" i="28"/>
  <c r="S68" i="28"/>
  <c r="E68" i="28"/>
  <c r="AC68" i="28" s="1"/>
  <c r="A68" i="28"/>
  <c r="AF67" i="28"/>
  <c r="AN67" i="28" s="1"/>
  <c r="AC67" i="28"/>
  <c r="AB67" i="28"/>
  <c r="Y67" i="28"/>
  <c r="X67" i="28"/>
  <c r="U67" i="28"/>
  <c r="S67" i="28"/>
  <c r="E67" i="28"/>
  <c r="AE67" i="28" s="1"/>
  <c r="A67" i="28"/>
  <c r="Z66" i="28"/>
  <c r="S66" i="28"/>
  <c r="E66" i="28"/>
  <c r="Y66" i="28" s="1"/>
  <c r="A66" i="28"/>
  <c r="AF65" i="28"/>
  <c r="AE65" i="28"/>
  <c r="AD65" i="28"/>
  <c r="AC65" i="28"/>
  <c r="AB65" i="28"/>
  <c r="AA65" i="28"/>
  <c r="Z65" i="28"/>
  <c r="Y65" i="28"/>
  <c r="X65" i="28"/>
  <c r="W65" i="28"/>
  <c r="V65" i="28"/>
  <c r="AG65" i="28" s="1"/>
  <c r="U65" i="28"/>
  <c r="S65" i="28"/>
  <c r="A65" i="28"/>
  <c r="AF64" i="28"/>
  <c r="AE64" i="28"/>
  <c r="AD64" i="28"/>
  <c r="AC64" i="28"/>
  <c r="AB64" i="28"/>
  <c r="AA64" i="28"/>
  <c r="Z64" i="28"/>
  <c r="Y64" i="28"/>
  <c r="X64" i="28"/>
  <c r="W64" i="28"/>
  <c r="V64" i="28"/>
  <c r="AG64" i="28" s="1"/>
  <c r="U64" i="28"/>
  <c r="S64" i="28"/>
  <c r="A64" i="28"/>
  <c r="AF63" i="28"/>
  <c r="AE63" i="28"/>
  <c r="AD63" i="28"/>
  <c r="AC63" i="28"/>
  <c r="AB63" i="28"/>
  <c r="AA63" i="28"/>
  <c r="Z63" i="28"/>
  <c r="Y63" i="28"/>
  <c r="X63" i="28"/>
  <c r="W63" i="28"/>
  <c r="V63" i="28"/>
  <c r="AG63" i="28" s="1"/>
  <c r="U63" i="28"/>
  <c r="S63" i="28"/>
  <c r="B63" i="28"/>
  <c r="A63" i="28"/>
  <c r="AF62" i="28"/>
  <c r="AE62" i="28"/>
  <c r="AD62" i="28"/>
  <c r="AC62" i="28"/>
  <c r="AB62" i="28"/>
  <c r="AA62" i="28"/>
  <c r="Z62" i="28"/>
  <c r="Y62" i="28"/>
  <c r="X62" i="28"/>
  <c r="W62" i="28"/>
  <c r="V62" i="28"/>
  <c r="AG62" i="28" s="1"/>
  <c r="U62" i="28"/>
  <c r="S62" i="28"/>
  <c r="B62" i="28"/>
  <c r="A62" i="28"/>
  <c r="AF61" i="28"/>
  <c r="AE61" i="28"/>
  <c r="AD61" i="28"/>
  <c r="AC61" i="28"/>
  <c r="AB61" i="28"/>
  <c r="AA61" i="28"/>
  <c r="Z61" i="28"/>
  <c r="Y61" i="28"/>
  <c r="X61" i="28"/>
  <c r="W61" i="28"/>
  <c r="V61" i="28"/>
  <c r="AG61" i="28" s="1"/>
  <c r="U61" i="28"/>
  <c r="S61" i="28"/>
  <c r="S84" i="28" s="1"/>
  <c r="T84" i="28" s="1"/>
  <c r="A61" i="28"/>
  <c r="AF60" i="28"/>
  <c r="AE60" i="28"/>
  <c r="AD60" i="28"/>
  <c r="AC60" i="28"/>
  <c r="AB60" i="28"/>
  <c r="AA60" i="28"/>
  <c r="Z60" i="28"/>
  <c r="Y60" i="28"/>
  <c r="X60" i="28"/>
  <c r="W60" i="28"/>
  <c r="V60" i="28"/>
  <c r="AG60" i="28" s="1"/>
  <c r="U60" i="28"/>
  <c r="AG58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AF56" i="28"/>
  <c r="AE56" i="28"/>
  <c r="AB56" i="28"/>
  <c r="AA56" i="28"/>
  <c r="X56" i="28"/>
  <c r="W56" i="28"/>
  <c r="R56" i="28"/>
  <c r="Q56" i="28"/>
  <c r="P56" i="28"/>
  <c r="AD56" i="28" s="1"/>
  <c r="O56" i="28"/>
  <c r="AC56" i="28" s="1"/>
  <c r="N56" i="28"/>
  <c r="M56" i="28"/>
  <c r="L56" i="28"/>
  <c r="Z56" i="28" s="1"/>
  <c r="K56" i="28"/>
  <c r="Y56" i="28" s="1"/>
  <c r="J56" i="28"/>
  <c r="I56" i="28"/>
  <c r="H56" i="28"/>
  <c r="V56" i="28" s="1"/>
  <c r="G56" i="28"/>
  <c r="U56" i="28" s="1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AG55" i="28" s="1"/>
  <c r="B55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AG54" i="28" s="1"/>
  <c r="AF53" i="28"/>
  <c r="AE53" i="28"/>
  <c r="AB53" i="28"/>
  <c r="Z53" i="28"/>
  <c r="X53" i="28"/>
  <c r="W53" i="28"/>
  <c r="S53" i="28"/>
  <c r="E53" i="28"/>
  <c r="AD53" i="28" s="1"/>
  <c r="A53" i="28"/>
  <c r="AF52" i="28"/>
  <c r="AE52" i="28"/>
  <c r="AD52" i="28"/>
  <c r="AC52" i="28"/>
  <c r="AB52" i="28"/>
  <c r="AA52" i="28"/>
  <c r="Z52" i="28"/>
  <c r="Y52" i="28"/>
  <c r="X52" i="28"/>
  <c r="AG52" i="28" s="1"/>
  <c r="W52" i="28"/>
  <c r="V52" i="28"/>
  <c r="U52" i="28"/>
  <c r="S52" i="28"/>
  <c r="A52" i="28"/>
  <c r="AF51" i="28"/>
  <c r="AE51" i="28"/>
  <c r="AD51" i="28"/>
  <c r="AC51" i="28"/>
  <c r="AB51" i="28"/>
  <c r="AA51" i="28"/>
  <c r="Z51" i="28"/>
  <c r="Y51" i="28"/>
  <c r="X51" i="28"/>
  <c r="AG51" i="28" s="1"/>
  <c r="W51" i="28"/>
  <c r="V51" i="28"/>
  <c r="U51" i="28"/>
  <c r="S51" i="28"/>
  <c r="A51" i="28"/>
  <c r="AF50" i="28"/>
  <c r="AE50" i="28"/>
  <c r="AD50" i="28"/>
  <c r="AC50" i="28"/>
  <c r="AB50" i="28"/>
  <c r="AA50" i="28"/>
  <c r="Z50" i="28"/>
  <c r="Y50" i="28"/>
  <c r="X50" i="28"/>
  <c r="AG50" i="28" s="1"/>
  <c r="W50" i="28"/>
  <c r="V50" i="28"/>
  <c r="U50" i="28"/>
  <c r="S50" i="28"/>
  <c r="A50" i="28"/>
  <c r="AN49" i="28"/>
  <c r="AF49" i="28"/>
  <c r="AE49" i="28"/>
  <c r="AD49" i="28"/>
  <c r="AC49" i="28"/>
  <c r="AB49" i="28"/>
  <c r="AA49" i="28"/>
  <c r="Z49" i="28"/>
  <c r="Y49" i="28"/>
  <c r="AG49" i="28" s="1"/>
  <c r="X49" i="28"/>
  <c r="W49" i="28"/>
  <c r="V49" i="28"/>
  <c r="U49" i="28"/>
  <c r="S49" i="28"/>
  <c r="A49" i="28"/>
  <c r="AN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AG48" i="28" s="1"/>
  <c r="S48" i="28"/>
  <c r="A48" i="28"/>
  <c r="AF47" i="28"/>
  <c r="AN47" i="28" s="1"/>
  <c r="AJ55" i="28" s="1"/>
  <c r="AE47" i="28"/>
  <c r="AD47" i="28"/>
  <c r="AC47" i="28"/>
  <c r="AB47" i="28"/>
  <c r="AA47" i="28"/>
  <c r="Z47" i="28"/>
  <c r="Y47" i="28"/>
  <c r="X47" i="28"/>
  <c r="W47" i="28"/>
  <c r="V47" i="28"/>
  <c r="U47" i="28"/>
  <c r="AG47" i="28" s="1"/>
  <c r="S47" i="28"/>
  <c r="B47" i="28"/>
  <c r="A47" i="28"/>
  <c r="S46" i="28"/>
  <c r="E46" i="28"/>
  <c r="Z46" i="28" s="1"/>
  <c r="A46" i="28"/>
  <c r="AF45" i="28"/>
  <c r="AE45" i="28"/>
  <c r="AD45" i="28"/>
  <c r="AC45" i="28"/>
  <c r="AB45" i="28"/>
  <c r="Z45" i="28"/>
  <c r="Y45" i="28"/>
  <c r="X45" i="28"/>
  <c r="W45" i="28"/>
  <c r="V45" i="28"/>
  <c r="U45" i="28"/>
  <c r="S45" i="28"/>
  <c r="S56" i="28" s="1"/>
  <c r="E45" i="28"/>
  <c r="AA45" i="28" s="1"/>
  <c r="A45" i="28"/>
  <c r="AF44" i="28"/>
  <c r="AE44" i="28"/>
  <c r="AD44" i="28"/>
  <c r="AC44" i="28"/>
  <c r="Z44" i="28"/>
  <c r="Y44" i="28"/>
  <c r="X44" i="28"/>
  <c r="W44" i="28"/>
  <c r="V44" i="28"/>
  <c r="U44" i="28"/>
  <c r="S44" i="28"/>
  <c r="E44" i="28"/>
  <c r="AB44" i="28" s="1"/>
  <c r="A44" i="28"/>
  <c r="AF43" i="28"/>
  <c r="AE43" i="28"/>
  <c r="AD43" i="28"/>
  <c r="AC43" i="28"/>
  <c r="AB43" i="28"/>
  <c r="AA43" i="28"/>
  <c r="Z43" i="28"/>
  <c r="Y43" i="28"/>
  <c r="X43" i="28"/>
  <c r="W43" i="28"/>
  <c r="V43" i="28"/>
  <c r="AG43" i="28" s="1"/>
  <c r="U43" i="28"/>
  <c r="AF40" i="28"/>
  <c r="AE40" i="28"/>
  <c r="AC40" i="28"/>
  <c r="AB40" i="28"/>
  <c r="X40" i="28"/>
  <c r="W40" i="28"/>
  <c r="U40" i="28"/>
  <c r="R40" i="28"/>
  <c r="Q40" i="28"/>
  <c r="P40" i="28"/>
  <c r="AD40" i="28" s="1"/>
  <c r="O40" i="28"/>
  <c r="N40" i="28"/>
  <c r="M40" i="28"/>
  <c r="AA40" i="28" s="1"/>
  <c r="L40" i="28"/>
  <c r="Z40" i="28" s="1"/>
  <c r="K40" i="28"/>
  <c r="Y40" i="28" s="1"/>
  <c r="J40" i="28"/>
  <c r="I40" i="28"/>
  <c r="H40" i="28"/>
  <c r="V40" i="28" s="1"/>
  <c r="G40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AG39" i="28" s="1"/>
  <c r="S39" i="28"/>
  <c r="A39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AG38" i="28" s="1"/>
  <c r="S38" i="28"/>
  <c r="A38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AG37" i="28" s="1"/>
  <c r="S37" i="28"/>
  <c r="A37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AG36" i="28" s="1"/>
  <c r="S36" i="28"/>
  <c r="A36" i="28"/>
  <c r="AF35" i="28"/>
  <c r="AE35" i="28"/>
  <c r="AD35" i="28"/>
  <c r="AC35" i="28"/>
  <c r="AB35" i="28"/>
  <c r="AA35" i="28"/>
  <c r="Z35" i="28"/>
  <c r="Y35" i="28"/>
  <c r="X35" i="28"/>
  <c r="AG35" i="28" s="1"/>
  <c r="W35" i="28"/>
  <c r="V35" i="28"/>
  <c r="U35" i="28"/>
  <c r="S35" i="28"/>
  <c r="A35" i="28"/>
  <c r="AN34" i="28"/>
  <c r="AG34" i="28"/>
  <c r="AF34" i="28"/>
  <c r="AE34" i="28"/>
  <c r="AD34" i="28"/>
  <c r="AC34" i="28"/>
  <c r="AB34" i="28"/>
  <c r="AA34" i="28"/>
  <c r="Z34" i="28"/>
  <c r="Y34" i="28"/>
  <c r="X34" i="28"/>
  <c r="W34" i="28"/>
  <c r="V34" i="28"/>
  <c r="U34" i="28"/>
  <c r="S34" i="28"/>
  <c r="A34" i="28"/>
  <c r="AD33" i="28"/>
  <c r="AC33" i="28"/>
  <c r="AB33" i="28"/>
  <c r="Z33" i="28"/>
  <c r="Y33" i="28"/>
  <c r="V33" i="28"/>
  <c r="U33" i="28"/>
  <c r="S33" i="28"/>
  <c r="E33" i="28"/>
  <c r="AF33" i="28" s="1"/>
  <c r="A33" i="28"/>
  <c r="Z32" i="28"/>
  <c r="S32" i="28"/>
  <c r="E32" i="28"/>
  <c r="Y32" i="28" s="1"/>
  <c r="A32" i="28"/>
  <c r="S31" i="28"/>
  <c r="E31" i="28"/>
  <c r="Z31" i="28" s="1"/>
  <c r="A31" i="28"/>
  <c r="AF30" i="28"/>
  <c r="AN30" i="28" s="1"/>
  <c r="AE30" i="28"/>
  <c r="AD30" i="28"/>
  <c r="AC30" i="28"/>
  <c r="AB30" i="28"/>
  <c r="AA30" i="28"/>
  <c r="Z30" i="28"/>
  <c r="Y30" i="28"/>
  <c r="X30" i="28"/>
  <c r="W30" i="28"/>
  <c r="V30" i="28"/>
  <c r="U30" i="28"/>
  <c r="AG30" i="28" s="1"/>
  <c r="S30" i="28"/>
  <c r="A30" i="28"/>
  <c r="AN29" i="28"/>
  <c r="AF29" i="28"/>
  <c r="AE29" i="28"/>
  <c r="AD29" i="28"/>
  <c r="AC29" i="28"/>
  <c r="AB29" i="28"/>
  <c r="AA29" i="28"/>
  <c r="Z29" i="28"/>
  <c r="Y29" i="28"/>
  <c r="X29" i="28"/>
  <c r="W29" i="28"/>
  <c r="V29" i="28"/>
  <c r="AG29" i="28" s="1"/>
  <c r="U29" i="28"/>
  <c r="S29" i="28"/>
  <c r="A29" i="28"/>
  <c r="AF28" i="28"/>
  <c r="AN28" i="28" s="1"/>
  <c r="AE28" i="28"/>
  <c r="AD28" i="28"/>
  <c r="AC28" i="28"/>
  <c r="AB28" i="28"/>
  <c r="AA28" i="28"/>
  <c r="Z28" i="28"/>
  <c r="Y28" i="28"/>
  <c r="X28" i="28"/>
  <c r="W28" i="28"/>
  <c r="AG28" i="28" s="1"/>
  <c r="V28" i="28"/>
  <c r="U28" i="28"/>
  <c r="S28" i="28"/>
  <c r="A28" i="28"/>
  <c r="AF27" i="28"/>
  <c r="AE27" i="28"/>
  <c r="AD27" i="28"/>
  <c r="AC27" i="28"/>
  <c r="AB27" i="28"/>
  <c r="AA27" i="28"/>
  <c r="Z27" i="28"/>
  <c r="Y27" i="28"/>
  <c r="X27" i="28"/>
  <c r="W27" i="28"/>
  <c r="AG27" i="28" s="1"/>
  <c r="V27" i="28"/>
  <c r="U27" i="28"/>
  <c r="S27" i="28"/>
  <c r="A27" i="28"/>
  <c r="AF26" i="28"/>
  <c r="AE26" i="28"/>
  <c r="AD26" i="28"/>
  <c r="AC26" i="28"/>
  <c r="AB26" i="28"/>
  <c r="AA26" i="28"/>
  <c r="Z26" i="28"/>
  <c r="Y26" i="28"/>
  <c r="X26" i="28"/>
  <c r="W26" i="28"/>
  <c r="AG26" i="28" s="1"/>
  <c r="V26" i="28"/>
  <c r="U26" i="28"/>
  <c r="S26" i="28"/>
  <c r="A26" i="28"/>
  <c r="AF25" i="28"/>
  <c r="AE25" i="28"/>
  <c r="AB25" i="28"/>
  <c r="Z25" i="28"/>
  <c r="X25" i="28"/>
  <c r="W25" i="28"/>
  <c r="S25" i="28"/>
  <c r="E25" i="28"/>
  <c r="AD25" i="28" s="1"/>
  <c r="A25" i="28"/>
  <c r="AF24" i="28"/>
  <c r="Y24" i="28"/>
  <c r="X24" i="28"/>
  <c r="S24" i="28"/>
  <c r="E24" i="28"/>
  <c r="AE24" i="28" s="1"/>
  <c r="A24" i="28"/>
  <c r="AD23" i="28"/>
  <c r="AC23" i="28"/>
  <c r="AB23" i="28"/>
  <c r="Z23" i="28"/>
  <c r="Y23" i="28"/>
  <c r="V23" i="28"/>
  <c r="U23" i="28"/>
  <c r="S23" i="28"/>
  <c r="E23" i="28"/>
  <c r="AF23" i="28" s="1"/>
  <c r="A23" i="28"/>
  <c r="Z22" i="28"/>
  <c r="S22" i="28"/>
  <c r="E22" i="28"/>
  <c r="Y22" i="28" s="1"/>
  <c r="A22" i="28"/>
  <c r="AF21" i="28"/>
  <c r="AN21" i="28" s="1"/>
  <c r="AE21" i="28"/>
  <c r="AD21" i="28"/>
  <c r="AC21" i="28"/>
  <c r="AB21" i="28"/>
  <c r="AA21" i="28"/>
  <c r="Z21" i="28"/>
  <c r="Y21" i="28"/>
  <c r="X21" i="28"/>
  <c r="W21" i="28"/>
  <c r="V21" i="28"/>
  <c r="U21" i="28"/>
  <c r="AG21" i="28" s="1"/>
  <c r="S21" i="28"/>
  <c r="A21" i="28"/>
  <c r="AF20" i="28"/>
  <c r="AN20" i="28" s="1"/>
  <c r="AE20" i="28"/>
  <c r="AD20" i="28"/>
  <c r="AC20" i="28"/>
  <c r="AB20" i="28"/>
  <c r="AA20" i="28"/>
  <c r="Z20" i="28"/>
  <c r="Y20" i="28"/>
  <c r="X20" i="28"/>
  <c r="W20" i="28"/>
  <c r="V20" i="28"/>
  <c r="U20" i="28"/>
  <c r="AG20" i="28" s="1"/>
  <c r="S20" i="28"/>
  <c r="A20" i="28"/>
  <c r="AN19" i="28"/>
  <c r="AF19" i="28"/>
  <c r="AE19" i="28"/>
  <c r="AD19" i="28"/>
  <c r="AC19" i="28"/>
  <c r="AB19" i="28"/>
  <c r="AA19" i="28"/>
  <c r="Z19" i="28"/>
  <c r="Y19" i="28"/>
  <c r="X19" i="28"/>
  <c r="W19" i="28"/>
  <c r="V19" i="28"/>
  <c r="AG19" i="28" s="1"/>
  <c r="U19" i="28"/>
  <c r="S19" i="28"/>
  <c r="A19" i="28"/>
  <c r="AF18" i="28"/>
  <c r="AN18" i="28" s="1"/>
  <c r="AE18" i="28"/>
  <c r="AD18" i="28"/>
  <c r="AC18" i="28"/>
  <c r="AB18" i="28"/>
  <c r="AA18" i="28"/>
  <c r="Z18" i="28"/>
  <c r="Y18" i="28"/>
  <c r="X18" i="28"/>
  <c r="W18" i="28"/>
  <c r="AG18" i="28" s="1"/>
  <c r="V18" i="28"/>
  <c r="U18" i="28"/>
  <c r="S18" i="28"/>
  <c r="A18" i="28"/>
  <c r="AF17" i="28"/>
  <c r="AN17" i="28" s="1"/>
  <c r="AE17" i="28"/>
  <c r="AD17" i="28"/>
  <c r="AC17" i="28"/>
  <c r="AB17" i="28"/>
  <c r="AA17" i="28"/>
  <c r="Z17" i="28"/>
  <c r="Y17" i="28"/>
  <c r="X17" i="28"/>
  <c r="AG17" i="28" s="1"/>
  <c r="W17" i="28"/>
  <c r="V17" i="28"/>
  <c r="U17" i="28"/>
  <c r="S17" i="28"/>
  <c r="A17" i="28"/>
  <c r="AN16" i="28"/>
  <c r="AG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S16" i="28"/>
  <c r="A16" i="28"/>
  <c r="AN15" i="28"/>
  <c r="AF15" i="28"/>
  <c r="AE15" i="28"/>
  <c r="AD15" i="28"/>
  <c r="AC15" i="28"/>
  <c r="AB15" i="28"/>
  <c r="AA15" i="28"/>
  <c r="Z15" i="28"/>
  <c r="Y15" i="28"/>
  <c r="X15" i="28"/>
  <c r="W15" i="28"/>
  <c r="V15" i="28"/>
  <c r="U15" i="28"/>
  <c r="AG15" i="28" s="1"/>
  <c r="S15" i="28"/>
  <c r="A15" i="28"/>
  <c r="AF14" i="28"/>
  <c r="AN14" i="28" s="1"/>
  <c r="AE14" i="28"/>
  <c r="AD14" i="28"/>
  <c r="AC14" i="28"/>
  <c r="AB14" i="28"/>
  <c r="AA14" i="28"/>
  <c r="Z14" i="28"/>
  <c r="Y14" i="28"/>
  <c r="X14" i="28"/>
  <c r="W14" i="28"/>
  <c r="V14" i="28"/>
  <c r="U14" i="28"/>
  <c r="AG14" i="28" s="1"/>
  <c r="S14" i="28"/>
  <c r="A14" i="28"/>
  <c r="AF13" i="28"/>
  <c r="AN13" i="28" s="1"/>
  <c r="AE13" i="28"/>
  <c r="AD13" i="28"/>
  <c r="AC13" i="28"/>
  <c r="AB13" i="28"/>
  <c r="AA13" i="28"/>
  <c r="Z13" i="28"/>
  <c r="Y13" i="28"/>
  <c r="X13" i="28"/>
  <c r="W13" i="28"/>
  <c r="V13" i="28"/>
  <c r="U13" i="28"/>
  <c r="AG13" i="28" s="1"/>
  <c r="S13" i="28"/>
  <c r="S40" i="28" s="1"/>
  <c r="AG40" i="28" s="1"/>
  <c r="A13" i="28"/>
  <c r="AF12" i="28"/>
  <c r="AN12" i="28" s="1"/>
  <c r="AE12" i="28"/>
  <c r="AD12" i="28"/>
  <c r="AC12" i="28"/>
  <c r="AB12" i="28"/>
  <c r="AA12" i="28"/>
  <c r="Z12" i="28"/>
  <c r="Y12" i="28"/>
  <c r="X12" i="28"/>
  <c r="W12" i="28"/>
  <c r="V12" i="28"/>
  <c r="U12" i="28"/>
  <c r="AG12" i="28" s="1"/>
  <c r="S12" i="28"/>
  <c r="A12" i="28"/>
  <c r="AN11" i="28"/>
  <c r="AF11" i="28"/>
  <c r="AE11" i="28"/>
  <c r="AD11" i="28"/>
  <c r="AC11" i="28"/>
  <c r="AB11" i="28"/>
  <c r="AA11" i="28"/>
  <c r="Z11" i="28"/>
  <c r="Y11" i="28"/>
  <c r="X11" i="28"/>
  <c r="W11" i="28"/>
  <c r="V11" i="28"/>
  <c r="AG11" i="28" s="1"/>
  <c r="U11" i="28"/>
  <c r="S11" i="28"/>
  <c r="A11" i="28"/>
  <c r="AF10" i="28"/>
  <c r="AN10" i="28" s="1"/>
  <c r="AE10" i="28"/>
  <c r="AD10" i="28"/>
  <c r="AC10" i="28"/>
  <c r="AB10" i="28"/>
  <c r="AA10" i="28"/>
  <c r="Z10" i="28"/>
  <c r="Y10" i="28"/>
  <c r="X10" i="28"/>
  <c r="W10" i="28"/>
  <c r="AG10" i="28" s="1"/>
  <c r="V10" i="28"/>
  <c r="U10" i="28"/>
  <c r="S10" i="28"/>
  <c r="A10" i="28"/>
  <c r="Y4" i="28"/>
  <c r="X4" i="28"/>
  <c r="W4" i="28"/>
  <c r="R4" i="28"/>
  <c r="AF4" i="28" s="1"/>
  <c r="Q4" i="28"/>
  <c r="AE4" i="28" s="1"/>
  <c r="P4" i="28"/>
  <c r="AD4" i="28" s="1"/>
  <c r="O4" i="28"/>
  <c r="AC4" i="28" s="1"/>
  <c r="N4" i="28"/>
  <c r="AB4" i="28" s="1"/>
  <c r="M4" i="28"/>
  <c r="AA4" i="28" s="1"/>
  <c r="L4" i="28"/>
  <c r="Z4" i="28" s="1"/>
  <c r="K4" i="28"/>
  <c r="J4" i="28"/>
  <c r="I4" i="28"/>
  <c r="H4" i="28"/>
  <c r="V4" i="28" s="1"/>
  <c r="G4" i="28"/>
  <c r="U4" i="28" s="1"/>
  <c r="C3" i="28"/>
  <c r="B102" i="28" s="1"/>
  <c r="B22" i="28" l="1"/>
  <c r="B32" i="28"/>
  <c r="B61" i="28"/>
  <c r="B66" i="28"/>
  <c r="B65" i="28"/>
  <c r="B14" i="28"/>
  <c r="B64" i="28"/>
  <c r="T56" i="28"/>
  <c r="AG56" i="28"/>
  <c r="AG45" i="28"/>
  <c r="AJ35" i="28"/>
  <c r="S129" i="28"/>
  <c r="S131" i="28" s="1"/>
  <c r="AG69" i="28"/>
  <c r="B15" i="28"/>
  <c r="B103" i="28"/>
  <c r="B116" i="28"/>
  <c r="B117" i="28"/>
  <c r="B118" i="28"/>
  <c r="B7" i="28"/>
  <c r="B16" i="28"/>
  <c r="AB22" i="28"/>
  <c r="AA23" i="28"/>
  <c r="B24" i="28"/>
  <c r="Z24" i="28"/>
  <c r="Y25" i="28"/>
  <c r="U31" i="28"/>
  <c r="AG31" i="28" s="1"/>
  <c r="AC31" i="28"/>
  <c r="AB32" i="28"/>
  <c r="AA33" i="28"/>
  <c r="B34" i="28"/>
  <c r="U46" i="28"/>
  <c r="AC46" i="28"/>
  <c r="B49" i="28"/>
  <c r="Y53" i="28"/>
  <c r="AB66" i="28"/>
  <c r="B67" i="28"/>
  <c r="Z67" i="28"/>
  <c r="X68" i="28"/>
  <c r="AF68" i="28"/>
  <c r="AN68" i="28" s="1"/>
  <c r="AB70" i="28"/>
  <c r="B71" i="28"/>
  <c r="Z71" i="28"/>
  <c r="W101" i="28"/>
  <c r="AG101" i="28" s="1"/>
  <c r="AE101" i="28"/>
  <c r="U102" i="28"/>
  <c r="AC102" i="28"/>
  <c r="AA103" i="28"/>
  <c r="B115" i="28"/>
  <c r="AB31" i="28"/>
  <c r="B48" i="28"/>
  <c r="B17" i="28"/>
  <c r="U22" i="28"/>
  <c r="AC22" i="28"/>
  <c r="AA24" i="28"/>
  <c r="B25" i="28"/>
  <c r="V31" i="28"/>
  <c r="AD31" i="28"/>
  <c r="U32" i="28"/>
  <c r="AG32" i="28" s="1"/>
  <c r="AC32" i="28"/>
  <c r="B35" i="28"/>
  <c r="B40" i="28"/>
  <c r="V46" i="28"/>
  <c r="AD46" i="28"/>
  <c r="B50" i="28"/>
  <c r="B51" i="28"/>
  <c r="B52" i="28"/>
  <c r="B53" i="28"/>
  <c r="B58" i="28"/>
  <c r="U66" i="28"/>
  <c r="AC66" i="28"/>
  <c r="AA67" i="28"/>
  <c r="Y68" i="28"/>
  <c r="U70" i="28"/>
  <c r="AC70" i="28"/>
  <c r="AA71" i="28"/>
  <c r="V102" i="28"/>
  <c r="AD102" i="28"/>
  <c r="B104" i="28"/>
  <c r="B125" i="28"/>
  <c r="AA31" i="28"/>
  <c r="B60" i="28"/>
  <c r="AA70" i="28"/>
  <c r="B124" i="28"/>
  <c r="B10" i="28"/>
  <c r="B18" i="28"/>
  <c r="V22" i="28"/>
  <c r="AD22" i="28"/>
  <c r="AB24" i="28"/>
  <c r="AA25" i="28"/>
  <c r="B26" i="28"/>
  <c r="B27" i="28"/>
  <c r="B28" i="28"/>
  <c r="W31" i="28"/>
  <c r="AE31" i="28"/>
  <c r="V32" i="28"/>
  <c r="AD32" i="28"/>
  <c r="B36" i="28"/>
  <c r="B37" i="28"/>
  <c r="B38" i="28"/>
  <c r="B39" i="28"/>
  <c r="W46" i="28"/>
  <c r="AE46" i="28"/>
  <c r="AA53" i="28"/>
  <c r="V66" i="28"/>
  <c r="AD66" i="28"/>
  <c r="B68" i="28"/>
  <c r="Z68" i="28"/>
  <c r="V70" i="28"/>
  <c r="AD70" i="28"/>
  <c r="AB71" i="28"/>
  <c r="B72" i="28"/>
  <c r="B73" i="28"/>
  <c r="B74" i="28"/>
  <c r="B75" i="28"/>
  <c r="B76" i="28"/>
  <c r="B77" i="28"/>
  <c r="B78" i="28"/>
  <c r="B79" i="28"/>
  <c r="B84" i="28"/>
  <c r="Y101" i="28"/>
  <c r="W102" i="28"/>
  <c r="AE102" i="28"/>
  <c r="B105" i="28"/>
  <c r="B122" i="28"/>
  <c r="AA46" i="28"/>
  <c r="AA22" i="28"/>
  <c r="AA32" i="28"/>
  <c r="AA66" i="28"/>
  <c r="W22" i="28"/>
  <c r="U24" i="28"/>
  <c r="AC24" i="28"/>
  <c r="B29" i="28"/>
  <c r="X31" i="28"/>
  <c r="AF31" i="28"/>
  <c r="W32" i="28"/>
  <c r="AE32" i="28"/>
  <c r="B44" i="28"/>
  <c r="X46" i="28"/>
  <c r="AF46" i="28"/>
  <c r="W66" i="28"/>
  <c r="AE66" i="28"/>
  <c r="AA68" i="28"/>
  <c r="W70" i="28"/>
  <c r="AE70" i="28"/>
  <c r="B80" i="28"/>
  <c r="B81" i="28"/>
  <c r="B82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Z101" i="28"/>
  <c r="X102" i="28"/>
  <c r="AF102" i="28"/>
  <c r="B106" i="28"/>
  <c r="B33" i="28"/>
  <c r="AB46" i="28"/>
  <c r="B11" i="28"/>
  <c r="B19" i="28"/>
  <c r="AE22" i="28"/>
  <c r="B12" i="28"/>
  <c r="B20" i="28"/>
  <c r="X22" i="28"/>
  <c r="AF22" i="28"/>
  <c r="W23" i="28"/>
  <c r="AE23" i="28"/>
  <c r="V24" i="28"/>
  <c r="AD24" i="28"/>
  <c r="U25" i="28"/>
  <c r="AC25" i="28"/>
  <c r="B30" i="28"/>
  <c r="Y31" i="28"/>
  <c r="X32" i="28"/>
  <c r="AF32" i="28"/>
  <c r="W33" i="28"/>
  <c r="AE33" i="28"/>
  <c r="B43" i="28"/>
  <c r="AA44" i="28"/>
  <c r="AG44" i="28" s="1"/>
  <c r="B45" i="28"/>
  <c r="Y46" i="28"/>
  <c r="U53" i="28"/>
  <c r="AC53" i="28"/>
  <c r="X66" i="28"/>
  <c r="AF66" i="28"/>
  <c r="V67" i="28"/>
  <c r="AD67" i="28"/>
  <c r="AB68" i="28"/>
  <c r="B69" i="28"/>
  <c r="X70" i="28"/>
  <c r="AF70" i="28"/>
  <c r="AN70" i="28" s="1"/>
  <c r="V71" i="28"/>
  <c r="AD71" i="28"/>
  <c r="B89" i="28"/>
  <c r="AA101" i="28"/>
  <c r="Y102" i="28"/>
  <c r="W103" i="28"/>
  <c r="AG103" i="28" s="1"/>
  <c r="AE103" i="28"/>
  <c r="B107" i="28"/>
  <c r="B108" i="28"/>
  <c r="B109" i="28"/>
  <c r="B110" i="28"/>
  <c r="B111" i="28"/>
  <c r="B113" i="28"/>
  <c r="B123" i="28"/>
  <c r="AA102" i="28"/>
  <c r="B23" i="28"/>
  <c r="AB102" i="28"/>
  <c r="B13" i="28"/>
  <c r="B21" i="28"/>
  <c r="X23" i="28"/>
  <c r="W24" i="28"/>
  <c r="V25" i="28"/>
  <c r="B31" i="28"/>
  <c r="X33" i="28"/>
  <c r="B46" i="28"/>
  <c r="V53" i="28"/>
  <c r="B56" i="28"/>
  <c r="W67" i="28"/>
  <c r="U68" i="28"/>
  <c r="AG68" i="28" s="1"/>
  <c r="W71" i="28"/>
  <c r="X103" i="28"/>
  <c r="AG116" i="28"/>
  <c r="AG119" i="28" s="1"/>
  <c r="AG25" i="28" l="1"/>
  <c r="AG70" i="28"/>
  <c r="AN66" i="28"/>
  <c r="AJ79" i="28" s="1"/>
  <c r="AF84" i="28"/>
  <c r="AN102" i="28"/>
  <c r="AJ112" i="28" s="1"/>
  <c r="AF113" i="28"/>
  <c r="AG24" i="28"/>
  <c r="AG67" i="28"/>
  <c r="AG46" i="28"/>
  <c r="AG53" i="28"/>
  <c r="AG23" i="28"/>
  <c r="AG66" i="28"/>
  <c r="AG102" i="28"/>
  <c r="AG113" i="28" s="1"/>
  <c r="AG71" i="28"/>
  <c r="AG33" i="28"/>
  <c r="AG22" i="28"/>
  <c r="AG84" i="28" l="1"/>
  <c r="M29" i="17" l="1"/>
  <c r="M27" i="17"/>
  <c r="M28" i="17"/>
  <c r="M26" i="17"/>
  <c r="M25" i="17"/>
  <c r="L34" i="17" l="1"/>
  <c r="L39" i="17" l="1"/>
  <c r="L38" i="17"/>
  <c r="G28" i="7"/>
  <c r="G29" i="7"/>
  <c r="G30" i="7"/>
  <c r="G31" i="7"/>
  <c r="G32" i="7"/>
  <c r="G33" i="7"/>
  <c r="G27" i="7"/>
  <c r="M24" i="17" l="1"/>
  <c r="M23" i="17"/>
  <c r="M22" i="17"/>
  <c r="M33" i="17"/>
  <c r="M30" i="17"/>
  <c r="M32" i="17"/>
  <c r="M31" i="17"/>
  <c r="D22" i="22" l="1"/>
  <c r="H22" i="22"/>
  <c r="D23" i="22"/>
  <c r="H23" i="22"/>
  <c r="D24" i="22"/>
  <c r="H24" i="22"/>
  <c r="D30" i="22"/>
  <c r="H30" i="22"/>
  <c r="D31" i="22"/>
  <c r="H31" i="22"/>
  <c r="D32" i="22"/>
  <c r="H32" i="22"/>
  <c r="D33" i="22"/>
  <c r="H33" i="22"/>
  <c r="D34" i="22"/>
  <c r="H34" i="22"/>
  <c r="D35" i="22"/>
  <c r="H35" i="22"/>
  <c r="D36" i="22"/>
  <c r="H36" i="22"/>
  <c r="D37" i="22"/>
  <c r="H37" i="22"/>
  <c r="D38" i="22"/>
  <c r="H38" i="22"/>
  <c r="D39" i="22"/>
  <c r="H39" i="22"/>
  <c r="D40" i="22"/>
  <c r="H40" i="22"/>
  <c r="D41" i="22"/>
  <c r="H41" i="22"/>
  <c r="D42" i="22"/>
  <c r="H42" i="22"/>
  <c r="D43" i="22"/>
  <c r="H43" i="22"/>
  <c r="D44" i="22"/>
  <c r="H44" i="22"/>
  <c r="D45" i="22"/>
  <c r="H45" i="22"/>
  <c r="D46" i="22"/>
  <c r="H46" i="22"/>
  <c r="D47" i="22"/>
  <c r="H47" i="22"/>
  <c r="D48" i="22"/>
  <c r="H48" i="22"/>
  <c r="H21" i="22"/>
  <c r="F70" i="7" l="1"/>
  <c r="F71" i="7"/>
  <c r="F69" i="7"/>
  <c r="H69" i="7" s="1"/>
  <c r="F67" i="7"/>
  <c r="F68" i="7"/>
  <c r="F66" i="7"/>
  <c r="H66" i="7" s="1"/>
  <c r="F64" i="7"/>
  <c r="F65" i="7"/>
  <c r="F63" i="7"/>
  <c r="H63" i="7" s="1"/>
  <c r="F61" i="7"/>
  <c r="F62" i="7"/>
  <c r="F60" i="7"/>
  <c r="H60" i="7" s="1"/>
  <c r="E71" i="7"/>
  <c r="E68" i="7"/>
  <c r="H68" i="7" s="1"/>
  <c r="E65" i="7"/>
  <c r="E62" i="7"/>
  <c r="H62" i="7" s="1"/>
  <c r="E70" i="7"/>
  <c r="H70" i="7" s="1"/>
  <c r="E67" i="7"/>
  <c r="E64" i="7"/>
  <c r="H64" i="7" s="1"/>
  <c r="E61" i="7"/>
  <c r="H61" i="7" s="1"/>
  <c r="H67" i="7" l="1"/>
  <c r="H71" i="7"/>
  <c r="H65" i="7"/>
  <c r="H51" i="7"/>
  <c r="F59" i="7"/>
  <c r="H59" i="7" s="1"/>
  <c r="F58" i="7"/>
  <c r="H58" i="7" s="1"/>
  <c r="F57" i="7"/>
  <c r="H57" i="7" s="1"/>
  <c r="F33" i="7"/>
  <c r="H77" i="7" l="1"/>
  <c r="O30" i="17"/>
  <c r="O22" i="17"/>
  <c r="O26" i="17"/>
  <c r="O23" i="17"/>
  <c r="O24" i="17"/>
  <c r="O25" i="17"/>
  <c r="O27" i="17"/>
  <c r="O28" i="17"/>
  <c r="O29" i="17"/>
  <c r="O31" i="17"/>
  <c r="O32" i="17"/>
  <c r="O33" i="17"/>
  <c r="M34" i="17"/>
  <c r="O34" i="17" s="1"/>
  <c r="E29" i="7" s="1"/>
  <c r="M35" i="17"/>
  <c r="M36" i="17"/>
  <c r="O36" i="17" s="1"/>
  <c r="E27" i="7" s="1"/>
  <c r="M37" i="17"/>
  <c r="O37" i="17" s="1"/>
  <c r="E28" i="7" s="1"/>
  <c r="J34" i="17"/>
  <c r="D29" i="7" s="1"/>
  <c r="J35" i="17"/>
  <c r="D33" i="7" s="1"/>
  <c r="J36" i="17"/>
  <c r="D27" i="7" s="1"/>
  <c r="J37" i="17"/>
  <c r="D28" i="7" s="1"/>
  <c r="B52" i="25"/>
  <c r="E30" i="7" l="1"/>
  <c r="O35" i="17"/>
  <c r="E33" i="7" s="1"/>
  <c r="F29" i="7" l="1"/>
  <c r="F27" i="7"/>
  <c r="F28" i="7"/>
  <c r="J23" i="17"/>
  <c r="J24" i="17"/>
  <c r="J25" i="17"/>
  <c r="J26" i="17"/>
  <c r="D31" i="7" s="1"/>
  <c r="J27" i="17"/>
  <c r="J28" i="17"/>
  <c r="J29" i="17"/>
  <c r="J30" i="17"/>
  <c r="D32" i="7" s="1"/>
  <c r="J31" i="17"/>
  <c r="J32" i="17"/>
  <c r="J33" i="17"/>
  <c r="J22" i="17"/>
  <c r="D30" i="7" s="1"/>
  <c r="L31" i="17" l="1"/>
  <c r="L32" i="17"/>
  <c r="L33" i="17"/>
  <c r="L30" i="17"/>
  <c r="L27" i="17"/>
  <c r="L28" i="17"/>
  <c r="L29" i="17"/>
  <c r="L26" i="17"/>
  <c r="L23" i="17"/>
  <c r="L24" i="17"/>
  <c r="L25" i="17"/>
  <c r="L22" i="17"/>
  <c r="F31" i="7" l="1"/>
  <c r="F32" i="7"/>
  <c r="Q33" i="7"/>
  <c r="H33" i="7"/>
  <c r="Q28" i="7"/>
  <c r="H28" i="7"/>
  <c r="Q29" i="7"/>
  <c r="H29" i="7"/>
  <c r="H27" i="7"/>
  <c r="Q27" i="7"/>
  <c r="D42" i="7" l="1"/>
  <c r="B59" i="25"/>
  <c r="G22" i="7"/>
  <c r="G23" i="7"/>
  <c r="M15" i="17"/>
  <c r="O15" i="17" s="1"/>
  <c r="M16" i="17"/>
  <c r="O16" i="17" s="1"/>
  <c r="M17" i="17"/>
  <c r="O17" i="17" s="1"/>
  <c r="M18" i="17"/>
  <c r="O18" i="17" s="1"/>
  <c r="M19" i="17"/>
  <c r="O19" i="17" s="1"/>
  <c r="M20" i="17"/>
  <c r="O20" i="17" s="1"/>
  <c r="M21" i="17"/>
  <c r="O21" i="17" s="1"/>
  <c r="M12" i="17"/>
  <c r="O12" i="17" s="1"/>
  <c r="M13" i="17"/>
  <c r="O13" i="17" s="1"/>
  <c r="M14" i="17"/>
  <c r="O14" i="17" s="1"/>
  <c r="M11" i="17"/>
  <c r="O11" i="17" s="1"/>
  <c r="M7" i="17"/>
  <c r="O7" i="17" s="1"/>
  <c r="M8" i="17"/>
  <c r="O8" i="17" s="1"/>
  <c r="M9" i="17"/>
  <c r="O9" i="17" s="1"/>
  <c r="M10" i="17"/>
  <c r="O10" i="17" s="1"/>
  <c r="M6" i="17"/>
  <c r="O6" i="17" s="1"/>
  <c r="M3" i="17"/>
  <c r="O3" i="17" s="1"/>
  <c r="M4" i="17"/>
  <c r="O4" i="17" s="1"/>
  <c r="M5" i="17"/>
  <c r="O5" i="17" s="1"/>
  <c r="M2" i="17"/>
  <c r="O2" i="17" s="1"/>
  <c r="L11" i="17"/>
  <c r="L7" i="17"/>
  <c r="L2" i="17"/>
  <c r="L6" i="17"/>
  <c r="L20" i="17"/>
  <c r="L14" i="17"/>
  <c r="L10" i="17"/>
  <c r="L5" i="17"/>
  <c r="L19" i="17"/>
  <c r="L13" i="17"/>
  <c r="L9" i="17"/>
  <c r="L4" i="17"/>
  <c r="L18" i="17"/>
  <c r="L12" i="17"/>
  <c r="L8" i="17"/>
  <c r="L3" i="17"/>
  <c r="G21" i="7" l="1"/>
  <c r="G20" i="7"/>
  <c r="G16" i="7"/>
  <c r="G12" i="7"/>
  <c r="G15" i="7"/>
  <c r="G19" i="7"/>
  <c r="G11" i="7"/>
  <c r="G14" i="7"/>
  <c r="G13" i="7"/>
  <c r="G7" i="7"/>
  <c r="G18" i="7"/>
  <c r="G10" i="7"/>
  <c r="G25" i="7"/>
  <c r="G17" i="7"/>
  <c r="G9" i="7"/>
  <c r="G24" i="7"/>
  <c r="G8" i="7"/>
  <c r="J3" i="17"/>
  <c r="D9" i="7" s="1"/>
  <c r="C4" i="22" s="1"/>
  <c r="J4" i="17"/>
  <c r="D10" i="7" s="1"/>
  <c r="C5" i="22" s="1"/>
  <c r="J5" i="17"/>
  <c r="D11" i="7" s="1"/>
  <c r="C6" i="22" s="1"/>
  <c r="J6" i="17"/>
  <c r="D12" i="7" s="1"/>
  <c r="C7" i="22" s="1"/>
  <c r="J7" i="17"/>
  <c r="D13" i="7" s="1"/>
  <c r="J8" i="17"/>
  <c r="D14" i="7" s="1"/>
  <c r="J9" i="17"/>
  <c r="D15" i="7" s="1"/>
  <c r="C10" i="22" s="1"/>
  <c r="J10" i="17"/>
  <c r="D16" i="7" s="1"/>
  <c r="C11" i="22" s="1"/>
  <c r="J11" i="17"/>
  <c r="D17" i="7" s="1"/>
  <c r="C12" i="22" s="1"/>
  <c r="J12" i="17"/>
  <c r="D18" i="7" s="1"/>
  <c r="C13" i="22" s="1"/>
  <c r="J13" i="17"/>
  <c r="D19" i="7" s="1"/>
  <c r="C14" i="22" s="1"/>
  <c r="J14" i="17"/>
  <c r="D20" i="7" s="1"/>
  <c r="C15" i="22" s="1"/>
  <c r="J15" i="17"/>
  <c r="D21" i="7" s="1"/>
  <c r="E21" i="7" s="1"/>
  <c r="J16" i="17"/>
  <c r="J17" i="17"/>
  <c r="D22" i="7" s="1"/>
  <c r="J18" i="17"/>
  <c r="D23" i="7" s="1"/>
  <c r="J19" i="17"/>
  <c r="D24" i="7" s="1"/>
  <c r="J20" i="17"/>
  <c r="D25" i="7" s="1"/>
  <c r="J21" i="17"/>
  <c r="J2" i="17"/>
  <c r="Q21" i="7" l="1"/>
  <c r="E13" i="7"/>
  <c r="C8" i="22"/>
  <c r="E14" i="7"/>
  <c r="C9" i="22"/>
  <c r="E11" i="7"/>
  <c r="E9" i="7"/>
  <c r="E25" i="7"/>
  <c r="E10" i="7"/>
  <c r="E20" i="7"/>
  <c r="E17" i="7"/>
  <c r="E19" i="7"/>
  <c r="E23" i="7"/>
  <c r="E16" i="7"/>
  <c r="E12" i="7"/>
  <c r="E24" i="7"/>
  <c r="E22" i="7"/>
  <c r="E15" i="7"/>
  <c r="D7" i="7"/>
  <c r="D8" i="7"/>
  <c r="E18" i="7"/>
  <c r="F7" i="7"/>
  <c r="E7" i="7" l="1"/>
  <c r="H7" i="7" s="1"/>
  <c r="C2" i="22"/>
  <c r="Q9" i="7"/>
  <c r="Q18" i="7"/>
  <c r="Q23" i="7"/>
  <c r="Q12" i="7"/>
  <c r="Q19" i="7"/>
  <c r="Q14" i="7"/>
  <c r="Q11" i="7"/>
  <c r="Q17" i="7"/>
  <c r="Q16" i="7"/>
  <c r="Q15" i="7"/>
  <c r="Q20" i="7"/>
  <c r="Q13" i="7"/>
  <c r="Q22" i="7"/>
  <c r="Q10" i="7"/>
  <c r="Q24" i="7"/>
  <c r="Q25" i="7"/>
  <c r="E8" i="7"/>
  <c r="C3" i="22"/>
  <c r="I20" i="27"/>
  <c r="G17" i="27"/>
  <c r="F17" i="27"/>
  <c r="E17" i="27"/>
  <c r="C17" i="27"/>
  <c r="H16" i="27"/>
  <c r="F16" i="27"/>
  <c r="H15" i="27"/>
  <c r="F15" i="27"/>
  <c r="D13" i="27"/>
  <c r="M9" i="27" s="1"/>
  <c r="H12" i="27"/>
  <c r="F12" i="27"/>
  <c r="D11" i="27"/>
  <c r="H10" i="27"/>
  <c r="F10" i="27"/>
  <c r="M8" i="27" s="1"/>
  <c r="L9" i="27"/>
  <c r="D9" i="27"/>
  <c r="D17" i="27" s="1"/>
  <c r="L8" i="27"/>
  <c r="H8" i="27"/>
  <c r="H17" i="27" s="1"/>
  <c r="I19" i="27" s="1"/>
  <c r="F8" i="27"/>
  <c r="M7" i="27"/>
  <c r="L7" i="27"/>
  <c r="L10" i="27" s="1"/>
  <c r="L11" i="27" s="1"/>
  <c r="A3" i="27"/>
  <c r="A1" i="27"/>
  <c r="Q8" i="7" l="1"/>
  <c r="I21" i="27"/>
  <c r="I22" i="27" s="1"/>
  <c r="M10" i="27"/>
  <c r="AE150" i="26"/>
  <c r="AD150" i="26"/>
  <c r="AC150" i="26"/>
  <c r="AB150" i="26"/>
  <c r="AA150" i="26"/>
  <c r="W150" i="26"/>
  <c r="T150" i="26"/>
  <c r="S150" i="26"/>
  <c r="AG150" i="26" s="1"/>
  <c r="R150" i="26"/>
  <c r="AF150" i="26" s="1"/>
  <c r="Q150" i="26"/>
  <c r="P150" i="26"/>
  <c r="O150" i="26"/>
  <c r="N150" i="26"/>
  <c r="M150" i="26"/>
  <c r="L150" i="26"/>
  <c r="K150" i="26"/>
  <c r="Y150" i="26" s="1"/>
  <c r="J150" i="26"/>
  <c r="X150" i="26" s="1"/>
  <c r="I150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U148" i="26"/>
  <c r="B148" i="26"/>
  <c r="A148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U147" i="26"/>
  <c r="B147" i="26"/>
  <c r="A147" i="26"/>
  <c r="AH146" i="26"/>
  <c r="AG146" i="26"/>
  <c r="AF146" i="26"/>
  <c r="AE146" i="26"/>
  <c r="AD146" i="26"/>
  <c r="AC146" i="26"/>
  <c r="AB146" i="26"/>
  <c r="AA146" i="26"/>
  <c r="Z146" i="26"/>
  <c r="Y146" i="26"/>
  <c r="X146" i="26"/>
  <c r="W146" i="26"/>
  <c r="U146" i="26"/>
  <c r="B146" i="26"/>
  <c r="A146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B145" i="26"/>
  <c r="AV142" i="26"/>
  <c r="AG142" i="26"/>
  <c r="AF142" i="26"/>
  <c r="AD142" i="26"/>
  <c r="AC142" i="26"/>
  <c r="Y142" i="26"/>
  <c r="X142" i="26"/>
  <c r="T142" i="26"/>
  <c r="AH142" i="26" s="1"/>
  <c r="S142" i="26"/>
  <c r="R142" i="26"/>
  <c r="Q142" i="26"/>
  <c r="AE142" i="26" s="1"/>
  <c r="P142" i="26"/>
  <c r="O142" i="26"/>
  <c r="N142" i="26"/>
  <c r="AB142" i="26" s="1"/>
  <c r="M142" i="26"/>
  <c r="AA142" i="26" s="1"/>
  <c r="L142" i="26"/>
  <c r="Z142" i="26" s="1"/>
  <c r="K142" i="26"/>
  <c r="J142" i="26"/>
  <c r="I142" i="26"/>
  <c r="W142" i="26" s="1"/>
  <c r="B142" i="26"/>
  <c r="AR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AI140" i="26" s="1"/>
  <c r="U140" i="26"/>
  <c r="B140" i="26"/>
  <c r="A140" i="26"/>
  <c r="AR139" i="26"/>
  <c r="AS139" i="26" s="1"/>
  <c r="AH139" i="26"/>
  <c r="AG139" i="26"/>
  <c r="AF139" i="26"/>
  <c r="AE139" i="26"/>
  <c r="AD139" i="26"/>
  <c r="AC139" i="26"/>
  <c r="AB139" i="26"/>
  <c r="AA139" i="26"/>
  <c r="Z139" i="26"/>
  <c r="Y139" i="26"/>
  <c r="X139" i="26"/>
  <c r="W139" i="26"/>
  <c r="U139" i="26"/>
  <c r="B139" i="26"/>
  <c r="A139" i="26"/>
  <c r="AR138" i="26"/>
  <c r="AH138" i="26"/>
  <c r="AG138" i="26"/>
  <c r="AF138" i="26"/>
  <c r="AE138" i="26"/>
  <c r="AD138" i="26"/>
  <c r="AC138" i="26"/>
  <c r="AB138" i="26"/>
  <c r="AA138" i="26"/>
  <c r="AI138" i="26" s="1"/>
  <c r="Z138" i="26"/>
  <c r="Y138" i="26"/>
  <c r="X138" i="26"/>
  <c r="W138" i="26"/>
  <c r="U138" i="26"/>
  <c r="B138" i="26"/>
  <c r="A138" i="26"/>
  <c r="AH137" i="26"/>
  <c r="AG137" i="26"/>
  <c r="AF137" i="26"/>
  <c r="AE137" i="26"/>
  <c r="AD137" i="26"/>
  <c r="AC137" i="26"/>
  <c r="AB137" i="26"/>
  <c r="AA137" i="26"/>
  <c r="AI137" i="26" s="1"/>
  <c r="Z137" i="26"/>
  <c r="Y137" i="26"/>
  <c r="X137" i="26"/>
  <c r="W137" i="26"/>
  <c r="B137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B134" i="26"/>
  <c r="AR132" i="26"/>
  <c r="AH132" i="26"/>
  <c r="AG132" i="26"/>
  <c r="AF132" i="26"/>
  <c r="AE132" i="26"/>
  <c r="AD132" i="26"/>
  <c r="AC132" i="26"/>
  <c r="AB132" i="26"/>
  <c r="AA132" i="26"/>
  <c r="Z132" i="26"/>
  <c r="Y132" i="26"/>
  <c r="X132" i="26"/>
  <c r="W132" i="26"/>
  <c r="AI132" i="26" s="1"/>
  <c r="U132" i="26"/>
  <c r="B132" i="26"/>
  <c r="A132" i="26"/>
  <c r="AR131" i="26"/>
  <c r="AH131" i="26"/>
  <c r="AG131" i="26"/>
  <c r="AF131" i="26"/>
  <c r="AE131" i="26"/>
  <c r="AD131" i="26"/>
  <c r="AC131" i="26"/>
  <c r="AB131" i="26"/>
  <c r="AA131" i="26"/>
  <c r="AI131" i="26" s="1"/>
  <c r="Z131" i="26"/>
  <c r="Y131" i="26"/>
  <c r="X131" i="26"/>
  <c r="W131" i="26"/>
  <c r="U131" i="26"/>
  <c r="B131" i="26"/>
  <c r="A131" i="26"/>
  <c r="AR130" i="26"/>
  <c r="AH130" i="26"/>
  <c r="AG130" i="26"/>
  <c r="AF130" i="26"/>
  <c r="AE130" i="26"/>
  <c r="AD130" i="26"/>
  <c r="AC130" i="26"/>
  <c r="AB130" i="26"/>
  <c r="AA130" i="26"/>
  <c r="AI130" i="26" s="1"/>
  <c r="Z130" i="26"/>
  <c r="Y130" i="26"/>
  <c r="X130" i="26"/>
  <c r="W130" i="26"/>
  <c r="U130" i="26"/>
  <c r="B130" i="26"/>
  <c r="A130" i="26"/>
  <c r="AR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W129" i="26"/>
  <c r="U129" i="26"/>
  <c r="B129" i="26"/>
  <c r="A129" i="26"/>
  <c r="AR128" i="26"/>
  <c r="AH128" i="26"/>
  <c r="AG128" i="26"/>
  <c r="AF128" i="26"/>
  <c r="AE128" i="26"/>
  <c r="AD128" i="26"/>
  <c r="AC128" i="26"/>
  <c r="AB128" i="26"/>
  <c r="AA128" i="26"/>
  <c r="Z128" i="26"/>
  <c r="Y128" i="26"/>
  <c r="X128" i="26"/>
  <c r="AI128" i="26" s="1"/>
  <c r="W128" i="26"/>
  <c r="U128" i="26"/>
  <c r="B128" i="26"/>
  <c r="A128" i="26"/>
  <c r="AR127" i="26"/>
  <c r="AH127" i="26"/>
  <c r="AP127" i="26" s="1"/>
  <c r="AG127" i="26"/>
  <c r="AF127" i="26"/>
  <c r="AE127" i="26"/>
  <c r="AD127" i="26"/>
  <c r="AC127" i="26"/>
  <c r="AB127" i="26"/>
  <c r="AA127" i="26"/>
  <c r="Z127" i="26"/>
  <c r="Y127" i="26"/>
  <c r="Y134" i="26" s="1"/>
  <c r="X127" i="26"/>
  <c r="AI127" i="26" s="1"/>
  <c r="W127" i="26"/>
  <c r="U127" i="26"/>
  <c r="B127" i="26"/>
  <c r="A127" i="26"/>
  <c r="AR126" i="26"/>
  <c r="AH126" i="26"/>
  <c r="AP126" i="26" s="1"/>
  <c r="AG126" i="26"/>
  <c r="AF126" i="26"/>
  <c r="AE126" i="26"/>
  <c r="AD126" i="26"/>
  <c r="AC126" i="26"/>
  <c r="AB126" i="26"/>
  <c r="AA126" i="26"/>
  <c r="Z126" i="26"/>
  <c r="Y126" i="26"/>
  <c r="X126" i="26"/>
  <c r="AI126" i="26" s="1"/>
  <c r="W126" i="26"/>
  <c r="U126" i="26"/>
  <c r="B126" i="26"/>
  <c r="A126" i="26"/>
  <c r="AR125" i="26"/>
  <c r="AH125" i="26"/>
  <c r="AP125" i="26" s="1"/>
  <c r="AG125" i="26"/>
  <c r="AF125" i="26"/>
  <c r="AE125" i="26"/>
  <c r="AD125" i="26"/>
  <c r="AC125" i="26"/>
  <c r="AB125" i="26"/>
  <c r="AA125" i="26"/>
  <c r="Z125" i="26"/>
  <c r="Y125" i="26"/>
  <c r="X125" i="26"/>
  <c r="AI125" i="26" s="1"/>
  <c r="W125" i="26"/>
  <c r="U125" i="26"/>
  <c r="B125" i="26"/>
  <c r="A125" i="26"/>
  <c r="AR124" i="26"/>
  <c r="AG124" i="26"/>
  <c r="AF124" i="26"/>
  <c r="AE124" i="26"/>
  <c r="AD124" i="26"/>
  <c r="AC124" i="26"/>
  <c r="AB124" i="26"/>
  <c r="AA124" i="26"/>
  <c r="Z124" i="26"/>
  <c r="Y124" i="26"/>
  <c r="X124" i="26"/>
  <c r="W124" i="26"/>
  <c r="U124" i="26"/>
  <c r="G124" i="26"/>
  <c r="AH124" i="26" s="1"/>
  <c r="AP124" i="26" s="1"/>
  <c r="B124" i="26"/>
  <c r="A124" i="26"/>
  <c r="AR123" i="26"/>
  <c r="AH123" i="26"/>
  <c r="AP123" i="26" s="1"/>
  <c r="AG123" i="26"/>
  <c r="AE123" i="26"/>
  <c r="AD123" i="26"/>
  <c r="AC123" i="26"/>
  <c r="AB123" i="26"/>
  <c r="AA123" i="26"/>
  <c r="Z123" i="26"/>
  <c r="Y123" i="26"/>
  <c r="X123" i="26"/>
  <c r="W123" i="26"/>
  <c r="U123" i="26"/>
  <c r="G123" i="26"/>
  <c r="B123" i="26"/>
  <c r="A123" i="26"/>
  <c r="AR122" i="26"/>
  <c r="AE122" i="26"/>
  <c r="AE134" i="26" s="1"/>
  <c r="AD122" i="26"/>
  <c r="AD134" i="26" s="1"/>
  <c r="AC122" i="26"/>
  <c r="AC134" i="26" s="1"/>
  <c r="AB122" i="26"/>
  <c r="AB134" i="26" s="1"/>
  <c r="AA122" i="26"/>
  <c r="AA134" i="26" s="1"/>
  <c r="Z122" i="26"/>
  <c r="Z134" i="26" s="1"/>
  <c r="Y122" i="26"/>
  <c r="X122" i="26"/>
  <c r="W122" i="26"/>
  <c r="W134" i="26" s="1"/>
  <c r="U122" i="26"/>
  <c r="G122" i="26"/>
  <c r="B122" i="26"/>
  <c r="A122" i="26"/>
  <c r="AR121" i="26"/>
  <c r="AH121" i="26"/>
  <c r="AG121" i="26"/>
  <c r="AF121" i="26"/>
  <c r="AE121" i="26"/>
  <c r="AD121" i="26"/>
  <c r="AC121" i="26"/>
  <c r="AB121" i="26"/>
  <c r="AA121" i="26"/>
  <c r="AI121" i="26" s="1"/>
  <c r="Z121" i="26"/>
  <c r="Y121" i="26"/>
  <c r="X121" i="26"/>
  <c r="W121" i="26"/>
  <c r="U121" i="26"/>
  <c r="B121" i="26"/>
  <c r="A121" i="26"/>
  <c r="AR120" i="26"/>
  <c r="AH120" i="26"/>
  <c r="AG120" i="26"/>
  <c r="AF120" i="26"/>
  <c r="AE120" i="26"/>
  <c r="AD120" i="26"/>
  <c r="AC120" i="26"/>
  <c r="AB120" i="26"/>
  <c r="AA120" i="26"/>
  <c r="Z120" i="26"/>
  <c r="Y120" i="26"/>
  <c r="AI120" i="26" s="1"/>
  <c r="X120" i="26"/>
  <c r="W120" i="26"/>
  <c r="U120" i="26"/>
  <c r="B120" i="26"/>
  <c r="A120" i="26"/>
  <c r="AR119" i="26"/>
  <c r="AH119" i="26"/>
  <c r="AG119" i="26"/>
  <c r="AF119" i="26"/>
  <c r="AE119" i="26"/>
  <c r="AD119" i="26"/>
  <c r="AC119" i="26"/>
  <c r="AB119" i="26"/>
  <c r="AA119" i="26"/>
  <c r="Z119" i="26"/>
  <c r="Y119" i="26"/>
  <c r="AI119" i="26" s="1"/>
  <c r="X119" i="26"/>
  <c r="W119" i="26"/>
  <c r="U119" i="26"/>
  <c r="B119" i="26"/>
  <c r="A119" i="26"/>
  <c r="AR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AI118" i="26" s="1"/>
  <c r="W118" i="26"/>
  <c r="U118" i="26"/>
  <c r="B118" i="26"/>
  <c r="A118" i="26"/>
  <c r="AR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AI117" i="26" s="1"/>
  <c r="U117" i="26"/>
  <c r="B117" i="26"/>
  <c r="A117" i="26"/>
  <c r="AR116" i="26"/>
  <c r="AS116" i="26" s="1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U116" i="26"/>
  <c r="B116" i="26"/>
  <c r="A116" i="26"/>
  <c r="AR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AI115" i="26" s="1"/>
  <c r="U115" i="26"/>
  <c r="B115" i="26"/>
  <c r="A115" i="26"/>
  <c r="AR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AI114" i="26" s="1"/>
  <c r="U114" i="26"/>
  <c r="B114" i="26"/>
  <c r="A114" i="26"/>
  <c r="AR113" i="26"/>
  <c r="AH113" i="26"/>
  <c r="AG113" i="26"/>
  <c r="AF113" i="26"/>
  <c r="AE113" i="26"/>
  <c r="AD113" i="26"/>
  <c r="AC113" i="26"/>
  <c r="AB113" i="26"/>
  <c r="AA113" i="26"/>
  <c r="AI113" i="26" s="1"/>
  <c r="Z113" i="26"/>
  <c r="Y113" i="26"/>
  <c r="X113" i="26"/>
  <c r="W113" i="26"/>
  <c r="U113" i="26"/>
  <c r="B113" i="26"/>
  <c r="A113" i="26"/>
  <c r="AR112" i="26"/>
  <c r="AH112" i="26"/>
  <c r="AG112" i="26"/>
  <c r="AF112" i="26"/>
  <c r="AE112" i="26"/>
  <c r="AD112" i="26"/>
  <c r="AC112" i="26"/>
  <c r="AB112" i="26"/>
  <c r="AA112" i="26"/>
  <c r="Z112" i="26"/>
  <c r="Y112" i="26"/>
  <c r="AI112" i="26" s="1"/>
  <c r="X112" i="26"/>
  <c r="W112" i="26"/>
  <c r="U112" i="26"/>
  <c r="B112" i="26"/>
  <c r="A112" i="26"/>
  <c r="AR111" i="26"/>
  <c r="AH111" i="26"/>
  <c r="AG111" i="26"/>
  <c r="AF111" i="26"/>
  <c r="AE111" i="26"/>
  <c r="AD111" i="26"/>
  <c r="AC111" i="26"/>
  <c r="AB111" i="26"/>
  <c r="AA111" i="26"/>
  <c r="Z111" i="26"/>
  <c r="Y111" i="26"/>
  <c r="AI111" i="26" s="1"/>
  <c r="X111" i="26"/>
  <c r="W111" i="26"/>
  <c r="U111" i="26"/>
  <c r="B111" i="26"/>
  <c r="A111" i="26"/>
  <c r="AR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AI110" i="26" s="1"/>
  <c r="W110" i="26"/>
  <c r="U110" i="26"/>
  <c r="B110" i="26"/>
  <c r="A110" i="26"/>
  <c r="AR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AI109" i="26" s="1"/>
  <c r="U109" i="26"/>
  <c r="B109" i="26"/>
  <c r="A109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B108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B106" i="26"/>
  <c r="T103" i="26"/>
  <c r="S103" i="26"/>
  <c r="R103" i="26"/>
  <c r="Q103" i="26"/>
  <c r="P103" i="26"/>
  <c r="O103" i="26"/>
  <c r="N103" i="26"/>
  <c r="M103" i="26"/>
  <c r="L103" i="26"/>
  <c r="K103" i="26"/>
  <c r="K152" i="26" s="1"/>
  <c r="Y152" i="26" s="1"/>
  <c r="J103" i="26"/>
  <c r="I103" i="26"/>
  <c r="B103" i="26"/>
  <c r="AR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U101" i="26"/>
  <c r="B101" i="26"/>
  <c r="A101" i="26"/>
  <c r="AR100" i="26"/>
  <c r="AS100" i="26" s="1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U100" i="26"/>
  <c r="B100" i="26"/>
  <c r="A100" i="26"/>
  <c r="AR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U99" i="26"/>
  <c r="B99" i="26"/>
  <c r="A99" i="26"/>
  <c r="AR98" i="26"/>
  <c r="AH98" i="26"/>
  <c r="AG98" i="26"/>
  <c r="AF98" i="26"/>
  <c r="AE98" i="26"/>
  <c r="AD98" i="26"/>
  <c r="AC98" i="26"/>
  <c r="AB98" i="26"/>
  <c r="AA98" i="26"/>
  <c r="AI98" i="26" s="1"/>
  <c r="Z98" i="26"/>
  <c r="Y98" i="26"/>
  <c r="X98" i="26"/>
  <c r="W98" i="26"/>
  <c r="U98" i="26"/>
  <c r="B98" i="26"/>
  <c r="A98" i="26"/>
  <c r="AR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U97" i="26"/>
  <c r="B97" i="26"/>
  <c r="A97" i="26"/>
  <c r="AR96" i="26"/>
  <c r="AH96" i="26"/>
  <c r="AG96" i="26"/>
  <c r="AF96" i="26"/>
  <c r="AE96" i="26"/>
  <c r="AD96" i="26"/>
  <c r="AC96" i="26"/>
  <c r="AB96" i="26"/>
  <c r="AA96" i="26"/>
  <c r="Z96" i="26"/>
  <c r="Y96" i="26"/>
  <c r="AI96" i="26" s="1"/>
  <c r="X96" i="26"/>
  <c r="W96" i="26"/>
  <c r="U96" i="26"/>
  <c r="B96" i="26"/>
  <c r="A96" i="26"/>
  <c r="AR95" i="26"/>
  <c r="AH95" i="26"/>
  <c r="AG95" i="26"/>
  <c r="AF95" i="26"/>
  <c r="AE95" i="26"/>
  <c r="AD95" i="26"/>
  <c r="AC95" i="26"/>
  <c r="AB95" i="26"/>
  <c r="AA95" i="26"/>
  <c r="Z95" i="26"/>
  <c r="Y95" i="26"/>
  <c r="X95" i="26"/>
  <c r="AI95" i="26" s="1"/>
  <c r="W95" i="26"/>
  <c r="U95" i="26"/>
  <c r="B95" i="26"/>
  <c r="A95" i="26"/>
  <c r="AR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U94" i="26"/>
  <c r="B94" i="26"/>
  <c r="A94" i="26"/>
  <c r="AR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U93" i="26"/>
  <c r="B93" i="26"/>
  <c r="A93" i="26"/>
  <c r="AR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U92" i="26"/>
  <c r="B92" i="26"/>
  <c r="A92" i="26"/>
  <c r="AR91" i="26"/>
  <c r="AS91" i="26" s="1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U91" i="26"/>
  <c r="B91" i="26"/>
  <c r="A91" i="26"/>
  <c r="AR90" i="26"/>
  <c r="AH90" i="26"/>
  <c r="AG90" i="26"/>
  <c r="AF90" i="26"/>
  <c r="AE90" i="26"/>
  <c r="AD90" i="26"/>
  <c r="AC90" i="26"/>
  <c r="AB90" i="26"/>
  <c r="AA90" i="26"/>
  <c r="AI90" i="26" s="1"/>
  <c r="Z90" i="26"/>
  <c r="Y90" i="26"/>
  <c r="X90" i="26"/>
  <c r="W90" i="26"/>
  <c r="U90" i="26"/>
  <c r="B90" i="26"/>
  <c r="A90" i="26"/>
  <c r="AR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U89" i="26"/>
  <c r="B89" i="26"/>
  <c r="A89" i="26"/>
  <c r="AR88" i="26"/>
  <c r="AH88" i="26"/>
  <c r="AG88" i="26"/>
  <c r="AF88" i="26"/>
  <c r="AE88" i="26"/>
  <c r="AD88" i="26"/>
  <c r="AC88" i="26"/>
  <c r="AB88" i="26"/>
  <c r="AA88" i="26"/>
  <c r="Z88" i="26"/>
  <c r="Y88" i="26"/>
  <c r="AI88" i="26" s="1"/>
  <c r="X88" i="26"/>
  <c r="W88" i="26"/>
  <c r="U88" i="26"/>
  <c r="B88" i="26"/>
  <c r="A88" i="26"/>
  <c r="AR87" i="26"/>
  <c r="AH87" i="26"/>
  <c r="AG87" i="26"/>
  <c r="AF87" i="26"/>
  <c r="AE87" i="26"/>
  <c r="AD87" i="26"/>
  <c r="AC87" i="26"/>
  <c r="AB87" i="26"/>
  <c r="AA87" i="26"/>
  <c r="Z87" i="26"/>
  <c r="Y87" i="26"/>
  <c r="X87" i="26"/>
  <c r="AI87" i="26" s="1"/>
  <c r="W87" i="26"/>
  <c r="U87" i="26"/>
  <c r="B87" i="26"/>
  <c r="A87" i="26"/>
  <c r="AR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AI86" i="26" s="1"/>
  <c r="U86" i="26"/>
  <c r="B86" i="26"/>
  <c r="A86" i="26"/>
  <c r="AR85" i="26"/>
  <c r="AS85" i="26" s="1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U85" i="26"/>
  <c r="B85" i="26"/>
  <c r="A85" i="26"/>
  <c r="AR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U84" i="26"/>
  <c r="B84" i="26"/>
  <c r="A84" i="26"/>
  <c r="AR83" i="26"/>
  <c r="AS83" i="26" s="1"/>
  <c r="AE83" i="26"/>
  <c r="AD83" i="26"/>
  <c r="AC83" i="26"/>
  <c r="AB83" i="26"/>
  <c r="AA83" i="26"/>
  <c r="Z83" i="26"/>
  <c r="Y83" i="26"/>
  <c r="X83" i="26"/>
  <c r="W83" i="26"/>
  <c r="U83" i="26"/>
  <c r="G83" i="26"/>
  <c r="B83" i="26"/>
  <c r="A83" i="26"/>
  <c r="AR82" i="26"/>
  <c r="AE82" i="26"/>
  <c r="AD82" i="26"/>
  <c r="AC82" i="26"/>
  <c r="AB82" i="26"/>
  <c r="AA82" i="26"/>
  <c r="Z82" i="26"/>
  <c r="Y82" i="26"/>
  <c r="X82" i="26"/>
  <c r="W82" i="26"/>
  <c r="U82" i="26"/>
  <c r="G82" i="26"/>
  <c r="B82" i="26"/>
  <c r="A82" i="26"/>
  <c r="AR81" i="26"/>
  <c r="AS81" i="26" s="1"/>
  <c r="AE81" i="26"/>
  <c r="AD81" i="26"/>
  <c r="AC81" i="26"/>
  <c r="AB81" i="26"/>
  <c r="AA81" i="26"/>
  <c r="Z81" i="26"/>
  <c r="Y81" i="26"/>
  <c r="X81" i="26"/>
  <c r="W81" i="26"/>
  <c r="U81" i="26"/>
  <c r="G81" i="26"/>
  <c r="B81" i="26"/>
  <c r="A81" i="26"/>
  <c r="AR80" i="26"/>
  <c r="AH80" i="26"/>
  <c r="AP80" i="26" s="1"/>
  <c r="AG80" i="26"/>
  <c r="AF80" i="26"/>
  <c r="AE80" i="26"/>
  <c r="AD80" i="26"/>
  <c r="AC80" i="26"/>
  <c r="AB80" i="26"/>
  <c r="AA80" i="26"/>
  <c r="Z80" i="26"/>
  <c r="AI80" i="26" s="1"/>
  <c r="Y80" i="26"/>
  <c r="X80" i="26"/>
  <c r="W80" i="26"/>
  <c r="U80" i="26"/>
  <c r="G80" i="26"/>
  <c r="B80" i="26"/>
  <c r="A80" i="26"/>
  <c r="AR79" i="26"/>
  <c r="AS79" i="26" s="1"/>
  <c r="AG79" i="26"/>
  <c r="AF79" i="26"/>
  <c r="AE79" i="26"/>
  <c r="AD79" i="26"/>
  <c r="AC79" i="26"/>
  <c r="AB79" i="26"/>
  <c r="AA79" i="26"/>
  <c r="Z79" i="26"/>
  <c r="Y79" i="26"/>
  <c r="X79" i="26"/>
  <c r="W79" i="26"/>
  <c r="AI79" i="26" s="1"/>
  <c r="U79" i="26"/>
  <c r="G79" i="26"/>
  <c r="AH79" i="26" s="1"/>
  <c r="AP79" i="26" s="1"/>
  <c r="B79" i="26"/>
  <c r="A79" i="26"/>
  <c r="AR78" i="26"/>
  <c r="AE78" i="26"/>
  <c r="AD78" i="26"/>
  <c r="AC78" i="26"/>
  <c r="AB78" i="26"/>
  <c r="AA78" i="26"/>
  <c r="Z78" i="26"/>
  <c r="Y78" i="26"/>
  <c r="X78" i="26"/>
  <c r="U78" i="26"/>
  <c r="G78" i="26"/>
  <c r="AH78" i="26" s="1"/>
  <c r="AP78" i="26" s="1"/>
  <c r="E78" i="26"/>
  <c r="W78" i="26" s="1"/>
  <c r="B78" i="26"/>
  <c r="A78" i="26"/>
  <c r="AR77" i="26"/>
  <c r="AS77" i="26" s="1"/>
  <c r="AH77" i="26"/>
  <c r="AP77" i="26" s="1"/>
  <c r="AE77" i="26"/>
  <c r="AD77" i="26"/>
  <c r="AC77" i="26"/>
  <c r="AB77" i="26"/>
  <c r="AA77" i="26"/>
  <c r="Z77" i="26"/>
  <c r="Y77" i="26"/>
  <c r="X77" i="26"/>
  <c r="W77" i="26"/>
  <c r="U77" i="26"/>
  <c r="G77" i="26"/>
  <c r="AG77" i="26" s="1"/>
  <c r="B77" i="26"/>
  <c r="A77" i="26"/>
  <c r="AR76" i="26"/>
  <c r="AS76" i="26" s="1"/>
  <c r="AF76" i="26"/>
  <c r="AE76" i="26"/>
  <c r="AD76" i="26"/>
  <c r="AC76" i="26"/>
  <c r="AB76" i="26"/>
  <c r="AA76" i="26"/>
  <c r="Z76" i="26"/>
  <c r="Y76" i="26"/>
  <c r="X76" i="26"/>
  <c r="W76" i="26"/>
  <c r="U76" i="26"/>
  <c r="G76" i="26"/>
  <c r="B76" i="26"/>
  <c r="A76" i="26"/>
  <c r="AR75" i="26"/>
  <c r="AP75" i="26"/>
  <c r="AE75" i="26"/>
  <c r="AD75" i="26"/>
  <c r="AC75" i="26"/>
  <c r="AB75" i="26"/>
  <c r="AA75" i="26"/>
  <c r="Z75" i="26"/>
  <c r="Y75" i="26"/>
  <c r="X75" i="26"/>
  <c r="W75" i="26"/>
  <c r="U75" i="26"/>
  <c r="G75" i="26"/>
  <c r="AH75" i="26" s="1"/>
  <c r="B75" i="26"/>
  <c r="A75" i="26"/>
  <c r="AR74" i="26"/>
  <c r="AS74" i="26" s="1"/>
  <c r="AH74" i="26"/>
  <c r="AP74" i="26" s="1"/>
  <c r="AG74" i="26"/>
  <c r="AE74" i="26"/>
  <c r="AD74" i="26"/>
  <c r="AC74" i="26"/>
  <c r="AB74" i="26"/>
  <c r="AA74" i="26"/>
  <c r="Z74" i="26"/>
  <c r="Y74" i="26"/>
  <c r="X74" i="26"/>
  <c r="W74" i="26"/>
  <c r="U74" i="26"/>
  <c r="G74" i="26"/>
  <c r="B74" i="26"/>
  <c r="A74" i="26"/>
  <c r="AR73" i="26"/>
  <c r="AS73" i="26" s="1"/>
  <c r="AH73" i="26"/>
  <c r="AP73" i="26" s="1"/>
  <c r="AG73" i="26"/>
  <c r="AF73" i="26"/>
  <c r="AE73" i="26"/>
  <c r="AD73" i="26"/>
  <c r="AC73" i="26"/>
  <c r="AB73" i="26"/>
  <c r="AA73" i="26"/>
  <c r="Z73" i="26"/>
  <c r="Z103" i="26" s="1"/>
  <c r="Y73" i="26"/>
  <c r="X73" i="26"/>
  <c r="W73" i="26"/>
  <c r="U73" i="26"/>
  <c r="G73" i="26"/>
  <c r="B73" i="26"/>
  <c r="A73" i="26"/>
  <c r="AR72" i="26"/>
  <c r="AG72" i="26"/>
  <c r="AF72" i="26"/>
  <c r="AE72" i="26"/>
  <c r="AD72" i="26"/>
  <c r="AC72" i="26"/>
  <c r="AC103" i="26" s="1"/>
  <c r="AB72" i="26"/>
  <c r="AB103" i="26" s="1"/>
  <c r="AA72" i="26"/>
  <c r="Z72" i="26"/>
  <c r="Y72" i="26"/>
  <c r="X72" i="26"/>
  <c r="W72" i="26"/>
  <c r="U72" i="26"/>
  <c r="G72" i="26"/>
  <c r="AH72" i="26" s="1"/>
  <c r="B72" i="26"/>
  <c r="A72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B71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B69" i="26"/>
  <c r="Y66" i="26"/>
  <c r="T66" i="26"/>
  <c r="S66" i="26"/>
  <c r="S152" i="26" s="1"/>
  <c r="AG152" i="26" s="1"/>
  <c r="R66" i="26"/>
  <c r="Q66" i="26"/>
  <c r="P66" i="26"/>
  <c r="O66" i="26"/>
  <c r="N66" i="26"/>
  <c r="M66" i="26"/>
  <c r="L66" i="26"/>
  <c r="K66" i="26"/>
  <c r="J66" i="26"/>
  <c r="I66" i="26"/>
  <c r="B66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B65" i="26"/>
  <c r="AR64" i="26"/>
  <c r="AS64" i="26" s="1"/>
  <c r="AH64" i="26"/>
  <c r="AG64" i="26"/>
  <c r="AF64" i="26"/>
  <c r="AD64" i="26"/>
  <c r="U64" i="26"/>
  <c r="G64" i="26"/>
  <c r="F64" i="26"/>
  <c r="E64" i="26"/>
  <c r="W64" i="26" s="1"/>
  <c r="B64" i="26"/>
  <c r="A64" i="26"/>
  <c r="AR63" i="26"/>
  <c r="AS63" i="26" s="1"/>
  <c r="Y63" i="26"/>
  <c r="X63" i="26"/>
  <c r="U63" i="26"/>
  <c r="G63" i="26"/>
  <c r="F63" i="26"/>
  <c r="AC63" i="26" s="1"/>
  <c r="E63" i="26"/>
  <c r="W63" i="26" s="1"/>
  <c r="B63" i="26"/>
  <c r="A63" i="26"/>
  <c r="AR62" i="26"/>
  <c r="AS62" i="26" s="1"/>
  <c r="AH62" i="26"/>
  <c r="AG62" i="26"/>
  <c r="AF62" i="26"/>
  <c r="AE62" i="26"/>
  <c r="AD62" i="26"/>
  <c r="AC62" i="26"/>
  <c r="AB62" i="26"/>
  <c r="AA62" i="26"/>
  <c r="Z62" i="26"/>
  <c r="Y62" i="26"/>
  <c r="X62" i="26"/>
  <c r="AI62" i="26" s="1"/>
  <c r="W62" i="26"/>
  <c r="U62" i="26"/>
  <c r="B62" i="26"/>
  <c r="A62" i="26"/>
  <c r="AR61" i="26"/>
  <c r="AS61" i="26" s="1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U61" i="26"/>
  <c r="B61" i="26"/>
  <c r="A61" i="26"/>
  <c r="AR60" i="26"/>
  <c r="AS60" i="26" s="1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U60" i="26"/>
  <c r="B60" i="26"/>
  <c r="A60" i="26"/>
  <c r="AR59" i="26"/>
  <c r="AS59" i="26" s="1"/>
  <c r="AH59" i="26"/>
  <c r="AG59" i="26"/>
  <c r="AF59" i="26"/>
  <c r="AE59" i="26"/>
  <c r="AD59" i="26"/>
  <c r="AC59" i="26"/>
  <c r="AB59" i="26"/>
  <c r="AA59" i="26"/>
  <c r="Z59" i="26"/>
  <c r="AI59" i="26" s="1"/>
  <c r="Y59" i="26"/>
  <c r="X59" i="26"/>
  <c r="W59" i="26"/>
  <c r="U59" i="26"/>
  <c r="A59" i="26"/>
  <c r="AR58" i="26"/>
  <c r="AS58" i="26" s="1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U58" i="26"/>
  <c r="B58" i="26"/>
  <c r="A58" i="26"/>
  <c r="AR57" i="26"/>
  <c r="AS57" i="26" s="1"/>
  <c r="AP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U57" i="26"/>
  <c r="B57" i="26"/>
  <c r="A57" i="26"/>
  <c r="AR56" i="26"/>
  <c r="AS56" i="26" s="1"/>
  <c r="AP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B56" i="26"/>
  <c r="A56" i="26"/>
  <c r="AR55" i="26"/>
  <c r="AS55" i="26" s="1"/>
  <c r="AP55" i="26"/>
  <c r="AL64" i="26" s="1"/>
  <c r="AH55" i="26"/>
  <c r="AG55" i="26"/>
  <c r="AF55" i="26"/>
  <c r="AE55" i="26"/>
  <c r="AD55" i="26"/>
  <c r="AD66" i="26" s="1"/>
  <c r="AC55" i="26"/>
  <c r="AC66" i="26" s="1"/>
  <c r="AB55" i="26"/>
  <c r="AA55" i="26"/>
  <c r="Z55" i="26"/>
  <c r="Y55" i="26"/>
  <c r="X55" i="26"/>
  <c r="W55" i="26"/>
  <c r="U55" i="26"/>
  <c r="B55" i="26"/>
  <c r="A55" i="26"/>
  <c r="AR54" i="26"/>
  <c r="AS54" i="26" s="1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U54" i="26"/>
  <c r="B54" i="26"/>
  <c r="A54" i="26"/>
  <c r="AR53" i="26"/>
  <c r="AS53" i="26" s="1"/>
  <c r="AF53" i="26"/>
  <c r="AE53" i="26"/>
  <c r="AD53" i="26"/>
  <c r="AC53" i="26"/>
  <c r="AB53" i="26"/>
  <c r="AA53" i="26"/>
  <c r="Z53" i="26"/>
  <c r="Y53" i="26"/>
  <c r="X53" i="26"/>
  <c r="W53" i="26"/>
  <c r="U53" i="26"/>
  <c r="G53" i="26"/>
  <c r="AH53" i="26" s="1"/>
  <c r="B53" i="26"/>
  <c r="A53" i="26"/>
  <c r="AR52" i="26"/>
  <c r="AS52" i="26" s="1"/>
  <c r="AG52" i="26"/>
  <c r="AF52" i="26"/>
  <c r="AE52" i="26"/>
  <c r="AD52" i="26"/>
  <c r="AC52" i="26"/>
  <c r="AB52" i="26"/>
  <c r="AA52" i="26"/>
  <c r="Z52" i="26"/>
  <c r="Y52" i="26"/>
  <c r="AI52" i="26" s="1"/>
  <c r="X52" i="26"/>
  <c r="W52" i="26"/>
  <c r="U52" i="26"/>
  <c r="G52" i="26"/>
  <c r="AH52" i="26" s="1"/>
  <c r="B52" i="26"/>
  <c r="A52" i="26"/>
  <c r="AR51" i="26"/>
  <c r="AS51" i="26" s="1"/>
  <c r="AG51" i="26"/>
  <c r="AF51" i="26"/>
  <c r="AE51" i="26"/>
  <c r="AD51" i="26"/>
  <c r="AC51" i="26"/>
  <c r="AB51" i="26"/>
  <c r="AA51" i="26"/>
  <c r="Z51" i="26"/>
  <c r="Y51" i="26"/>
  <c r="X51" i="26"/>
  <c r="W51" i="26"/>
  <c r="AI51" i="26" s="1"/>
  <c r="U51" i="26"/>
  <c r="G51" i="26"/>
  <c r="AH51" i="26" s="1"/>
  <c r="B51" i="26"/>
  <c r="A51" i="26"/>
  <c r="AR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U50" i="26"/>
  <c r="G50" i="26"/>
  <c r="B50" i="26"/>
  <c r="A50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B49" i="26"/>
  <c r="AH46" i="26"/>
  <c r="AD46" i="26"/>
  <c r="Z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B46" i="26"/>
  <c r="AR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U44" i="26"/>
  <c r="B44" i="26"/>
  <c r="A44" i="26"/>
  <c r="AR43" i="26"/>
  <c r="AH43" i="26"/>
  <c r="AG43" i="26"/>
  <c r="AF43" i="26"/>
  <c r="AE43" i="26"/>
  <c r="AD43" i="26"/>
  <c r="AC43" i="26"/>
  <c r="AB43" i="26"/>
  <c r="AA43" i="26"/>
  <c r="Z43" i="26"/>
  <c r="Y43" i="26"/>
  <c r="X43" i="26"/>
  <c r="AI43" i="26" s="1"/>
  <c r="W43" i="26"/>
  <c r="U43" i="26"/>
  <c r="B43" i="26"/>
  <c r="A43" i="26"/>
  <c r="AR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U42" i="26"/>
  <c r="B42" i="26"/>
  <c r="A42" i="26"/>
  <c r="AR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AI41" i="26" s="1"/>
  <c r="U41" i="26"/>
  <c r="B41" i="26"/>
  <c r="A41" i="26"/>
  <c r="AR40" i="26"/>
  <c r="AH40" i="26"/>
  <c r="AG40" i="26"/>
  <c r="AF40" i="26"/>
  <c r="AE40" i="26"/>
  <c r="AD40" i="26"/>
  <c r="AC40" i="26"/>
  <c r="AB40" i="26"/>
  <c r="AA40" i="26"/>
  <c r="AI40" i="26" s="1"/>
  <c r="Z40" i="26"/>
  <c r="Y40" i="26"/>
  <c r="X40" i="26"/>
  <c r="W40" i="26"/>
  <c r="U40" i="26"/>
  <c r="B40" i="26"/>
  <c r="A40" i="26"/>
  <c r="AR39" i="26"/>
  <c r="AS39" i="26" s="1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U39" i="26"/>
  <c r="B39" i="26"/>
  <c r="A39" i="26"/>
  <c r="AR38" i="26"/>
  <c r="AE38" i="26"/>
  <c r="AD38" i="26"/>
  <c r="AC38" i="26"/>
  <c r="AB38" i="26"/>
  <c r="AA38" i="26"/>
  <c r="Z38" i="26"/>
  <c r="Y38" i="26"/>
  <c r="X38" i="26"/>
  <c r="W38" i="26"/>
  <c r="U38" i="26"/>
  <c r="G38" i="26"/>
  <c r="AG38" i="26" s="1"/>
  <c r="B38" i="26"/>
  <c r="A38" i="26"/>
  <c r="AR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AI37" i="26" s="1"/>
  <c r="U37" i="26"/>
  <c r="B37" i="26"/>
  <c r="A37" i="26"/>
  <c r="AR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U36" i="26"/>
  <c r="G36" i="26"/>
  <c r="B36" i="26"/>
  <c r="A36" i="26"/>
  <c r="AR35" i="26"/>
  <c r="AH35" i="26"/>
  <c r="AG35" i="26"/>
  <c r="AF35" i="26"/>
  <c r="AE35" i="26"/>
  <c r="AD35" i="26"/>
  <c r="AC35" i="26"/>
  <c r="AB35" i="26"/>
  <c r="AA35" i="26"/>
  <c r="Z35" i="26"/>
  <c r="Y35" i="26"/>
  <c r="X35" i="26"/>
  <c r="AI35" i="26" s="1"/>
  <c r="W35" i="26"/>
  <c r="U35" i="26"/>
  <c r="B35" i="26"/>
  <c r="A35" i="26"/>
  <c r="AR34" i="26"/>
  <c r="AH34" i="26"/>
  <c r="AF34" i="26"/>
  <c r="AE34" i="26"/>
  <c r="AD34" i="26"/>
  <c r="AC34" i="26"/>
  <c r="AB34" i="26"/>
  <c r="AA34" i="26"/>
  <c r="Z34" i="26"/>
  <c r="AI34" i="26" s="1"/>
  <c r="Y34" i="26"/>
  <c r="X34" i="26"/>
  <c r="W34" i="26"/>
  <c r="U34" i="26"/>
  <c r="G34" i="26"/>
  <c r="AG34" i="26" s="1"/>
  <c r="B34" i="26"/>
  <c r="A34" i="26"/>
  <c r="AR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AI33" i="26" s="1"/>
  <c r="U33" i="26"/>
  <c r="B33" i="26"/>
  <c r="A33" i="26"/>
  <c r="AR32" i="26"/>
  <c r="AS32" i="26" s="1"/>
  <c r="AH32" i="26"/>
  <c r="AG32" i="26"/>
  <c r="AE32" i="26"/>
  <c r="AD32" i="26"/>
  <c r="AC32" i="26"/>
  <c r="AB32" i="26"/>
  <c r="AA32" i="26"/>
  <c r="Z32" i="26"/>
  <c r="Y32" i="26"/>
  <c r="AI32" i="26" s="1"/>
  <c r="X32" i="26"/>
  <c r="W32" i="26"/>
  <c r="U32" i="26"/>
  <c r="G32" i="26"/>
  <c r="AF32" i="26" s="1"/>
  <c r="B32" i="26"/>
  <c r="A32" i="26"/>
  <c r="AR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U31" i="26"/>
  <c r="B31" i="26"/>
  <c r="A31" i="26"/>
  <c r="AR30" i="26"/>
  <c r="AG30" i="26"/>
  <c r="AF30" i="26"/>
  <c r="AE30" i="26"/>
  <c r="AD30" i="26"/>
  <c r="AC30" i="26"/>
  <c r="AB30" i="26"/>
  <c r="AA30" i="26"/>
  <c r="Z30" i="26"/>
  <c r="Y30" i="26"/>
  <c r="X30" i="26"/>
  <c r="W30" i="26"/>
  <c r="U30" i="26"/>
  <c r="G30" i="26"/>
  <c r="B30" i="26"/>
  <c r="A30" i="26"/>
  <c r="AR29" i="26"/>
  <c r="AE29" i="26"/>
  <c r="AD29" i="26"/>
  <c r="AC29" i="26"/>
  <c r="AB29" i="26"/>
  <c r="AA29" i="26"/>
  <c r="Z29" i="26"/>
  <c r="Y29" i="26"/>
  <c r="X29" i="26"/>
  <c r="W29" i="26"/>
  <c r="U29" i="26"/>
  <c r="G29" i="26"/>
  <c r="B29" i="26"/>
  <c r="A29" i="26"/>
  <c r="AR28" i="26"/>
  <c r="AH28" i="26"/>
  <c r="AP28" i="26" s="1"/>
  <c r="AG28" i="26"/>
  <c r="AF28" i="26"/>
  <c r="AE28" i="26"/>
  <c r="AD28" i="26"/>
  <c r="AC28" i="26"/>
  <c r="AB28" i="26"/>
  <c r="AA28" i="26"/>
  <c r="Z28" i="26"/>
  <c r="Y28" i="26"/>
  <c r="X28" i="26"/>
  <c r="W28" i="26"/>
  <c r="U28" i="26"/>
  <c r="B28" i="26"/>
  <c r="A28" i="26"/>
  <c r="AR27" i="26"/>
  <c r="AP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U27" i="26"/>
  <c r="B27" i="26"/>
  <c r="A27" i="26"/>
  <c r="AR26" i="26"/>
  <c r="AH26" i="26"/>
  <c r="AP26" i="26" s="1"/>
  <c r="AG26" i="26"/>
  <c r="AF26" i="26"/>
  <c r="AE26" i="26"/>
  <c r="AD26" i="26"/>
  <c r="AC26" i="26"/>
  <c r="AB26" i="26"/>
  <c r="AA26" i="26"/>
  <c r="Z26" i="26"/>
  <c r="Y26" i="26"/>
  <c r="AI26" i="26" s="1"/>
  <c r="X26" i="26"/>
  <c r="W26" i="26"/>
  <c r="U26" i="26"/>
  <c r="B26" i="26"/>
  <c r="A26" i="26"/>
  <c r="AR25" i="26"/>
  <c r="AP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U25" i="26"/>
  <c r="B25" i="26"/>
  <c r="A25" i="26"/>
  <c r="AR24" i="26"/>
  <c r="AH24" i="26"/>
  <c r="AG24" i="26"/>
  <c r="AF24" i="26"/>
  <c r="AE24" i="26"/>
  <c r="AD24" i="26"/>
  <c r="AC24" i="26"/>
  <c r="AB24" i="26"/>
  <c r="AA24" i="26"/>
  <c r="Z24" i="26"/>
  <c r="Y24" i="26"/>
  <c r="X24" i="26"/>
  <c r="AI24" i="26" s="1"/>
  <c r="W24" i="26"/>
  <c r="U24" i="26"/>
  <c r="B24" i="26"/>
  <c r="A24" i="26"/>
  <c r="AR23" i="26"/>
  <c r="AH23" i="26"/>
  <c r="AG23" i="26"/>
  <c r="AF23" i="26"/>
  <c r="AE23" i="26"/>
  <c r="AD23" i="26"/>
  <c r="AC23" i="26"/>
  <c r="AB23" i="26"/>
  <c r="AA23" i="26"/>
  <c r="AI23" i="26" s="1"/>
  <c r="Z23" i="26"/>
  <c r="Y23" i="26"/>
  <c r="X23" i="26"/>
  <c r="W23" i="26"/>
  <c r="U23" i="26"/>
  <c r="B23" i="26"/>
  <c r="A23" i="26"/>
  <c r="AR22" i="26"/>
  <c r="AS22" i="26" s="1"/>
  <c r="AH22" i="26"/>
  <c r="AP22" i="26" s="1"/>
  <c r="AG22" i="26"/>
  <c r="AF22" i="26"/>
  <c r="AE22" i="26"/>
  <c r="AD22" i="26"/>
  <c r="AC22" i="26"/>
  <c r="AB22" i="26"/>
  <c r="AA22" i="26"/>
  <c r="Z22" i="26"/>
  <c r="Y22" i="26"/>
  <c r="X22" i="26"/>
  <c r="W22" i="26"/>
  <c r="AI22" i="26" s="1"/>
  <c r="U22" i="26"/>
  <c r="B22" i="26"/>
  <c r="A22" i="26"/>
  <c r="AR21" i="26"/>
  <c r="AS21" i="26" s="1"/>
  <c r="AP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AI21" i="26" s="1"/>
  <c r="U21" i="26"/>
  <c r="B21" i="26"/>
  <c r="A21" i="26"/>
  <c r="AR20" i="26"/>
  <c r="AS20" i="26" s="1"/>
  <c r="AP20" i="26"/>
  <c r="AH20" i="26"/>
  <c r="AG20" i="26"/>
  <c r="AF20" i="26"/>
  <c r="AE20" i="26"/>
  <c r="AD20" i="26"/>
  <c r="AC20" i="26"/>
  <c r="AB20" i="26"/>
  <c r="AA20" i="26"/>
  <c r="AI20" i="26" s="1"/>
  <c r="Z20" i="26"/>
  <c r="Y20" i="26"/>
  <c r="X20" i="26"/>
  <c r="W20" i="26"/>
  <c r="U20" i="26"/>
  <c r="B20" i="26"/>
  <c r="A20" i="26"/>
  <c r="AR19" i="26"/>
  <c r="AS19" i="26" s="1"/>
  <c r="AP19" i="26"/>
  <c r="AH19" i="26"/>
  <c r="AG19" i="26"/>
  <c r="AF19" i="26"/>
  <c r="AE19" i="26"/>
  <c r="AD19" i="26"/>
  <c r="AC19" i="26"/>
  <c r="AB19" i="26"/>
  <c r="AA19" i="26"/>
  <c r="AI19" i="26" s="1"/>
  <c r="Z19" i="26"/>
  <c r="Y19" i="26"/>
  <c r="X19" i="26"/>
  <c r="W19" i="26"/>
  <c r="U19" i="26"/>
  <c r="B19" i="26"/>
  <c r="A19" i="26"/>
  <c r="AR18" i="26"/>
  <c r="AS18" i="26" s="1"/>
  <c r="AP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AI18" i="26" s="1"/>
  <c r="U18" i="26"/>
  <c r="B18" i="26"/>
  <c r="A18" i="26"/>
  <c r="AR17" i="26"/>
  <c r="AS17" i="26" s="1"/>
  <c r="AP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AI17" i="26" s="1"/>
  <c r="U17" i="26"/>
  <c r="B17" i="26"/>
  <c r="A17" i="26"/>
  <c r="AR16" i="26"/>
  <c r="AS16" i="26" s="1"/>
  <c r="AP16" i="26"/>
  <c r="AH16" i="26"/>
  <c r="AG16" i="26"/>
  <c r="AF16" i="26"/>
  <c r="AE16" i="26"/>
  <c r="AD16" i="26"/>
  <c r="AC16" i="26"/>
  <c r="AB16" i="26"/>
  <c r="AA16" i="26"/>
  <c r="AI16" i="26" s="1"/>
  <c r="Z16" i="26"/>
  <c r="Y16" i="26"/>
  <c r="X16" i="26"/>
  <c r="W16" i="26"/>
  <c r="U16" i="26"/>
  <c r="B16" i="26"/>
  <c r="A16" i="26"/>
  <c r="AR15" i="26"/>
  <c r="AS15" i="26" s="1"/>
  <c r="AP15" i="26"/>
  <c r="AH15" i="26"/>
  <c r="AG15" i="26"/>
  <c r="AF15" i="26"/>
  <c r="AE15" i="26"/>
  <c r="AD15" i="26"/>
  <c r="AC15" i="26"/>
  <c r="AB15" i="26"/>
  <c r="AA15" i="26"/>
  <c r="AI15" i="26" s="1"/>
  <c r="Z15" i="26"/>
  <c r="Y15" i="26"/>
  <c r="X15" i="26"/>
  <c r="W15" i="26"/>
  <c r="U15" i="26"/>
  <c r="B15" i="26"/>
  <c r="A15" i="26"/>
  <c r="AR14" i="26"/>
  <c r="AS14" i="26" s="1"/>
  <c r="AP14" i="26"/>
  <c r="AL43" i="26" s="1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AI14" i="26" s="1"/>
  <c r="U14" i="26"/>
  <c r="B14" i="26"/>
  <c r="A14" i="26"/>
  <c r="AR13" i="26"/>
  <c r="AS13" i="26" s="1"/>
  <c r="AP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AI13" i="26" s="1"/>
  <c r="U13" i="26"/>
  <c r="B13" i="26"/>
  <c r="A13" i="26"/>
  <c r="AR12" i="26"/>
  <c r="AS12" i="26" s="1"/>
  <c r="AP12" i="26"/>
  <c r="AL42" i="26" s="1"/>
  <c r="AH12" i="26"/>
  <c r="AG12" i="26"/>
  <c r="AF12" i="26"/>
  <c r="AE12" i="26"/>
  <c r="AD12" i="26"/>
  <c r="AC12" i="26"/>
  <c r="AB12" i="26"/>
  <c r="AA12" i="26"/>
  <c r="AI12" i="26" s="1"/>
  <c r="Z12" i="26"/>
  <c r="Y12" i="26"/>
  <c r="X12" i="26"/>
  <c r="W12" i="26"/>
  <c r="U12" i="26"/>
  <c r="B12" i="26"/>
  <c r="A12" i="26"/>
  <c r="AR11" i="26"/>
  <c r="AS11" i="26" s="1"/>
  <c r="AP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U11" i="26"/>
  <c r="B11" i="26"/>
  <c r="A11" i="26"/>
  <c r="AR10" i="26"/>
  <c r="AS10" i="26" s="1"/>
  <c r="AP10" i="26"/>
  <c r="AH10" i="26"/>
  <c r="AG10" i="26"/>
  <c r="AG46" i="26" s="1"/>
  <c r="AF10" i="26"/>
  <c r="AF46" i="26" s="1"/>
  <c r="AE10" i="26"/>
  <c r="AE46" i="26" s="1"/>
  <c r="AD10" i="26"/>
  <c r="AC10" i="26"/>
  <c r="AC46" i="26" s="1"/>
  <c r="AB10" i="26"/>
  <c r="AA10" i="26"/>
  <c r="Z10" i="26"/>
  <c r="Y10" i="26"/>
  <c r="Y46" i="26" s="1"/>
  <c r="X10" i="26"/>
  <c r="X46" i="26" s="1"/>
  <c r="W10" i="26"/>
  <c r="W46" i="26" s="1"/>
  <c r="U10" i="26"/>
  <c r="B10" i="26"/>
  <c r="A10" i="26"/>
  <c r="B7" i="26"/>
  <c r="W4" i="26"/>
  <c r="J4" i="26"/>
  <c r="K4" i="26" s="1"/>
  <c r="AH2" i="26"/>
  <c r="AE2" i="26"/>
  <c r="AD2" i="26"/>
  <c r="AC2" i="26"/>
  <c r="AB2" i="26"/>
  <c r="AA2" i="26"/>
  <c r="Z2" i="26"/>
  <c r="Y2" i="26"/>
  <c r="X2" i="26"/>
  <c r="W2" i="26"/>
  <c r="AI94" i="26" l="1"/>
  <c r="N39" i="17" s="1"/>
  <c r="O39" i="17" s="1"/>
  <c r="E32" i="7" s="1"/>
  <c r="AS34" i="26"/>
  <c r="AS26" i="26"/>
  <c r="AS35" i="26"/>
  <c r="AS43" i="26"/>
  <c r="AS124" i="26"/>
  <c r="AS125" i="26"/>
  <c r="AS40" i="26"/>
  <c r="AS42" i="26"/>
  <c r="AS114" i="26"/>
  <c r="AS121" i="26"/>
  <c r="AS131" i="26"/>
  <c r="AS93" i="26"/>
  <c r="AR134" i="26"/>
  <c r="AR135" i="26" s="1"/>
  <c r="AS115" i="26"/>
  <c r="AS123" i="26"/>
  <c r="AS82" i="26"/>
  <c r="AS86" i="26"/>
  <c r="AS122" i="26"/>
  <c r="AR142" i="26"/>
  <c r="AR143" i="26" s="1"/>
  <c r="AS41" i="26"/>
  <c r="AR46" i="26"/>
  <c r="AR47" i="26" s="1"/>
  <c r="AS87" i="26"/>
  <c r="AS94" i="26"/>
  <c r="AS101" i="26"/>
  <c r="AS28" i="26"/>
  <c r="AS36" i="26"/>
  <c r="AR103" i="26"/>
  <c r="AR104" i="26" s="1"/>
  <c r="AS88" i="26"/>
  <c r="AS95" i="26"/>
  <c r="AS126" i="26"/>
  <c r="AS23" i="26"/>
  <c r="AS31" i="26"/>
  <c r="AS72" i="26"/>
  <c r="AS89" i="26"/>
  <c r="AS96" i="26"/>
  <c r="AS110" i="26"/>
  <c r="AS117" i="26"/>
  <c r="AJ134" i="26"/>
  <c r="AS127" i="26"/>
  <c r="AS138" i="26"/>
  <c r="AS24" i="26"/>
  <c r="AS37" i="26"/>
  <c r="AS97" i="26"/>
  <c r="AS111" i="26"/>
  <c r="AS118" i="26"/>
  <c r="AS128" i="26"/>
  <c r="AS98" i="26"/>
  <c r="AS112" i="26"/>
  <c r="AS119" i="26"/>
  <c r="AS129" i="26"/>
  <c r="AI2" i="26"/>
  <c r="AS33" i="26"/>
  <c r="AS38" i="26"/>
  <c r="AS78" i="26"/>
  <c r="AS80" i="26"/>
  <c r="AS99" i="26"/>
  <c r="AS113" i="26"/>
  <c r="AS120" i="26"/>
  <c r="AS130" i="26"/>
  <c r="AS140" i="26"/>
  <c r="L4" i="26"/>
  <c r="Y4" i="26"/>
  <c r="X4" i="26"/>
  <c r="AI74" i="26"/>
  <c r="AH82" i="26"/>
  <c r="AP82" i="26" s="1"/>
  <c r="AG82" i="26"/>
  <c r="AF82" i="26"/>
  <c r="AH29" i="26"/>
  <c r="X66" i="26"/>
  <c r="AI55" i="26"/>
  <c r="AF66" i="26"/>
  <c r="AI57" i="26"/>
  <c r="AI61" i="26"/>
  <c r="AI28" i="26"/>
  <c r="AS25" i="26"/>
  <c r="AS27" i="26"/>
  <c r="AS29" i="26"/>
  <c r="AI31" i="26"/>
  <c r="U46" i="26"/>
  <c r="U66" i="26"/>
  <c r="V66" i="26" s="1"/>
  <c r="AG66" i="26"/>
  <c r="AI60" i="26"/>
  <c r="X64" i="26"/>
  <c r="AI64" i="26" s="1"/>
  <c r="AC64" i="26"/>
  <c r="AA64" i="26"/>
  <c r="Z64" i="26"/>
  <c r="Y64" i="26"/>
  <c r="AE64" i="26"/>
  <c r="AI78" i="26"/>
  <c r="AI30" i="26"/>
  <c r="AS44" i="26"/>
  <c r="AI50" i="26"/>
  <c r="Z66" i="26"/>
  <c r="AH66" i="26"/>
  <c r="AI73" i="26"/>
  <c r="AH38" i="26"/>
  <c r="AF38" i="26"/>
  <c r="AI38" i="26" s="1"/>
  <c r="AA46" i="26"/>
  <c r="AI10" i="26"/>
  <c r="AI46" i="26" s="1"/>
  <c r="AB46" i="26"/>
  <c r="AJ46" i="26"/>
  <c r="AF29" i="26"/>
  <c r="AI29" i="26" s="1"/>
  <c r="AH30" i="26"/>
  <c r="AI39" i="26"/>
  <c r="AA66" i="26"/>
  <c r="AP72" i="26"/>
  <c r="AI84" i="26"/>
  <c r="AI25" i="26"/>
  <c r="AI27" i="26"/>
  <c r="AG29" i="26"/>
  <c r="AS30" i="26"/>
  <c r="AI42" i="26"/>
  <c r="AI44" i="26"/>
  <c r="AI54" i="26"/>
  <c r="AI56" i="26"/>
  <c r="AI58" i="26"/>
  <c r="AB64" i="26"/>
  <c r="AA63" i="26"/>
  <c r="U103" i="26"/>
  <c r="V103" i="26" s="1"/>
  <c r="AD103" i="26"/>
  <c r="AI82" i="26"/>
  <c r="AI85" i="26"/>
  <c r="AI101" i="26"/>
  <c r="AI116" i="26"/>
  <c r="Z150" i="26"/>
  <c r="L152" i="26"/>
  <c r="Z152" i="26" s="1"/>
  <c r="AH150" i="26"/>
  <c r="T152" i="26"/>
  <c r="AH152" i="26" s="1"/>
  <c r="AB63" i="26"/>
  <c r="W103" i="26"/>
  <c r="AE103" i="26"/>
  <c r="AF78" i="26"/>
  <c r="AF81" i="26"/>
  <c r="AS92" i="26"/>
  <c r="AI97" i="26"/>
  <c r="AI124" i="26"/>
  <c r="U150" i="26"/>
  <c r="M152" i="26"/>
  <c r="AA152" i="26" s="1"/>
  <c r="AB66" i="26"/>
  <c r="X103" i="26"/>
  <c r="AS75" i="26"/>
  <c r="AG78" i="26"/>
  <c r="AH83" i="26"/>
  <c r="AP83" i="26" s="1"/>
  <c r="AG83" i="26"/>
  <c r="AI92" i="26"/>
  <c r="N152" i="26"/>
  <c r="AB152" i="26" s="1"/>
  <c r="Z63" i="26"/>
  <c r="AI63" i="26" s="1"/>
  <c r="AE63" i="26"/>
  <c r="AD63" i="26"/>
  <c r="Y103" i="26"/>
  <c r="U134" i="26"/>
  <c r="V134" i="26" s="1"/>
  <c r="AI129" i="26"/>
  <c r="O152" i="26"/>
  <c r="AC152" i="26" s="1"/>
  <c r="AR66" i="26"/>
  <c r="AR67" i="26" s="1"/>
  <c r="AG53" i="26"/>
  <c r="AI53" i="26" s="1"/>
  <c r="AH63" i="26"/>
  <c r="AF63" i="26"/>
  <c r="AI72" i="26"/>
  <c r="AF74" i="26"/>
  <c r="AF75" i="26"/>
  <c r="AI75" i="26" s="1"/>
  <c r="AG81" i="26"/>
  <c r="AI81" i="26" s="1"/>
  <c r="AI91" i="26"/>
  <c r="AI93" i="26"/>
  <c r="AI99" i="26"/>
  <c r="P152" i="26"/>
  <c r="AD152" i="26" s="1"/>
  <c r="AS50" i="26"/>
  <c r="AS66" i="26" s="1"/>
  <c r="AT166" i="26" s="1"/>
  <c r="W66" i="26"/>
  <c r="AE66" i="26"/>
  <c r="AG63" i="26"/>
  <c r="AA103" i="26"/>
  <c r="AJ103" i="26"/>
  <c r="AG75" i="26"/>
  <c r="AG103" i="26" s="1"/>
  <c r="AH76" i="26"/>
  <c r="AP76" i="26" s="1"/>
  <c r="AG76" i="26"/>
  <c r="AI76" i="26" s="1"/>
  <c r="AH81" i="26"/>
  <c r="AP81" i="26" s="1"/>
  <c r="AF83" i="26"/>
  <c r="AS84" i="26"/>
  <c r="AI89" i="26"/>
  <c r="AS90" i="26"/>
  <c r="AI100" i="26"/>
  <c r="AS132" i="26"/>
  <c r="AI139" i="26"/>
  <c r="AG122" i="26"/>
  <c r="AG134" i="26" s="1"/>
  <c r="AF123" i="26"/>
  <c r="AI123" i="26" s="1"/>
  <c r="I152" i="26"/>
  <c r="W152" i="26" s="1"/>
  <c r="Q152" i="26"/>
  <c r="AE152" i="26" s="1"/>
  <c r="AS109" i="26"/>
  <c r="AH122" i="26"/>
  <c r="X134" i="26"/>
  <c r="U142" i="26"/>
  <c r="V142" i="26" s="1"/>
  <c r="J152" i="26"/>
  <c r="X152" i="26" s="1"/>
  <c r="R152" i="26"/>
  <c r="AF152" i="26" s="1"/>
  <c r="AF77" i="26"/>
  <c r="AI77" i="26" s="1"/>
  <c r="AF122" i="26"/>
  <c r="N38" i="17" l="1"/>
  <c r="H32" i="7"/>
  <c r="Q32" i="7"/>
  <c r="AS142" i="26"/>
  <c r="AR152" i="26"/>
  <c r="AS46" i="26"/>
  <c r="AT165" i="26" s="1"/>
  <c r="AS103" i="26"/>
  <c r="AT167" i="26" s="1"/>
  <c r="AI66" i="26"/>
  <c r="AI83" i="26"/>
  <c r="AF103" i="26"/>
  <c r="AP122" i="26"/>
  <c r="AL133" i="26" s="1"/>
  <c r="AH134" i="26"/>
  <c r="AH103" i="26"/>
  <c r="AF134" i="26"/>
  <c r="AI122" i="26"/>
  <c r="AI134" i="26" s="1"/>
  <c r="AS134" i="26"/>
  <c r="AT168" i="26" s="1"/>
  <c r="AL100" i="26"/>
  <c r="AI103" i="26"/>
  <c r="U152" i="26"/>
  <c r="Z4" i="26"/>
  <c r="M4" i="26"/>
  <c r="AT169" i="26" l="1"/>
  <c r="O38" i="17"/>
  <c r="R6" i="17"/>
  <c r="R8" i="17" s="1"/>
  <c r="N4" i="26"/>
  <c r="AA4" i="26"/>
  <c r="E31" i="7" l="1"/>
  <c r="R4" i="17"/>
  <c r="O4" i="26"/>
  <c r="AB4" i="26"/>
  <c r="H31" i="7" l="1"/>
  <c r="Q31" i="7"/>
  <c r="P4" i="26"/>
  <c r="AC4" i="26"/>
  <c r="AD4" i="26" l="1"/>
  <c r="Q4" i="26"/>
  <c r="R4" i="26" l="1"/>
  <c r="AE4" i="26"/>
  <c r="S4" i="26" l="1"/>
  <c r="AF4" i="26"/>
  <c r="T4" i="26" l="1"/>
  <c r="AH4" i="26" s="1"/>
  <c r="AG4" i="26"/>
  <c r="D21" i="22" l="1"/>
  <c r="C21" i="22"/>
  <c r="C22" i="22"/>
  <c r="C23" i="22"/>
  <c r="C24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16" i="22"/>
  <c r="C17" i="22"/>
  <c r="C18" i="22"/>
  <c r="C19" i="22"/>
  <c r="C20" i="22"/>
  <c r="E34" i="7"/>
  <c r="G61" i="25" l="1"/>
  <c r="B53" i="25"/>
  <c r="J48" i="7" s="1"/>
  <c r="C52" i="25"/>
  <c r="C53" i="25" s="1"/>
  <c r="G51" i="25"/>
  <c r="G54" i="25" s="1"/>
  <c r="G56" i="25" s="1"/>
  <c r="C51" i="25"/>
  <c r="H12" i="25"/>
  <c r="B12" i="25"/>
  <c r="G12" i="25" s="1"/>
  <c r="H11" i="25"/>
  <c r="G11" i="25"/>
  <c r="B11" i="25"/>
  <c r="F11" i="25" s="1"/>
  <c r="H10" i="25"/>
  <c r="G10" i="25"/>
  <c r="F10" i="25"/>
  <c r="B10" i="25"/>
  <c r="E10" i="25" s="1"/>
  <c r="H9" i="25"/>
  <c r="G9" i="25"/>
  <c r="F9" i="25"/>
  <c r="E9" i="25"/>
  <c r="B9" i="25"/>
  <c r="D9" i="25" s="1"/>
  <c r="H8" i="25"/>
  <c r="G8" i="25"/>
  <c r="F8" i="25"/>
  <c r="E8" i="25"/>
  <c r="D8" i="25"/>
  <c r="B8" i="25"/>
  <c r="C8" i="25" s="1"/>
  <c r="H7" i="25"/>
  <c r="G7" i="25"/>
  <c r="F7" i="25"/>
  <c r="E7" i="25"/>
  <c r="D7" i="25"/>
  <c r="C7" i="25"/>
  <c r="B7" i="25"/>
  <c r="B6" i="25"/>
  <c r="G6" i="25" s="1"/>
  <c r="D53" i="25" l="1"/>
  <c r="B57" i="25"/>
  <c r="B58" i="25"/>
  <c r="B60" i="25" s="1"/>
  <c r="E6" i="25"/>
  <c r="C6" i="25"/>
  <c r="D6" i="25"/>
  <c r="C11" i="25"/>
  <c r="D12" i="25"/>
  <c r="H6" i="25"/>
  <c r="C9" i="25"/>
  <c r="D10" i="25"/>
  <c r="E11" i="25"/>
  <c r="F12" i="25"/>
  <c r="C12" i="25"/>
  <c r="F6" i="25"/>
  <c r="C10" i="25"/>
  <c r="D11" i="25"/>
  <c r="E12" i="25"/>
  <c r="D4" i="22" l="1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" i="22"/>
  <c r="D15" i="22"/>
  <c r="D11" i="22"/>
  <c r="D16" i="22"/>
  <c r="H4" i="22"/>
  <c r="H5" i="22"/>
  <c r="H6" i="22"/>
  <c r="H7" i="22"/>
  <c r="H8" i="22"/>
  <c r="H9" i="22"/>
  <c r="H10" i="22"/>
  <c r="H12" i="22"/>
  <c r="H13" i="22"/>
  <c r="H14" i="22"/>
  <c r="H17" i="22"/>
  <c r="H18" i="22"/>
  <c r="H19" i="22"/>
  <c r="H20" i="22"/>
  <c r="H2" i="22"/>
  <c r="H15" i="22"/>
  <c r="H11" i="22"/>
  <c r="H16" i="22"/>
  <c r="H3" i="22" l="1"/>
  <c r="D3" i="22"/>
  <c r="F18" i="7" l="1"/>
  <c r="F17" i="7"/>
  <c r="F15" i="7"/>
  <c r="F14" i="7"/>
  <c r="F13" i="7"/>
  <c r="R13" i="17" l="1"/>
  <c r="S13" i="17" l="1"/>
  <c r="Q7" i="7" l="1"/>
  <c r="F25" i="7"/>
  <c r="F24" i="7"/>
  <c r="F23" i="7"/>
  <c r="F22" i="7"/>
  <c r="F21" i="7"/>
  <c r="F20" i="7"/>
  <c r="F19" i="7"/>
  <c r="F16" i="7"/>
  <c r="F12" i="7"/>
  <c r="F11" i="7"/>
  <c r="F10" i="7" l="1"/>
  <c r="H17" i="7" l="1"/>
  <c r="H16" i="7"/>
  <c r="H15" i="7"/>
  <c r="H12" i="7"/>
  <c r="H18" i="7"/>
  <c r="H23" i="7"/>
  <c r="H22" i="7"/>
  <c r="H14" i="7"/>
  <c r="H13" i="7"/>
  <c r="H19" i="7"/>
  <c r="H25" i="7"/>
  <c r="H11" i="7"/>
  <c r="H24" i="7"/>
  <c r="H21" i="7"/>
  <c r="H20" i="7"/>
  <c r="H10" i="7" l="1"/>
  <c r="R14" i="17" l="1"/>
  <c r="S14" i="17" l="1"/>
  <c r="F30" i="7"/>
  <c r="F8" i="7" l="1"/>
  <c r="F9" i="7"/>
  <c r="H9" i="7" s="1"/>
  <c r="H30" i="7" l="1"/>
  <c r="H34" i="7" s="1"/>
  <c r="Q30" i="7"/>
  <c r="Q34" i="7" s="1"/>
  <c r="E26" i="7" l="1"/>
  <c r="Q26" i="7"/>
  <c r="Q35" i="7" s="1"/>
  <c r="H8" i="7"/>
  <c r="H26" i="7" s="1"/>
  <c r="H35" i="7" s="1"/>
  <c r="J41" i="7" l="1"/>
  <c r="E35" i="7" l="1"/>
  <c r="E36" i="7" s="1"/>
  <c r="D43" i="7" l="1"/>
  <c r="J43" i="7"/>
  <c r="D44" i="7"/>
  <c r="I72" i="7" l="1"/>
  <c r="J72" i="7" s="1"/>
  <c r="K72" i="7" s="1"/>
  <c r="N72" i="7" s="1"/>
  <c r="I75" i="7"/>
  <c r="J75" i="7" s="1"/>
  <c r="K75" i="7" s="1"/>
  <c r="I76" i="7"/>
  <c r="J76" i="7" s="1"/>
  <c r="K76" i="7" s="1"/>
  <c r="I73" i="7"/>
  <c r="J73" i="7" s="1"/>
  <c r="K73" i="7" s="1"/>
  <c r="I74" i="7"/>
  <c r="J74" i="7" s="1"/>
  <c r="K74" i="7" s="1"/>
  <c r="I55" i="7"/>
  <c r="J55" i="7" s="1"/>
  <c r="K55" i="7" s="1"/>
  <c r="N55" i="7" s="1"/>
  <c r="O55" i="7" s="1"/>
  <c r="F27" i="22" s="1"/>
  <c r="E27" i="22" s="1"/>
  <c r="G27" i="22" s="1"/>
  <c r="I56" i="7"/>
  <c r="J56" i="7" s="1"/>
  <c r="K56" i="7" s="1"/>
  <c r="N56" i="7" s="1"/>
  <c r="I71" i="7"/>
  <c r="J71" i="7" s="1"/>
  <c r="K71" i="7" s="1"/>
  <c r="N71" i="7" s="1"/>
  <c r="P71" i="7" s="1"/>
  <c r="I54" i="7"/>
  <c r="J54" i="7" s="1"/>
  <c r="K54" i="7" s="1"/>
  <c r="N54" i="7" s="1"/>
  <c r="T54" i="7" s="1"/>
  <c r="I53" i="7"/>
  <c r="J53" i="7" s="1"/>
  <c r="K53" i="7" s="1"/>
  <c r="N53" i="7" s="1"/>
  <c r="T53" i="7" s="1"/>
  <c r="I52" i="7"/>
  <c r="J52" i="7" s="1"/>
  <c r="K52" i="7" s="1"/>
  <c r="N52" i="7" s="1"/>
  <c r="T52" i="7" s="1"/>
  <c r="I64" i="7"/>
  <c r="I65" i="7"/>
  <c r="I58" i="7"/>
  <c r="I66" i="7"/>
  <c r="I59" i="7"/>
  <c r="I67" i="7"/>
  <c r="I60" i="7"/>
  <c r="J60" i="7" s="1"/>
  <c r="I68" i="7"/>
  <c r="J68" i="7" s="1"/>
  <c r="K68" i="7" s="1"/>
  <c r="N68" i="7" s="1"/>
  <c r="I61" i="7"/>
  <c r="J61" i="7" s="1"/>
  <c r="K61" i="7" s="1"/>
  <c r="N61" i="7" s="1"/>
  <c r="I69" i="7"/>
  <c r="J69" i="7" s="1"/>
  <c r="K69" i="7" s="1"/>
  <c r="N69" i="7" s="1"/>
  <c r="N76" i="7" s="1"/>
  <c r="I62" i="7"/>
  <c r="I63" i="7"/>
  <c r="I57" i="7"/>
  <c r="I70" i="7"/>
  <c r="I51" i="7"/>
  <c r="I33" i="7"/>
  <c r="J33" i="7" s="1"/>
  <c r="K33" i="7" s="1"/>
  <c r="N33" i="7" s="1"/>
  <c r="P33" i="7" s="1"/>
  <c r="I27" i="7"/>
  <c r="J27" i="7" s="1"/>
  <c r="I31" i="7"/>
  <c r="J31" i="7" s="1"/>
  <c r="K31" i="7" s="1"/>
  <c r="N31" i="7" s="1"/>
  <c r="P31" i="7" s="1"/>
  <c r="I29" i="7"/>
  <c r="J29" i="7" s="1"/>
  <c r="I28" i="7"/>
  <c r="J28" i="7" s="1"/>
  <c r="K28" i="7" s="1"/>
  <c r="N28" i="7" s="1"/>
  <c r="P28" i="7" s="1"/>
  <c r="I32" i="7"/>
  <c r="J32" i="7" s="1"/>
  <c r="K32" i="7" s="1"/>
  <c r="N32" i="7" s="1"/>
  <c r="P32" i="7" s="1"/>
  <c r="I9" i="7"/>
  <c r="J9" i="7" s="1"/>
  <c r="K9" i="7" s="1"/>
  <c r="N9" i="7" s="1"/>
  <c r="I17" i="7"/>
  <c r="J17" i="7" s="1"/>
  <c r="K17" i="7" s="1"/>
  <c r="N17" i="7" s="1"/>
  <c r="I24" i="7"/>
  <c r="J24" i="7" s="1"/>
  <c r="K24" i="7" s="1"/>
  <c r="N24" i="7" s="1"/>
  <c r="I11" i="7"/>
  <c r="J11" i="7" s="1"/>
  <c r="K11" i="7" s="1"/>
  <c r="N11" i="7" s="1"/>
  <c r="I10" i="7"/>
  <c r="J10" i="7" s="1"/>
  <c r="K10" i="7" s="1"/>
  <c r="N10" i="7" s="1"/>
  <c r="I18" i="7"/>
  <c r="J18" i="7" s="1"/>
  <c r="K18" i="7" s="1"/>
  <c r="N18" i="7" s="1"/>
  <c r="I25" i="7"/>
  <c r="J25" i="7" s="1"/>
  <c r="K25" i="7" s="1"/>
  <c r="N25" i="7" s="1"/>
  <c r="I19" i="7"/>
  <c r="J19" i="7" s="1"/>
  <c r="K19" i="7" s="1"/>
  <c r="N19" i="7" s="1"/>
  <c r="I7" i="7"/>
  <c r="I14" i="7"/>
  <c r="J14" i="7" s="1"/>
  <c r="K14" i="7" s="1"/>
  <c r="N14" i="7" s="1"/>
  <c r="I15" i="7"/>
  <c r="J15" i="7" s="1"/>
  <c r="K15" i="7" s="1"/>
  <c r="N15" i="7" s="1"/>
  <c r="I30" i="7"/>
  <c r="J30" i="7" s="1"/>
  <c r="K30" i="7" s="1"/>
  <c r="N30" i="7" s="1"/>
  <c r="P30" i="7" s="1"/>
  <c r="I12" i="7"/>
  <c r="J12" i="7" s="1"/>
  <c r="K12" i="7" s="1"/>
  <c r="N12" i="7" s="1"/>
  <c r="I20" i="7"/>
  <c r="J20" i="7" s="1"/>
  <c r="K20" i="7" s="1"/>
  <c r="N20" i="7" s="1"/>
  <c r="I22" i="7"/>
  <c r="J22" i="7" s="1"/>
  <c r="K22" i="7" s="1"/>
  <c r="N22" i="7" s="1"/>
  <c r="I16" i="7"/>
  <c r="J16" i="7" s="1"/>
  <c r="K16" i="7" s="1"/>
  <c r="N16" i="7" s="1"/>
  <c r="I13" i="7"/>
  <c r="J13" i="7" s="1"/>
  <c r="K13" i="7" s="1"/>
  <c r="N13" i="7" s="1"/>
  <c r="I21" i="7"/>
  <c r="J21" i="7" s="1"/>
  <c r="K21" i="7" s="1"/>
  <c r="N21" i="7" s="1"/>
  <c r="I23" i="7"/>
  <c r="J23" i="7" s="1"/>
  <c r="K23" i="7" s="1"/>
  <c r="N23" i="7" s="1"/>
  <c r="I8" i="7"/>
  <c r="J8" i="7" s="1"/>
  <c r="K8" i="7" s="1"/>
  <c r="N8" i="7" s="1"/>
  <c r="P8" i="7" s="1"/>
  <c r="I77" i="7" l="1"/>
  <c r="O76" i="7"/>
  <c r="F53" i="22" s="1"/>
  <c r="E53" i="22" s="1"/>
  <c r="G53" i="22" s="1"/>
  <c r="P76" i="7"/>
  <c r="J53" i="22" s="1"/>
  <c r="I53" i="22" s="1"/>
  <c r="K53" i="22" s="1"/>
  <c r="O56" i="7"/>
  <c r="F28" i="22" s="1"/>
  <c r="E28" i="22" s="1"/>
  <c r="G28" i="22" s="1"/>
  <c r="P56" i="7"/>
  <c r="J28" i="22" s="1"/>
  <c r="I28" i="22" s="1"/>
  <c r="K28" i="22" s="1"/>
  <c r="P55" i="7"/>
  <c r="J27" i="22" s="1"/>
  <c r="I27" i="22" s="1"/>
  <c r="K27" i="22" s="1"/>
  <c r="O71" i="7"/>
  <c r="O53" i="7"/>
  <c r="F25" i="22" s="1"/>
  <c r="E25" i="22" s="1"/>
  <c r="G25" i="22" s="1"/>
  <c r="P53" i="7"/>
  <c r="J25" i="22" s="1"/>
  <c r="I25" i="22" s="1"/>
  <c r="K25" i="22" s="1"/>
  <c r="O54" i="7"/>
  <c r="F26" i="22" s="1"/>
  <c r="E26" i="22" s="1"/>
  <c r="G26" i="22" s="1"/>
  <c r="P54" i="7"/>
  <c r="J26" i="22" s="1"/>
  <c r="I26" i="22" s="1"/>
  <c r="K26" i="22" s="1"/>
  <c r="P61" i="7"/>
  <c r="O61" i="7"/>
  <c r="P69" i="7"/>
  <c r="O69" i="7"/>
  <c r="P52" i="7"/>
  <c r="O52" i="7"/>
  <c r="P68" i="7"/>
  <c r="O68" i="7"/>
  <c r="K60" i="7"/>
  <c r="N60" i="7" s="1"/>
  <c r="J67" i="7"/>
  <c r="J62" i="7"/>
  <c r="J70" i="7"/>
  <c r="J57" i="7"/>
  <c r="K57" i="7" s="1"/>
  <c r="N57" i="7" s="1"/>
  <c r="J58" i="7"/>
  <c r="J64" i="7"/>
  <c r="J59" i="7"/>
  <c r="J63" i="7"/>
  <c r="J66" i="7"/>
  <c r="J65" i="7"/>
  <c r="K27" i="7"/>
  <c r="J7" i="7"/>
  <c r="K7" i="7" s="1"/>
  <c r="N7" i="7" s="1"/>
  <c r="P7" i="7" s="1"/>
  <c r="I26" i="7"/>
  <c r="O9" i="7"/>
  <c r="R9" i="7" s="1"/>
  <c r="P9" i="7"/>
  <c r="J4" i="22" s="1"/>
  <c r="I4" i="22" s="1"/>
  <c r="K4" i="22" s="1"/>
  <c r="O13" i="7"/>
  <c r="R13" i="7" s="1"/>
  <c r="P13" i="7"/>
  <c r="J8" i="22" s="1"/>
  <c r="I8" i="22" s="1"/>
  <c r="K8" i="22" s="1"/>
  <c r="O18" i="7"/>
  <c r="R18" i="7" s="1"/>
  <c r="P18" i="7"/>
  <c r="J13" i="22" s="1"/>
  <c r="I13" i="22" s="1"/>
  <c r="K13" i="22" s="1"/>
  <c r="O12" i="7"/>
  <c r="R12" i="7" s="1"/>
  <c r="P12" i="7"/>
  <c r="J7" i="22" s="1"/>
  <c r="I7" i="22" s="1"/>
  <c r="K7" i="22" s="1"/>
  <c r="O19" i="7"/>
  <c r="R19" i="7" s="1"/>
  <c r="P19" i="7"/>
  <c r="J14" i="22" s="1"/>
  <c r="I14" i="22" s="1"/>
  <c r="K14" i="22" s="1"/>
  <c r="O22" i="7"/>
  <c r="R22" i="7" s="1"/>
  <c r="P22" i="7"/>
  <c r="J17" i="22" s="1"/>
  <c r="I17" i="22" s="1"/>
  <c r="K17" i="22" s="1"/>
  <c r="O24" i="7"/>
  <c r="R24" i="7" s="1"/>
  <c r="P24" i="7"/>
  <c r="J19" i="22" s="1"/>
  <c r="I19" i="22" s="1"/>
  <c r="K19" i="22" s="1"/>
  <c r="O16" i="7"/>
  <c r="R16" i="7" s="1"/>
  <c r="P16" i="7"/>
  <c r="O25" i="7"/>
  <c r="R25" i="7" s="1"/>
  <c r="P25" i="7"/>
  <c r="J20" i="22" s="1"/>
  <c r="I20" i="22" s="1"/>
  <c r="K20" i="22" s="1"/>
  <c r="O20" i="7"/>
  <c r="R20" i="7" s="1"/>
  <c r="P20" i="7"/>
  <c r="O10" i="7"/>
  <c r="R10" i="7" s="1"/>
  <c r="P10" i="7"/>
  <c r="J5" i="22" s="1"/>
  <c r="I5" i="22" s="1"/>
  <c r="K5" i="22" s="1"/>
  <c r="O11" i="7"/>
  <c r="R11" i="7" s="1"/>
  <c r="P11" i="7"/>
  <c r="J6" i="22" s="1"/>
  <c r="I6" i="22" s="1"/>
  <c r="K6" i="22" s="1"/>
  <c r="O23" i="7"/>
  <c r="R23" i="7" s="1"/>
  <c r="P23" i="7"/>
  <c r="J18" i="22" s="1"/>
  <c r="I18" i="22" s="1"/>
  <c r="K18" i="22" s="1"/>
  <c r="O15" i="7"/>
  <c r="R15" i="7" s="1"/>
  <c r="P15" i="7"/>
  <c r="J10" i="22" s="1"/>
  <c r="I10" i="22" s="1"/>
  <c r="K10" i="22" s="1"/>
  <c r="O21" i="7"/>
  <c r="R21" i="7" s="1"/>
  <c r="P21" i="7"/>
  <c r="O14" i="7"/>
  <c r="R14" i="7" s="1"/>
  <c r="P14" i="7"/>
  <c r="J9" i="22" s="1"/>
  <c r="I9" i="22" s="1"/>
  <c r="K9" i="22" s="1"/>
  <c r="O17" i="7"/>
  <c r="R17" i="7" s="1"/>
  <c r="P17" i="7"/>
  <c r="J12" i="22" s="1"/>
  <c r="I12" i="22" s="1"/>
  <c r="K12" i="22" s="1"/>
  <c r="T8" i="7"/>
  <c r="O8" i="7"/>
  <c r="R8" i="7" s="1"/>
  <c r="T9" i="7"/>
  <c r="T13" i="7"/>
  <c r="T18" i="7"/>
  <c r="T10" i="7"/>
  <c r="T11" i="7"/>
  <c r="T25" i="7"/>
  <c r="T15" i="7"/>
  <c r="T19" i="7"/>
  <c r="T22" i="7"/>
  <c r="T28" i="7"/>
  <c r="T20" i="7"/>
  <c r="T12" i="7"/>
  <c r="T31" i="7"/>
  <c r="T30" i="7"/>
  <c r="T23" i="7"/>
  <c r="T24" i="7"/>
  <c r="T21" i="7"/>
  <c r="T14" i="7"/>
  <c r="T17" i="7"/>
  <c r="T16" i="7"/>
  <c r="J32" i="22"/>
  <c r="I32" i="22" s="1"/>
  <c r="K32" i="22" s="1"/>
  <c r="J51" i="7"/>
  <c r="J34" i="7"/>
  <c r="I34" i="7"/>
  <c r="O31" i="7"/>
  <c r="R31" i="7" s="1"/>
  <c r="J31" i="22"/>
  <c r="I31" i="22" s="1"/>
  <c r="K31" i="22" s="1"/>
  <c r="J24" i="22"/>
  <c r="I24" i="22" s="1"/>
  <c r="K24" i="22" s="1"/>
  <c r="O28" i="7"/>
  <c r="P72" i="7" l="1"/>
  <c r="J49" i="22" s="1"/>
  <c r="I49" i="22" s="1"/>
  <c r="K49" i="22" s="1"/>
  <c r="N73" i="7"/>
  <c r="J77" i="7"/>
  <c r="R28" i="7"/>
  <c r="S28" i="7" s="1"/>
  <c r="O72" i="7"/>
  <c r="F49" i="22" s="1"/>
  <c r="E49" i="22" s="1"/>
  <c r="G49" i="22" s="1"/>
  <c r="O57" i="7"/>
  <c r="P57" i="7"/>
  <c r="O60" i="7"/>
  <c r="F37" i="22" s="1"/>
  <c r="E37" i="22" s="1"/>
  <c r="P60" i="7"/>
  <c r="J37" i="22" s="1"/>
  <c r="I37" i="22" s="1"/>
  <c r="K37" i="22" s="1"/>
  <c r="T60" i="7"/>
  <c r="K64" i="7"/>
  <c r="N64" i="7" s="1"/>
  <c r="K70" i="7"/>
  <c r="N70" i="7" s="1"/>
  <c r="T70" i="7" s="1"/>
  <c r="K58" i="7"/>
  <c r="N58" i="7" s="1"/>
  <c r="I35" i="7"/>
  <c r="K65" i="7"/>
  <c r="N65" i="7" s="1"/>
  <c r="K62" i="7"/>
  <c r="N62" i="7" s="1"/>
  <c r="K66" i="7"/>
  <c r="N66" i="7" s="1"/>
  <c r="N75" i="7" s="1"/>
  <c r="K67" i="7"/>
  <c r="N67" i="7" s="1"/>
  <c r="K63" i="7"/>
  <c r="N63" i="7" s="1"/>
  <c r="N74" i="7" s="1"/>
  <c r="K59" i="7"/>
  <c r="N59" i="7" s="1"/>
  <c r="O7" i="7"/>
  <c r="T7" i="7"/>
  <c r="N27" i="7"/>
  <c r="O32" i="7"/>
  <c r="T33" i="7"/>
  <c r="T32" i="7"/>
  <c r="O33" i="7"/>
  <c r="J33" i="22"/>
  <c r="I33" i="22" s="1"/>
  <c r="K33" i="22" s="1"/>
  <c r="F22" i="22"/>
  <c r="E22" i="22" s="1"/>
  <c r="G22" i="22" s="1"/>
  <c r="J22" i="22"/>
  <c r="I22" i="22" s="1"/>
  <c r="K22" i="22" s="1"/>
  <c r="S31" i="7"/>
  <c r="F31" i="22"/>
  <c r="E31" i="22" s="1"/>
  <c r="G31" i="22" s="1"/>
  <c r="F24" i="22"/>
  <c r="E24" i="22" s="1"/>
  <c r="G24" i="22" s="1"/>
  <c r="K51" i="7"/>
  <c r="F16" i="22"/>
  <c r="E16" i="22" s="1"/>
  <c r="K29" i="7"/>
  <c r="N29" i="7" s="1"/>
  <c r="F8" i="22"/>
  <c r="E8" i="22" s="1"/>
  <c r="F4" i="22"/>
  <c r="E4" i="22" s="1"/>
  <c r="F3" i="22"/>
  <c r="E3" i="22" s="1"/>
  <c r="F13" i="22"/>
  <c r="E13" i="22" s="1"/>
  <c r="J16" i="22"/>
  <c r="I16" i="22" s="1"/>
  <c r="K16" i="22" s="1"/>
  <c r="F12" i="22"/>
  <c r="E12" i="22" s="1"/>
  <c r="F7" i="22"/>
  <c r="E7" i="22" s="1"/>
  <c r="F14" i="22"/>
  <c r="E14" i="22" s="1"/>
  <c r="F10" i="22"/>
  <c r="E10" i="22" s="1"/>
  <c r="F9" i="22"/>
  <c r="E9" i="22" s="1"/>
  <c r="J11" i="22"/>
  <c r="I11" i="22" s="1"/>
  <c r="K11" i="22" s="1"/>
  <c r="F11" i="22"/>
  <c r="E11" i="22" s="1"/>
  <c r="F18" i="22"/>
  <c r="E18" i="22" s="1"/>
  <c r="S20" i="7"/>
  <c r="F19" i="22"/>
  <c r="E19" i="22" s="1"/>
  <c r="S21" i="7"/>
  <c r="S25" i="7"/>
  <c r="F17" i="22"/>
  <c r="E17" i="22" s="1"/>
  <c r="S19" i="7"/>
  <c r="F20" i="22"/>
  <c r="E20" i="22" s="1"/>
  <c r="F6" i="22"/>
  <c r="E6" i="22" s="1"/>
  <c r="S11" i="7"/>
  <c r="F5" i="22"/>
  <c r="E5" i="22" s="1"/>
  <c r="S10" i="7"/>
  <c r="S24" i="7"/>
  <c r="J26" i="7"/>
  <c r="J3" i="22"/>
  <c r="I3" i="22" s="1"/>
  <c r="K3" i="22" s="1"/>
  <c r="S23" i="7"/>
  <c r="S12" i="7"/>
  <c r="S14" i="7"/>
  <c r="S16" i="7"/>
  <c r="S15" i="7"/>
  <c r="S22" i="7"/>
  <c r="S13" i="7"/>
  <c r="S17" i="7"/>
  <c r="S9" i="7"/>
  <c r="S18" i="7"/>
  <c r="J30" i="22"/>
  <c r="I30" i="22" s="1"/>
  <c r="K30" i="22" s="1"/>
  <c r="J44" i="7"/>
  <c r="P75" i="7" l="1"/>
  <c r="J52" i="22" s="1"/>
  <c r="I52" i="22" s="1"/>
  <c r="K52" i="22" s="1"/>
  <c r="O75" i="7"/>
  <c r="F52" i="22" s="1"/>
  <c r="E52" i="22" s="1"/>
  <c r="G52" i="22" s="1"/>
  <c r="O74" i="7"/>
  <c r="F51" i="22" s="1"/>
  <c r="E51" i="22" s="1"/>
  <c r="G51" i="22" s="1"/>
  <c r="P74" i="7"/>
  <c r="J51" i="22" s="1"/>
  <c r="I51" i="22" s="1"/>
  <c r="K51" i="22" s="1"/>
  <c r="O73" i="7"/>
  <c r="F50" i="22" s="1"/>
  <c r="E50" i="22" s="1"/>
  <c r="G50" i="22" s="1"/>
  <c r="P73" i="7"/>
  <c r="J50" i="22" s="1"/>
  <c r="I50" i="22" s="1"/>
  <c r="K50" i="22" s="1"/>
  <c r="G37" i="22"/>
  <c r="P29" i="7"/>
  <c r="J29" i="22" s="1"/>
  <c r="I29" i="22" s="1"/>
  <c r="K29" i="22" s="1"/>
  <c r="N51" i="7"/>
  <c r="P51" i="7" s="1"/>
  <c r="K77" i="7"/>
  <c r="G12" i="22"/>
  <c r="L12" i="22"/>
  <c r="G18" i="22"/>
  <c r="L18" i="22"/>
  <c r="G13" i="22"/>
  <c r="L13" i="22"/>
  <c r="G16" i="22"/>
  <c r="L16" i="22"/>
  <c r="G3" i="22"/>
  <c r="L3" i="22"/>
  <c r="G17" i="22"/>
  <c r="L17" i="22"/>
  <c r="G6" i="22"/>
  <c r="L6" i="22"/>
  <c r="G9" i="22"/>
  <c r="L9" i="22"/>
  <c r="G4" i="22"/>
  <c r="L4" i="22"/>
  <c r="G10" i="22"/>
  <c r="L10" i="22"/>
  <c r="G8" i="22"/>
  <c r="L8" i="22"/>
  <c r="G20" i="22"/>
  <c r="L20" i="22"/>
  <c r="G14" i="22"/>
  <c r="L14" i="22"/>
  <c r="G11" i="22"/>
  <c r="L11" i="22"/>
  <c r="G5" i="22"/>
  <c r="L5" i="22"/>
  <c r="G19" i="22"/>
  <c r="L19" i="22"/>
  <c r="G7" i="22"/>
  <c r="L7" i="22"/>
  <c r="T58" i="7"/>
  <c r="P58" i="7"/>
  <c r="J35" i="22" s="1"/>
  <c r="I35" i="22" s="1"/>
  <c r="K35" i="22" s="1"/>
  <c r="O58" i="7"/>
  <c r="F35" i="22" s="1"/>
  <c r="E35" i="22" s="1"/>
  <c r="G35" i="22" s="1"/>
  <c r="P59" i="7"/>
  <c r="O59" i="7"/>
  <c r="P70" i="7"/>
  <c r="O70" i="7"/>
  <c r="P63" i="7"/>
  <c r="O63" i="7"/>
  <c r="O64" i="7"/>
  <c r="F41" i="22" s="1"/>
  <c r="E41" i="22" s="1"/>
  <c r="P64" i="7"/>
  <c r="J41" i="22" s="1"/>
  <c r="I41" i="22" s="1"/>
  <c r="K41" i="22" s="1"/>
  <c r="P67" i="7"/>
  <c r="J44" i="22" s="1"/>
  <c r="I44" i="22" s="1"/>
  <c r="K44" i="22" s="1"/>
  <c r="O67" i="7"/>
  <c r="F44" i="22" s="1"/>
  <c r="E44" i="22" s="1"/>
  <c r="G44" i="22" s="1"/>
  <c r="O66" i="7"/>
  <c r="F43" i="22" s="1"/>
  <c r="E43" i="22" s="1"/>
  <c r="G43" i="22" s="1"/>
  <c r="P66" i="7"/>
  <c r="J43" i="22" s="1"/>
  <c r="I43" i="22" s="1"/>
  <c r="K43" i="22" s="1"/>
  <c r="P62" i="7"/>
  <c r="J39" i="22" s="1"/>
  <c r="I39" i="22" s="1"/>
  <c r="K39" i="22" s="1"/>
  <c r="O62" i="7"/>
  <c r="F39" i="22" s="1"/>
  <c r="E39" i="22" s="1"/>
  <c r="G39" i="22" s="1"/>
  <c r="P65" i="7"/>
  <c r="J42" i="22" s="1"/>
  <c r="I42" i="22" s="1"/>
  <c r="K42" i="22" s="1"/>
  <c r="O65" i="7"/>
  <c r="F42" i="22" s="1"/>
  <c r="E42" i="22" s="1"/>
  <c r="G42" i="22" s="1"/>
  <c r="T59" i="7"/>
  <c r="T67" i="7"/>
  <c r="T64" i="7"/>
  <c r="T63" i="7"/>
  <c r="T66" i="7"/>
  <c r="T62" i="7"/>
  <c r="T65" i="7"/>
  <c r="K34" i="7"/>
  <c r="P27" i="7"/>
  <c r="J23" i="22" s="1"/>
  <c r="I23" i="22" s="1"/>
  <c r="K23" i="22" s="1"/>
  <c r="T27" i="7"/>
  <c r="O27" i="7"/>
  <c r="R33" i="7"/>
  <c r="S33" i="7" s="1"/>
  <c r="R32" i="7"/>
  <c r="S32" i="7" s="1"/>
  <c r="F32" i="22"/>
  <c r="E32" i="22" s="1"/>
  <c r="G32" i="22" s="1"/>
  <c r="T69" i="7"/>
  <c r="T71" i="7"/>
  <c r="F33" i="22"/>
  <c r="E33" i="22" s="1"/>
  <c r="G33" i="22" s="1"/>
  <c r="T61" i="7"/>
  <c r="T29" i="7"/>
  <c r="T68" i="7"/>
  <c r="J35" i="7"/>
  <c r="K26" i="7"/>
  <c r="J15" i="22"/>
  <c r="I15" i="22" s="1"/>
  <c r="K15" i="22" s="1"/>
  <c r="O30" i="7"/>
  <c r="F15" i="22"/>
  <c r="E15" i="22" s="1"/>
  <c r="S8" i="7"/>
  <c r="G41" i="22" l="1"/>
  <c r="O51" i="7"/>
  <c r="F21" i="22" s="1"/>
  <c r="E21" i="22" s="1"/>
  <c r="G21" i="22" s="1"/>
  <c r="T51" i="7"/>
  <c r="G15" i="22"/>
  <c r="L15" i="22"/>
  <c r="K35" i="7"/>
  <c r="R27" i="7"/>
  <c r="S27" i="7" s="1"/>
  <c r="F23" i="22"/>
  <c r="E23" i="22" s="1"/>
  <c r="G23" i="22" s="1"/>
  <c r="F30" i="22"/>
  <c r="E30" i="22" s="1"/>
  <c r="G30" i="22" s="1"/>
  <c r="R30" i="7"/>
  <c r="T57" i="7"/>
  <c r="F40" i="22"/>
  <c r="E40" i="22" s="1"/>
  <c r="G40" i="22" s="1"/>
  <c r="F38" i="22"/>
  <c r="E38" i="22" s="1"/>
  <c r="G38" i="22" s="1"/>
  <c r="J40" i="22"/>
  <c r="I40" i="22" s="1"/>
  <c r="K40" i="22" s="1"/>
  <c r="J38" i="22"/>
  <c r="I38" i="22" s="1"/>
  <c r="K38" i="22" s="1"/>
  <c r="F47" i="22"/>
  <c r="E47" i="22" s="1"/>
  <c r="G47" i="22" s="1"/>
  <c r="F45" i="22"/>
  <c r="E45" i="22" s="1"/>
  <c r="J47" i="22"/>
  <c r="I47" i="22" s="1"/>
  <c r="K47" i="22" s="1"/>
  <c r="J45" i="22"/>
  <c r="I45" i="22" s="1"/>
  <c r="K45" i="22" s="1"/>
  <c r="J48" i="22"/>
  <c r="I48" i="22" s="1"/>
  <c r="K48" i="22" s="1"/>
  <c r="J46" i="22"/>
  <c r="I46" i="22" s="1"/>
  <c r="K46" i="22" s="1"/>
  <c r="F48" i="22"/>
  <c r="E48" i="22" s="1"/>
  <c r="F46" i="22"/>
  <c r="E46" i="22" s="1"/>
  <c r="G46" i="22" s="1"/>
  <c r="O29" i="7"/>
  <c r="F29" i="22" s="1"/>
  <c r="E29" i="22" s="1"/>
  <c r="G29" i="22" s="1"/>
  <c r="J21" i="22"/>
  <c r="I21" i="22" s="1"/>
  <c r="K21" i="22" s="1"/>
  <c r="F36" i="22"/>
  <c r="E36" i="22" s="1"/>
  <c r="G36" i="22" s="1"/>
  <c r="J36" i="22"/>
  <c r="I36" i="22" s="1"/>
  <c r="K36" i="22" s="1"/>
  <c r="R7" i="7"/>
  <c r="R26" i="7" s="1"/>
  <c r="J2" i="22"/>
  <c r="I2" i="22" s="1"/>
  <c r="K2" i="22" s="1"/>
  <c r="G48" i="22" l="1"/>
  <c r="G45" i="22"/>
  <c r="R29" i="7"/>
  <c r="F34" i="22"/>
  <c r="E34" i="22" s="1"/>
  <c r="G34" i="22" s="1"/>
  <c r="J34" i="22"/>
  <c r="I34" i="22" s="1"/>
  <c r="K34" i="22" s="1"/>
  <c r="F2" i="22"/>
  <c r="E2" i="22" s="1"/>
  <c r="S30" i="7"/>
  <c r="S77" i="7"/>
  <c r="R77" i="7"/>
  <c r="G2" i="22" l="1"/>
  <c r="L2" i="22"/>
  <c r="S29" i="7"/>
  <c r="S34" i="7" s="1"/>
  <c r="R34" i="7"/>
  <c r="R35" i="7" s="1"/>
  <c r="S7" i="7"/>
  <c r="S26" i="7" s="1"/>
  <c r="L41" i="7"/>
  <c r="K41" i="7" s="1"/>
  <c r="S35" i="7" l="1"/>
  <c r="L43" i="7"/>
  <c r="K43" i="7" s="1"/>
  <c r="T34" i="7"/>
  <c r="T26" i="7"/>
  <c r="L44" i="7" l="1"/>
  <c r="B64" i="25" s="1"/>
  <c r="B65" i="25" s="1"/>
  <c r="T35" i="7"/>
  <c r="K44" i="7" l="1"/>
  <c r="M44" i="7"/>
  <c r="N44" i="7" s="1"/>
  <c r="AU1" i="26"/>
  <c r="AW1" i="26" s="1"/>
  <c r="AU2" i="26"/>
  <c r="AW2" i="26" s="1"/>
  <c r="AU156" i="26"/>
  <c r="AV156" i="26"/>
  <c r="AT160" i="26"/>
  <c r="AT161" i="26"/>
  <c r="AT53" i="26" l="1"/>
  <c r="AT55" i="26"/>
  <c r="AT50" i="26"/>
  <c r="AT52" i="26"/>
  <c r="AT54" i="26"/>
  <c r="AT56" i="26"/>
  <c r="AT58" i="26"/>
  <c r="AT60" i="26"/>
  <c r="AT62" i="26"/>
  <c r="AT64" i="26"/>
  <c r="AT59" i="26"/>
  <c r="AT61" i="26"/>
  <c r="AT51" i="26"/>
  <c r="AT57" i="26"/>
  <c r="AT63" i="26"/>
  <c r="AT79" i="26"/>
  <c r="AT95" i="26"/>
  <c r="AT121" i="26"/>
  <c r="AT138" i="26"/>
  <c r="AT73" i="26"/>
  <c r="AT83" i="26"/>
  <c r="AT89" i="26"/>
  <c r="AT99" i="26"/>
  <c r="AT111" i="26"/>
  <c r="AT119" i="26"/>
  <c r="AT129" i="26"/>
  <c r="AT10" i="26"/>
  <c r="AT12" i="26"/>
  <c r="AT14" i="26"/>
  <c r="AT16" i="26"/>
  <c r="AT18" i="26"/>
  <c r="AT20" i="26"/>
  <c r="AT22" i="26"/>
  <c r="AT24" i="26"/>
  <c r="AT26" i="26"/>
  <c r="AT28" i="26"/>
  <c r="AT30" i="26"/>
  <c r="AT32" i="26"/>
  <c r="AT34" i="26"/>
  <c r="AT36" i="26"/>
  <c r="AT38" i="26"/>
  <c r="AT40" i="26"/>
  <c r="AT42" i="26"/>
  <c r="AT44" i="26"/>
  <c r="AT72" i="26"/>
  <c r="AT74" i="26"/>
  <c r="AT76" i="26"/>
  <c r="AT78" i="26"/>
  <c r="AT80" i="26"/>
  <c r="AT82" i="26"/>
  <c r="AT84" i="26"/>
  <c r="AT86" i="26"/>
  <c r="AT88" i="26"/>
  <c r="AT90" i="26"/>
  <c r="AT92" i="26"/>
  <c r="AT94" i="26"/>
  <c r="AT96" i="26"/>
  <c r="AT98" i="26"/>
  <c r="AT100" i="26"/>
  <c r="AT110" i="26"/>
  <c r="AT112" i="26"/>
  <c r="AT114" i="26"/>
  <c r="AT116" i="26"/>
  <c r="AT118" i="26"/>
  <c r="AT120" i="26"/>
  <c r="AT122" i="26"/>
  <c r="AT124" i="26"/>
  <c r="AT126" i="26"/>
  <c r="AT128" i="26"/>
  <c r="AT130" i="26"/>
  <c r="AT132" i="26"/>
  <c r="AT139" i="26"/>
  <c r="AT77" i="26"/>
  <c r="AT85" i="26"/>
  <c r="AT93" i="26"/>
  <c r="AT109" i="26"/>
  <c r="AT115" i="26"/>
  <c r="AT125" i="26"/>
  <c r="AT131" i="26"/>
  <c r="AT91" i="26"/>
  <c r="AT127" i="26"/>
  <c r="AT81" i="26"/>
  <c r="AT117" i="26"/>
  <c r="AT140" i="26"/>
  <c r="AT87" i="26"/>
  <c r="AT101" i="26"/>
  <c r="AT113" i="26"/>
  <c r="AT123" i="26"/>
  <c r="AT11" i="26"/>
  <c r="AT13" i="26"/>
  <c r="AT15" i="26"/>
  <c r="AT17" i="26"/>
  <c r="AT19" i="26"/>
  <c r="AT21" i="26"/>
  <c r="AT23" i="26"/>
  <c r="AT25" i="26"/>
  <c r="AT27" i="26"/>
  <c r="AT29" i="26"/>
  <c r="AT31" i="26"/>
  <c r="AT33" i="26"/>
  <c r="AT35" i="26"/>
  <c r="AT37" i="26"/>
  <c r="AT39" i="26"/>
  <c r="AT41" i="26"/>
  <c r="AT43" i="26"/>
  <c r="AT75" i="26"/>
  <c r="AT97" i="26"/>
  <c r="AW27" i="26" l="1"/>
  <c r="AU27" i="26"/>
  <c r="AV27" i="26" s="1"/>
  <c r="AU38" i="26"/>
  <c r="AV38" i="26" s="1"/>
  <c r="AW38" i="26"/>
  <c r="AW25" i="26"/>
  <c r="AU25" i="26"/>
  <c r="AV25" i="26" s="1"/>
  <c r="AU36" i="26"/>
  <c r="AV36" i="26" s="1"/>
  <c r="AW36" i="26"/>
  <c r="AW131" i="26"/>
  <c r="AU131" i="26"/>
  <c r="AV131" i="26" s="1"/>
  <c r="AU76" i="26"/>
  <c r="AV76" i="26" s="1"/>
  <c r="AW76" i="26"/>
  <c r="AU34" i="26"/>
  <c r="AV34" i="26" s="1"/>
  <c r="AW34" i="26"/>
  <c r="AU18" i="26"/>
  <c r="AV18" i="26" s="1"/>
  <c r="AW18" i="26"/>
  <c r="AW99" i="26"/>
  <c r="AU99" i="26"/>
  <c r="AV99" i="26" s="1"/>
  <c r="AW63" i="26"/>
  <c r="AU63" i="26"/>
  <c r="AV63" i="26" s="1"/>
  <c r="AU58" i="26"/>
  <c r="AV58" i="26" s="1"/>
  <c r="AW58" i="26"/>
  <c r="AU80" i="26"/>
  <c r="AV80" i="26" s="1"/>
  <c r="AW80" i="26"/>
  <c r="AW91" i="26"/>
  <c r="AU91" i="26"/>
  <c r="AV91" i="26" s="1"/>
  <c r="AW101" i="26"/>
  <c r="AU101" i="26"/>
  <c r="AV101" i="26" s="1"/>
  <c r="AU16" i="26"/>
  <c r="AV16" i="26" s="1"/>
  <c r="AW16" i="26"/>
  <c r="AU56" i="26"/>
  <c r="AV56" i="26" s="1"/>
  <c r="AW56" i="26"/>
  <c r="AW127" i="26"/>
  <c r="AU127" i="26"/>
  <c r="AV127" i="26" s="1"/>
  <c r="AW119" i="26"/>
  <c r="AU119" i="26"/>
  <c r="AV119" i="26" s="1"/>
  <c r="AU94" i="26"/>
  <c r="AV94" i="26" s="1"/>
  <c r="AW94" i="26"/>
  <c r="AU20" i="26"/>
  <c r="AV20" i="26" s="1"/>
  <c r="AW20" i="26"/>
  <c r="AW23" i="26"/>
  <c r="AU23" i="26"/>
  <c r="AV23" i="26" s="1"/>
  <c r="AW37" i="26"/>
  <c r="AU37" i="26"/>
  <c r="AV37" i="26" s="1"/>
  <c r="AU114" i="26"/>
  <c r="AV114" i="26" s="1"/>
  <c r="AW114" i="26"/>
  <c r="AW87" i="26"/>
  <c r="AU87" i="26"/>
  <c r="AV87" i="26" s="1"/>
  <c r="AU112" i="26"/>
  <c r="AV112" i="26" s="1"/>
  <c r="AW112" i="26"/>
  <c r="AU88" i="26"/>
  <c r="AV88" i="26" s="1"/>
  <c r="AW88" i="26"/>
  <c r="AU72" i="26"/>
  <c r="AW72" i="26"/>
  <c r="AU30" i="26"/>
  <c r="AV30" i="26" s="1"/>
  <c r="AW30" i="26"/>
  <c r="AU14" i="26"/>
  <c r="AV14" i="26" s="1"/>
  <c r="AW14" i="26"/>
  <c r="AW83" i="26"/>
  <c r="AU83" i="26"/>
  <c r="AV83" i="26" s="1"/>
  <c r="AW51" i="26"/>
  <c r="AU51" i="26"/>
  <c r="AV51" i="26" s="1"/>
  <c r="AU54" i="26"/>
  <c r="AV54" i="26" s="1"/>
  <c r="AW54" i="26"/>
  <c r="AW11" i="26"/>
  <c r="AU11" i="26"/>
  <c r="AV11" i="26" s="1"/>
  <c r="AU22" i="26"/>
  <c r="AV22" i="26" s="1"/>
  <c r="AW22" i="26"/>
  <c r="AU118" i="26"/>
  <c r="AV118" i="26" s="1"/>
  <c r="AW118" i="26"/>
  <c r="AW79" i="26"/>
  <c r="AU79" i="26"/>
  <c r="AV79" i="26" s="1"/>
  <c r="AU132" i="26"/>
  <c r="AV132" i="26" s="1"/>
  <c r="AW132" i="26"/>
  <c r="AU90" i="26"/>
  <c r="AV90" i="26" s="1"/>
  <c r="AW90" i="26"/>
  <c r="AU140" i="26"/>
  <c r="AW140" i="26"/>
  <c r="AU44" i="26"/>
  <c r="AV44" i="26" s="1"/>
  <c r="AW44" i="26"/>
  <c r="AU12" i="26"/>
  <c r="AV12" i="26" s="1"/>
  <c r="AW12" i="26"/>
  <c r="AW73" i="26"/>
  <c r="AU73" i="26"/>
  <c r="AV73" i="26" s="1"/>
  <c r="AW61" i="26"/>
  <c r="AU61" i="26"/>
  <c r="AV61" i="26" s="1"/>
  <c r="AU52" i="26"/>
  <c r="AV52" i="26" s="1"/>
  <c r="AW52" i="26"/>
  <c r="AW43" i="26"/>
  <c r="AU43" i="26"/>
  <c r="AV43" i="26" s="1"/>
  <c r="AU120" i="26"/>
  <c r="AV120" i="26" s="1"/>
  <c r="AW120" i="26"/>
  <c r="AW41" i="26"/>
  <c r="AU41" i="26"/>
  <c r="AV41" i="26" s="1"/>
  <c r="AW139" i="26"/>
  <c r="AU139" i="26"/>
  <c r="AW111" i="26"/>
  <c r="AU111" i="26"/>
  <c r="AV111" i="26" s="1"/>
  <c r="AW39" i="26"/>
  <c r="AU39" i="26"/>
  <c r="AV39" i="26" s="1"/>
  <c r="AU92" i="26"/>
  <c r="AV92" i="26" s="1"/>
  <c r="AW92" i="26"/>
  <c r="AW125" i="26"/>
  <c r="AU125" i="26"/>
  <c r="AV125" i="26" s="1"/>
  <c r="AU74" i="26"/>
  <c r="AV74" i="26" s="1"/>
  <c r="AW74" i="26"/>
  <c r="AW57" i="26"/>
  <c r="AU57" i="26"/>
  <c r="AV57" i="26" s="1"/>
  <c r="AW19" i="26"/>
  <c r="AU19" i="26"/>
  <c r="AV19" i="26" s="1"/>
  <c r="AW115" i="26"/>
  <c r="AU115" i="26"/>
  <c r="AV115" i="26" s="1"/>
  <c r="AW33" i="26"/>
  <c r="AU33" i="26"/>
  <c r="AV33" i="26" s="1"/>
  <c r="AW109" i="26"/>
  <c r="AU109" i="26"/>
  <c r="AU86" i="26"/>
  <c r="AV86" i="26" s="1"/>
  <c r="AW86" i="26"/>
  <c r="AW31" i="26"/>
  <c r="AU31" i="26"/>
  <c r="AV31" i="26" s="1"/>
  <c r="AW117" i="26"/>
  <c r="AU117" i="26"/>
  <c r="AV117" i="26" s="1"/>
  <c r="AW93" i="26"/>
  <c r="AU93" i="26"/>
  <c r="AV93" i="26" s="1"/>
  <c r="AU124" i="26"/>
  <c r="AV124" i="26" s="1"/>
  <c r="AW124" i="26"/>
  <c r="AU100" i="26"/>
  <c r="AV100" i="26" s="1"/>
  <c r="AW100" i="26"/>
  <c r="AU84" i="26"/>
  <c r="AV84" i="26" s="1"/>
  <c r="AW84" i="26"/>
  <c r="AU42" i="26"/>
  <c r="AV42" i="26" s="1"/>
  <c r="AW42" i="26"/>
  <c r="AU26" i="26"/>
  <c r="AV26" i="26" s="1"/>
  <c r="AW26" i="26"/>
  <c r="AU10" i="26"/>
  <c r="AW10" i="26"/>
  <c r="AU138" i="26"/>
  <c r="AW138" i="26"/>
  <c r="AW59" i="26"/>
  <c r="AU59" i="26"/>
  <c r="AV59" i="26" s="1"/>
  <c r="AU50" i="26"/>
  <c r="AW50" i="26"/>
  <c r="AU96" i="26"/>
  <c r="AV96" i="26" s="1"/>
  <c r="AW96" i="26"/>
  <c r="AW123" i="26"/>
  <c r="AU123" i="26"/>
  <c r="AV123" i="26" s="1"/>
  <c r="AU78" i="26"/>
  <c r="AV78" i="26" s="1"/>
  <c r="AW78" i="26"/>
  <c r="AU60" i="26"/>
  <c r="AV60" i="26" s="1"/>
  <c r="AW60" i="26"/>
  <c r="AW113" i="26"/>
  <c r="AU113" i="26"/>
  <c r="AV113" i="26" s="1"/>
  <c r="AU116" i="26"/>
  <c r="AV116" i="26" s="1"/>
  <c r="AW116" i="26"/>
  <c r="AW21" i="26"/>
  <c r="AU21" i="26"/>
  <c r="AV21" i="26" s="1"/>
  <c r="AU130" i="26"/>
  <c r="AV130" i="26" s="1"/>
  <c r="AW130" i="26"/>
  <c r="AU32" i="26"/>
  <c r="AV32" i="26" s="1"/>
  <c r="AW32" i="26"/>
  <c r="AW89" i="26"/>
  <c r="AU89" i="26"/>
  <c r="AV89" i="26" s="1"/>
  <c r="AW35" i="26"/>
  <c r="AU35" i="26"/>
  <c r="AV35" i="26" s="1"/>
  <c r="AU128" i="26"/>
  <c r="AV128" i="26" s="1"/>
  <c r="AW128" i="26"/>
  <c r="AW17" i="26"/>
  <c r="AU17" i="26"/>
  <c r="AV17" i="26" s="1"/>
  <c r="AU126" i="26"/>
  <c r="AV126" i="26" s="1"/>
  <c r="AW126" i="26"/>
  <c r="AU110" i="26"/>
  <c r="AV110" i="26" s="1"/>
  <c r="AW110" i="26"/>
  <c r="AU28" i="26"/>
  <c r="AV28" i="26" s="1"/>
  <c r="AW28" i="26"/>
  <c r="AW97" i="26"/>
  <c r="AU97" i="26"/>
  <c r="AV97" i="26" s="1"/>
  <c r="AW15" i="26"/>
  <c r="AU15" i="26"/>
  <c r="AV15" i="26" s="1"/>
  <c r="AW75" i="26"/>
  <c r="AU75" i="26"/>
  <c r="AV75" i="26" s="1"/>
  <c r="AW29" i="26"/>
  <c r="AU29" i="26"/>
  <c r="AV29" i="26" s="1"/>
  <c r="AW13" i="26"/>
  <c r="AU13" i="26"/>
  <c r="AV13" i="26" s="1"/>
  <c r="AW81" i="26"/>
  <c r="AU81" i="26"/>
  <c r="AV81" i="26" s="1"/>
  <c r="AW85" i="26"/>
  <c r="AU85" i="26"/>
  <c r="AV85" i="26" s="1"/>
  <c r="AU122" i="26"/>
  <c r="AV122" i="26" s="1"/>
  <c r="AW122" i="26"/>
  <c r="AU98" i="26"/>
  <c r="AV98" i="26" s="1"/>
  <c r="AW98" i="26"/>
  <c r="AU82" i="26"/>
  <c r="AV82" i="26" s="1"/>
  <c r="AW82" i="26"/>
  <c r="AU40" i="26"/>
  <c r="AV40" i="26" s="1"/>
  <c r="AW40" i="26"/>
  <c r="AU24" i="26"/>
  <c r="AV24" i="26" s="1"/>
  <c r="AW24" i="26"/>
  <c r="AW129" i="26"/>
  <c r="AU129" i="26"/>
  <c r="AV129" i="26" s="1"/>
  <c r="AW121" i="26"/>
  <c r="AU121" i="26"/>
  <c r="AV121" i="26" s="1"/>
  <c r="AU64" i="26"/>
  <c r="AV64" i="26" s="1"/>
  <c r="AW64" i="26"/>
  <c r="AW55" i="26"/>
  <c r="AU55" i="26"/>
  <c r="AV55" i="26" s="1"/>
  <c r="AW77" i="26"/>
  <c r="AU77" i="26"/>
  <c r="AV77" i="26" s="1"/>
  <c r="AW95" i="26"/>
  <c r="AU95" i="26"/>
  <c r="AV95" i="26" s="1"/>
  <c r="AU62" i="26"/>
  <c r="AV62" i="26" s="1"/>
  <c r="AW62" i="26"/>
  <c r="AW53" i="26"/>
  <c r="AU53" i="26"/>
  <c r="AV53" i="26" s="1"/>
  <c r="AV10" i="26" l="1"/>
  <c r="AV46" i="26" s="1"/>
  <c r="AU46" i="26"/>
  <c r="AV47" i="26" s="1"/>
  <c r="AU103" i="26"/>
  <c r="AV72" i="26"/>
  <c r="AV103" i="26" s="1"/>
  <c r="AV109" i="26"/>
  <c r="AV134" i="26" s="1"/>
  <c r="AU134" i="26"/>
  <c r="AV135" i="26" s="1"/>
  <c r="AV50" i="26"/>
  <c r="AV66" i="26" s="1"/>
  <c r="AU66" i="26"/>
  <c r="AV67" i="26" s="1"/>
  <c r="AW142" i="26"/>
  <c r="AU142" i="26"/>
  <c r="AU168" i="26" l="1"/>
  <c r="AV168" i="26" s="1"/>
  <c r="AV152" i="26"/>
  <c r="AV155" i="26" s="1"/>
  <c r="AV157" i="26" s="1"/>
  <c r="AU160" i="26"/>
  <c r="AV160" i="26" s="1"/>
  <c r="AX1" i="26" s="1"/>
  <c r="AU152" i="26"/>
  <c r="AU155" i="26" s="1"/>
  <c r="AU157" i="26" s="1"/>
  <c r="AW66" i="26"/>
  <c r="AU161" i="26"/>
  <c r="AV161" i="26" s="1"/>
  <c r="AX2" i="26" s="1"/>
  <c r="AU166" i="26"/>
  <c r="AV166" i="26" s="1"/>
  <c r="AW103" i="26"/>
  <c r="AU167" i="26"/>
  <c r="AV167" i="26" s="1"/>
  <c r="AV104" i="26"/>
  <c r="AW46" i="26"/>
  <c r="AU165" i="26"/>
  <c r="AU169" i="26" l="1"/>
  <c r="AV165" i="26"/>
  <c r="AV169" i="26" l="1"/>
  <c r="AU170" i="26"/>
</calcChain>
</file>

<file path=xl/comments1.xml><?xml version="1.0" encoding="utf-8"?>
<comments xmlns="http://schemas.openxmlformats.org/spreadsheetml/2006/main">
  <authors>
    <author>WCNX</author>
    <author>Laura Kapuscinski</author>
    <author>Heather Garland</author>
    <author>Lindsay Waldram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balances; no rate</t>
        </r>
      </text>
    </comment>
    <comment ref="AT56" authorId="2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Always needs to be .50 more than recycling with garbage.</t>
        </r>
      </text>
    </comment>
    <comment ref="A57" authorId="3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district these are actually residential codes
</t>
        </r>
      </text>
    </comment>
    <comment ref="A59" authorId="3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F146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  <comment ref="F147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</commentList>
</comments>
</file>

<file path=xl/comments2.xml><?xml version="1.0" encoding="utf-8"?>
<comments xmlns="http://schemas.openxmlformats.org/spreadsheetml/2006/main">
  <authors>
    <author>WCNX</author>
    <author>Laura Kapuscinski</author>
    <author>Lindsay Waldram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Listed as RO in Dec 2019, but Resi in 2020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balance, no specific rate</t>
        </r>
      </text>
    </comment>
    <comment ref="A4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E123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  <comment ref="E124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Updated to remove rounding</t>
        </r>
      </text>
    </comment>
  </commentList>
</comments>
</file>

<file path=xl/sharedStrings.xml><?xml version="1.0" encoding="utf-8"?>
<sst xmlns="http://schemas.openxmlformats.org/spreadsheetml/2006/main" count="1278" uniqueCount="515">
  <si>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</si>
  <si>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</si>
  <si>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</si>
  <si>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</si>
  <si>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</si>
  <si>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</si>
  <si>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</si>
  <si>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</si>
  <si>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</si>
  <si>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</si>
  <si>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</si>
  <si>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</si>
  <si>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</si>
  <si>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</si>
  <si>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</si>
  <si>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</si>
  <si>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</si>
  <si>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</si>
  <si>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</si>
  <si>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</si>
  <si>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</si>
  <si>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</si>
  <si>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</si>
  <si>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</si>
  <si>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</si>
  <si>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</si>
  <si>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</si>
  <si>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</si>
  <si>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</si>
  <si>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</si>
  <si>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</si>
  <si>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</si>
  <si>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</si>
  <si>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</si>
  <si>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</si>
  <si>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</si>
  <si>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</si>
  <si>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</si>
  <si>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</si>
  <si>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</si>
  <si>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</si>
  <si>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</si>
  <si>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</si>
  <si>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</si>
  <si>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</si>
  <si>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</si>
  <si>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</si>
  <si>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</si>
  <si>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</si>
  <si>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</si>
  <si>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</si>
  <si>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</si>
  <si>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</si>
  <si>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</si>
  <si>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</si>
  <si>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</si>
  <si>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</si>
  <si>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</si>
  <si>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</si>
  <si>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</si>
  <si>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</si>
  <si>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</si>
  <si>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</si>
  <si>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</si>
  <si>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</si>
  <si>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</si>
  <si>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</si>
  <si>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</si>
  <si>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</si>
  <si>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</si>
  <si>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</si>
  <si>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</si>
  <si>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</si>
  <si>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</si>
  <si>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</si>
  <si>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</si>
  <si>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</si>
  <si>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</si>
  <si>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</si>
  <si>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</si>
  <si>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</si>
  <si>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</si>
  <si>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</si>
  <si>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</si>
  <si>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</si>
  <si>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</si>
  <si>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</si>
  <si>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</si>
  <si>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</si>
  <si>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</si>
  <si>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</si>
  <si>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</si>
  <si>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</si>
  <si>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</si>
  <si>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</si>
  <si>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</si>
  <si>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</si>
  <si>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</si>
  <si>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</si>
  <si>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</si>
  <si>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</si>
  <si>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</si>
  <si>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</si>
  <si>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</si>
  <si>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</si>
  <si>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</si>
  <si>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</si>
  <si>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</si>
  <si>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</si>
  <si>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</si>
  <si>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</si>
  <si>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</si>
  <si>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</si>
  <si>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</si>
  <si>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</si>
  <si>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</si>
  <si>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</si>
  <si>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</si>
  <si>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</si>
  <si>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</si>
  <si>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</si>
  <si>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</si>
  <si>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</si>
  <si>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</si>
  <si>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</si>
  <si>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</si>
  <si>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</si>
  <si>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</si>
  <si>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MSW</t>
  </si>
  <si>
    <t>Recycle</t>
  </si>
  <si>
    <t>Container Counts</t>
  </si>
  <si>
    <t>Cart Size</t>
  </si>
  <si>
    <t>Can Size</t>
  </si>
  <si>
    <t>Container Size</t>
  </si>
  <si>
    <t>Quantity</t>
  </si>
  <si>
    <t>Count</t>
  </si>
  <si>
    <t>Proposed Tariff Rate</t>
  </si>
  <si>
    <t>Proposed Annual Revenue</t>
  </si>
  <si>
    <t>Service Charges</t>
  </si>
  <si>
    <t>FINANCE CHARGE</t>
  </si>
  <si>
    <t>C19-ADJFIN</t>
  </si>
  <si>
    <t>COLLECTION AGENCY FEE</t>
  </si>
  <si>
    <t>TOTAL REVENUE</t>
  </si>
  <si>
    <t>Increase Per LG</t>
  </si>
  <si>
    <t>Per Price Out</t>
  </si>
  <si>
    <t>Residential</t>
  </si>
  <si>
    <t>RO</t>
  </si>
  <si>
    <t>Cust Counts for TL - Rounded</t>
  </si>
  <si>
    <t>Tons</t>
  </si>
  <si>
    <t>Matches the TL amounts from the 2021 Gen rate filing</t>
  </si>
  <si>
    <t xml:space="preserve">Proposed COVID Rate </t>
  </si>
  <si>
    <t>Current Normal Rate</t>
  </si>
  <si>
    <t>Proposed Normal Rate</t>
  </si>
  <si>
    <t>UNIQUE FORMULA</t>
  </si>
  <si>
    <t>Check to Mapping Tab</t>
  </si>
  <si>
    <t>Standard Service Code</t>
  </si>
  <si>
    <t>Company Current Tariff - Post COVID Recovery</t>
  </si>
  <si>
    <t>Calcualted Rate - Post COVID Recovery</t>
  </si>
  <si>
    <t>Company Current Tariff  with COVID Recovery</t>
  </si>
  <si>
    <t xml:space="preserve"> Calculated Rate - with COVID Recovery</t>
  </si>
  <si>
    <t>COVID RATE</t>
  </si>
  <si>
    <t>NON-COVID RATE</t>
  </si>
  <si>
    <t>Mason County Garbage Co., Inc. G-88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</si>
  <si>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</si>
  <si>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</si>
  <si>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</si>
  <si>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</si>
  <si>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</si>
  <si>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</si>
  <si>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</si>
  <si>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</si>
  <si>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</si>
  <si>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</si>
  <si>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Mason County</t>
  </si>
  <si>
    <t>Increase/(Decrease)</t>
  </si>
  <si>
    <t>Disposal Fee Revenue Increase/(Decrease)</t>
  </si>
  <si>
    <t>Effective 2/1/2022</t>
  </si>
  <si>
    <t>MASON CO-REGULATED</t>
  </si>
  <si>
    <t>Increase per LG:</t>
  </si>
  <si>
    <t>Mason Co. Regulated - Price Out</t>
  </si>
  <si>
    <t>Dec 1, 2019 - Nov 30, 2020</t>
  </si>
  <si>
    <t>Tariff Rate</t>
  </si>
  <si>
    <t>Mason Average</t>
  </si>
  <si>
    <t>Kitsap Average</t>
  </si>
  <si>
    <t>Annual Revenue (Kitsap County)</t>
  </si>
  <si>
    <t>Total Beginning Revenue</t>
  </si>
  <si>
    <t>Change in Annual Revenue</t>
  </si>
  <si>
    <t>Concatenate (Area &amp;LOB &amp; Service Code)</t>
  </si>
  <si>
    <t>Count (ensures no duplicates)</t>
  </si>
  <si>
    <t>35RE1</t>
  </si>
  <si>
    <t>1-35 GAL CART EOW SVC</t>
  </si>
  <si>
    <t>48RE1</t>
  </si>
  <si>
    <t>1-48 GAL EOW</t>
  </si>
  <si>
    <t>64RE1</t>
  </si>
  <si>
    <t>1-64 GAL EOW</t>
  </si>
  <si>
    <t>96RE1</t>
  </si>
  <si>
    <t>1-96 GAL EOW</t>
  </si>
  <si>
    <t>20RW1</t>
  </si>
  <si>
    <t>1-20 GAL CAN WEEKLY SVC</t>
  </si>
  <si>
    <t>35RW1</t>
  </si>
  <si>
    <t>1-35 GAL CART WEEKLY SVC</t>
  </si>
  <si>
    <t>48RW1</t>
  </si>
  <si>
    <t>1-48 GAL WEEKLY</t>
  </si>
  <si>
    <t>64RW1</t>
  </si>
  <si>
    <t>1-64 GAL CART WEEKLY SVC</t>
  </si>
  <si>
    <t>96RW1</t>
  </si>
  <si>
    <t>1-96 GAL CART WEEKLY SVC</t>
  </si>
  <si>
    <t>35RM1</t>
  </si>
  <si>
    <t>1-35 GAL MONTHLY</t>
  </si>
  <si>
    <t>48RM1</t>
  </si>
  <si>
    <t>1-48 GAL MONTHLY</t>
  </si>
  <si>
    <t>64RM1</t>
  </si>
  <si>
    <t>1-64 GAL MONTHLY</t>
  </si>
  <si>
    <t>96RM1</t>
  </si>
  <si>
    <t>1-96 GAL MONTHLY</t>
  </si>
  <si>
    <t>EXPUR</t>
  </si>
  <si>
    <t>EXTRA PICKUP</t>
  </si>
  <si>
    <t>EXTRAR</t>
  </si>
  <si>
    <t>EXTRA CAN/BAGS</t>
  </si>
  <si>
    <t>35ROCC1</t>
  </si>
  <si>
    <t>1-35 GAL ON CALL PICKUP</t>
  </si>
  <si>
    <t>48ROCC1</t>
  </si>
  <si>
    <t>1-48 GAL ON CALL PICKUP</t>
  </si>
  <si>
    <t>64ROCC1</t>
  </si>
  <si>
    <t>1-64 GAL ON CALL PICKUP</t>
  </si>
  <si>
    <t>96ROCC1</t>
  </si>
  <si>
    <t>1-96 GAL ON CALL PICKUP</t>
  </si>
  <si>
    <t>DRVNRE1</t>
  </si>
  <si>
    <t>DRIVE IN UP TO 250'-EOW</t>
  </si>
  <si>
    <t>DRVNRW1</t>
  </si>
  <si>
    <t>DRIVE IN UP TO 250'</t>
  </si>
  <si>
    <t>DRVNRM2</t>
  </si>
  <si>
    <t>DRIVE IN OVER 250'-MTHLY</t>
  </si>
  <si>
    <t>DRVNRW2</t>
  </si>
  <si>
    <t>DRIVE IN OVER 250'</t>
  </si>
  <si>
    <t>DRVNRM1</t>
  </si>
  <si>
    <t>DRIVE IN UP TO 250'-MTHLY</t>
  </si>
  <si>
    <t>DRVNRE2</t>
  </si>
  <si>
    <t>DRIVE IN OVER 250'-EOW</t>
  </si>
  <si>
    <t>DRVNROC1</t>
  </si>
  <si>
    <t>DRIVE IN UP TO 250'-OC</t>
  </si>
  <si>
    <t>WLKNRE1</t>
  </si>
  <si>
    <t>WALK IN 5'-25'-EOW</t>
  </si>
  <si>
    <t>WLKNRM1</t>
  </si>
  <si>
    <t>WALK IN 5'-25'-MTHLY</t>
  </si>
  <si>
    <t>WLKNRW1</t>
  </si>
  <si>
    <t>WALK IN 5'-25'</t>
  </si>
  <si>
    <t>WLKNRW2</t>
  </si>
  <si>
    <t>WALK IN OVER 25'</t>
  </si>
  <si>
    <t>REDELIVER</t>
  </si>
  <si>
    <t>DELIVERY CHARGE</t>
  </si>
  <si>
    <t>RESTART</t>
  </si>
  <si>
    <t>SERVICE RESTART FEE</t>
  </si>
  <si>
    <t>STAIR-RES</t>
  </si>
  <si>
    <t>PER STAIR - RES</t>
  </si>
  <si>
    <t>Carts</t>
  </si>
  <si>
    <t>OFOWR</t>
  </si>
  <si>
    <t>OVERFILL/OVERWEIGHT CHG</t>
  </si>
  <si>
    <t>ADJOTHR</t>
  </si>
  <si>
    <t>ADJUSTMENT</t>
  </si>
  <si>
    <t>DRVNRE1RECY</t>
  </si>
  <si>
    <t>DRIVE IN UP TO 250 EOW-RE</t>
  </si>
  <si>
    <t>DRVNRE1RECYMA</t>
  </si>
  <si>
    <t>DRVNRE2RECY</t>
  </si>
  <si>
    <t>DRIVE IN OVER 250 EOW-REC</t>
  </si>
  <si>
    <t>DRVNRE2RECYMA</t>
  </si>
  <si>
    <t>DRVNRM1RECYMA</t>
  </si>
  <si>
    <t>DRIVE IN UP TO 125 MONTHL</t>
  </si>
  <si>
    <t>RECYR</t>
  </si>
  <si>
    <t>RESIDENTIAL RECYCLE</t>
  </si>
  <si>
    <t>RECYONLY</t>
  </si>
  <si>
    <t>RECYCRMA</t>
  </si>
  <si>
    <t>RECYCLE MONTHLY ARREARS</t>
  </si>
  <si>
    <t>RECYRNB</t>
  </si>
  <si>
    <t>RECYCLE PROGRAM W/O BINS</t>
  </si>
  <si>
    <t>RECYRNBMA</t>
  </si>
  <si>
    <t>RECYCLE NO BIN MONTHLY AR</t>
  </si>
  <si>
    <t>UNLOCKRECY</t>
  </si>
  <si>
    <t>UNLOCK / UNLATCH RECY</t>
  </si>
  <si>
    <t>WLKNRW2RECYMA</t>
  </si>
  <si>
    <t>WALK IN OVER 25 ADDITIONA</t>
  </si>
  <si>
    <t>WLKNRW2RECY</t>
  </si>
  <si>
    <t>WLKNRE1RECY</t>
  </si>
  <si>
    <t>WALK IN 5-25FT EOW-RECYCL</t>
  </si>
  <si>
    <t>WLKNRE1RECYMA</t>
  </si>
  <si>
    <t xml:space="preserve">COMMERCIAL SERVICES </t>
  </si>
  <si>
    <t>R1YDEM</t>
  </si>
  <si>
    <t>1 YD 1X EOW</t>
  </si>
  <si>
    <t>R1YDEK</t>
  </si>
  <si>
    <t>R1YDWK</t>
  </si>
  <si>
    <t>1 YD 1X WEEKLY</t>
  </si>
  <si>
    <t>R1YDWM</t>
  </si>
  <si>
    <t>R1.5YDEM</t>
  </si>
  <si>
    <t>1.5 YD 1X EOW</t>
  </si>
  <si>
    <t>R1.5YDWM</t>
  </si>
  <si>
    <t>1.5 YD 1X WEEKLY</t>
  </si>
  <si>
    <t>R1.5YDEK</t>
  </si>
  <si>
    <t>R1.5YDWK</t>
  </si>
  <si>
    <t>R2YDEM</t>
  </si>
  <si>
    <t>2 YD 1X EOW</t>
  </si>
  <si>
    <t>R2YDWK</t>
  </si>
  <si>
    <t>2 YD 1X WEEKLY</t>
  </si>
  <si>
    <t>R2YDWM</t>
  </si>
  <si>
    <t>R2YDEK</t>
  </si>
  <si>
    <t>R1YDRENTM</t>
  </si>
  <si>
    <t>1YD CONTAINER RENT-MTHLY</t>
  </si>
  <si>
    <t>R1.5YDRENTM</t>
  </si>
  <si>
    <t>1.5YD CONTAINER RENT-MTH</t>
  </si>
  <si>
    <t>R2YDRENTM</t>
  </si>
  <si>
    <t>2YD CONTAINER RENT-MTHLY</t>
  </si>
  <si>
    <t>R2YDRENTT</t>
  </si>
  <si>
    <t>2YD TEMP CONTAINER RENT</t>
  </si>
  <si>
    <t>CDELC</t>
  </si>
  <si>
    <t>CONTAINER DELIVERY CHARGE</t>
  </si>
  <si>
    <t>COMCAN</t>
  </si>
  <si>
    <t>COMMERCIAL CAN EXTRA</t>
  </si>
  <si>
    <t>R2YDRENTTM</t>
  </si>
  <si>
    <t>2 YD TEMP CONT RENT MONTH</t>
  </si>
  <si>
    <t>R1.5YDRENTT</t>
  </si>
  <si>
    <t>1.5YD TEMP CONTAINER RENT</t>
  </si>
  <si>
    <t>ROLLOUTOC</t>
  </si>
  <si>
    <t>ROLL OUT</t>
  </si>
  <si>
    <t>R1.5YDPU</t>
  </si>
  <si>
    <t>1.5YD CONTAINER PICKUP</t>
  </si>
  <si>
    <t>R2YDPU</t>
  </si>
  <si>
    <t>2YD CONTAINER PICKUP</t>
  </si>
  <si>
    <t>R1.5YDRENTTM</t>
  </si>
  <si>
    <t>1.5 YD TEMP CONT RENT MON</t>
  </si>
  <si>
    <t>CTRIPCAN</t>
  </si>
  <si>
    <t>RETURN TRIP CHG - CANS</t>
  </si>
  <si>
    <t>CTRIP</t>
  </si>
  <si>
    <t>RETURN TRIP CHARGE - CONT</t>
  </si>
  <si>
    <t>CEXYD</t>
  </si>
  <si>
    <t>CMML EXTRA YARDAGE</t>
  </si>
  <si>
    <t>CLSECOL</t>
  </si>
  <si>
    <t>LOOSE MATERIAL-COLLECTOR</t>
  </si>
  <si>
    <t>CLSE1COL</t>
  </si>
  <si>
    <t>ADDT'L LOOSE-COLLECTOR</t>
  </si>
  <si>
    <t>Container</t>
  </si>
  <si>
    <t>UNLOCKREF</t>
  </si>
  <si>
    <t>UNLOCK / UNLATCH REFUSE</t>
  </si>
  <si>
    <t>Cart</t>
  </si>
  <si>
    <t>ROHAUL10</t>
  </si>
  <si>
    <t>10YD ROLL OFF HAUL</t>
  </si>
  <si>
    <t>ROHAUL20</t>
  </si>
  <si>
    <t>20YD ROLL OFF-HAUL</t>
  </si>
  <si>
    <t>ROHAUL30</t>
  </si>
  <si>
    <t>30YD ROLL OFF-HAUL</t>
  </si>
  <si>
    <t>ROHAUL40</t>
  </si>
  <si>
    <t>40YD ROLL OFF-HAUL</t>
  </si>
  <si>
    <t>ROHAUL10T</t>
  </si>
  <si>
    <t>ROHAUL20T</t>
  </si>
  <si>
    <t>20YD ROLL OFF TEMP HAUL</t>
  </si>
  <si>
    <t>ROHAUL40T</t>
  </si>
  <si>
    <t>40YD ROLL OFF TEMP HAUL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</si>
  <si>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</si>
  <si>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</si>
  <si>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</si>
  <si>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</si>
  <si>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</si>
  <si>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</si>
  <si>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</si>
  <si>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</si>
  <si>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</si>
  <si>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</si>
  <si>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</si>
  <si>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</si>
  <si>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RORENT10D</t>
  </si>
  <si>
    <t>10YD ROLL OFF DAILY RENT</t>
  </si>
  <si>
    <t>RORENT20D</t>
  </si>
  <si>
    <t>20YD ROLL OFF-DAILY RENT</t>
  </si>
  <si>
    <t>RORENT40D</t>
  </si>
  <si>
    <t>40YD ROLL OFF-DAILY RENT</t>
  </si>
  <si>
    <t>RORENT10M</t>
  </si>
  <si>
    <t>10YD ROLL OFF MTHLY RENT</t>
  </si>
  <si>
    <t>RORENT20M</t>
  </si>
  <si>
    <t>20YD ROLL OFF-MNTHLY RENT</t>
  </si>
  <si>
    <t>RORENT40M</t>
  </si>
  <si>
    <t>40YD ROLL OFF-MNTHLY RENT</t>
  </si>
  <si>
    <t>ROLID</t>
  </si>
  <si>
    <t>ROLL OFF-LID</t>
  </si>
  <si>
    <t>RODEL</t>
  </si>
  <si>
    <t>ROLL OFF-DELIVERY</t>
  </si>
  <si>
    <t>ROMILE</t>
  </si>
  <si>
    <t>ROLL OFF-MILEAGE</t>
  </si>
  <si>
    <t>WASHOUT</t>
  </si>
  <si>
    <t>WASHING FEE</t>
  </si>
  <si>
    <t>SP</t>
  </si>
  <si>
    <t>SPECIAL PICKUP</t>
  </si>
  <si>
    <t>Drop Box</t>
  </si>
  <si>
    <t>DISPMC-TON</t>
  </si>
  <si>
    <t>MC LANDFILL PER TON</t>
  </si>
  <si>
    <t>DISPOLY-TON</t>
  </si>
  <si>
    <t>OLYMPIC LANDFILL PER TON</t>
  </si>
  <si>
    <t>DISPMCMISC</t>
  </si>
  <si>
    <t>DISPOSAL MISCELLANOUS</t>
  </si>
  <si>
    <t>NSF FEES</t>
  </si>
  <si>
    <t>Mason &amp; Kitsap</t>
  </si>
  <si>
    <t>Mason &amp; Kitsap Total</t>
  </si>
  <si>
    <t>Shelton Total</t>
  </si>
  <si>
    <t>Diff</t>
  </si>
  <si>
    <t>Current Total Revenue</t>
  </si>
  <si>
    <t>% Difference</t>
  </si>
  <si>
    <t>Residential MSW</t>
  </si>
  <si>
    <t>Residential Recycle</t>
  </si>
  <si>
    <t>Commercial MSW</t>
  </si>
  <si>
    <t>RO MSW</t>
  </si>
  <si>
    <t>Note from Heather Garland: Customer Counts and Disposal Schedule have been copied from TG-210038.</t>
  </si>
  <si>
    <t>Disposal Schedule</t>
  </si>
  <si>
    <t>Bill Area &amp; LOB</t>
  </si>
  <si>
    <t>Kitsap Count TS</t>
  </si>
  <si>
    <t>Mason County TS (2019 Rate)</t>
  </si>
  <si>
    <t>Mason County TS (2020 Rate)</t>
  </si>
  <si>
    <t>Regulated  Tons/$</t>
  </si>
  <si>
    <t>$99.52</t>
  </si>
  <si>
    <t>$102.31</t>
  </si>
  <si>
    <t>$</t>
  </si>
  <si>
    <t>Total UTC Resi</t>
  </si>
  <si>
    <t>Mason Resi</t>
  </si>
  <si>
    <t>Total UTC Comm</t>
  </si>
  <si>
    <t>Kitsap Resi</t>
  </si>
  <si>
    <t>Total UTC RO</t>
  </si>
  <si>
    <t>Mason Comm</t>
  </si>
  <si>
    <t>Kitsap Comm</t>
  </si>
  <si>
    <t>Reg %</t>
  </si>
  <si>
    <t>Mason RO</t>
  </si>
  <si>
    <t>Kitsap RO</t>
  </si>
  <si>
    <t>City of Shelton</t>
  </si>
  <si>
    <t>Tribal</t>
  </si>
  <si>
    <t>Per Disposal Schedule</t>
  </si>
  <si>
    <t>Per IS</t>
  </si>
  <si>
    <t>imm</t>
  </si>
  <si>
    <t>Frequency</t>
  </si>
  <si>
    <t>Blue highlights are codes used on Mapping Tab - AML 11.22.21</t>
  </si>
  <si>
    <t>Extra Pickup</t>
  </si>
  <si>
    <t>Page Number</t>
  </si>
  <si>
    <t>Oversized Can</t>
  </si>
  <si>
    <t>EOW</t>
  </si>
  <si>
    <t>Extra</t>
  </si>
  <si>
    <t>On Call Svc</t>
  </si>
  <si>
    <t>Each</t>
  </si>
  <si>
    <t>1-35 gal Cart</t>
  </si>
  <si>
    <t>1-48 gal Cart</t>
  </si>
  <si>
    <t>1-64 gal Cart</t>
  </si>
  <si>
    <t>1-96 gal Cart</t>
  </si>
  <si>
    <t>1-20 gal Mini Can</t>
  </si>
  <si>
    <t>35 gal</t>
  </si>
  <si>
    <t>48 gal</t>
  </si>
  <si>
    <t>64 gal</t>
  </si>
  <si>
    <t>96 gal</t>
  </si>
  <si>
    <t>20 gal</t>
  </si>
  <si>
    <t>Weekly</t>
  </si>
  <si>
    <t>Commercial Can</t>
  </si>
  <si>
    <t>1 yd</t>
  </si>
  <si>
    <t>1.5 yd</t>
  </si>
  <si>
    <t>2 Yd</t>
  </si>
  <si>
    <t>Item 55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</si>
  <si>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</si>
  <si>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</si>
  <si>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</si>
  <si>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</si>
  <si>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</si>
  <si>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</si>
  <si>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</si>
  <si>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</si>
  <si>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Item 100, Note 7</t>
  </si>
  <si>
    <t>Item 245, Note 2</t>
  </si>
  <si>
    <t>2022 Increase %</t>
  </si>
  <si>
    <t>Current Rate</t>
  </si>
  <si>
    <t>1 yard</t>
  </si>
  <si>
    <t>1.5 yard</t>
  </si>
  <si>
    <t>2 yard</t>
  </si>
  <si>
    <t>Loose</t>
  </si>
  <si>
    <t>Additional</t>
  </si>
  <si>
    <t>Short Code</t>
  </si>
  <si>
    <t>Total Annual Customers</t>
  </si>
  <si>
    <t>Annual Pickup Total for DF Calc Tab check</t>
  </si>
  <si>
    <t>Total from PO tab (annualized)</t>
  </si>
  <si>
    <t>1-4 yards</t>
  </si>
  <si>
    <t>BULKY MATERIAL 1-4 YARDS</t>
  </si>
  <si>
    <t>BULKY MATERIAL ADDITIONAL YARDS</t>
  </si>
  <si>
    <t>Item 207</t>
  </si>
  <si>
    <t>35 GAL EACH SCHEDULED PICKUP</t>
  </si>
  <si>
    <t>35 GAL SPECIAL PICKUP</t>
  </si>
  <si>
    <t>35 GAL TEMP PICKUP</t>
  </si>
  <si>
    <t>48 GAL EACH SCHEDULED PICKUP</t>
  </si>
  <si>
    <t>48 GAL SPECIAL PICKUP</t>
  </si>
  <si>
    <t>48 GAL TEMP PICKUP</t>
  </si>
  <si>
    <t>64 GAL EACH SCHEDULED PICKUP</t>
  </si>
  <si>
    <t>64 GAL SPECIAL PICKUP</t>
  </si>
  <si>
    <t>64 GAL TEMP PICKUP</t>
  </si>
  <si>
    <t>96 GAL EACH SCHEDULED PICKUP</t>
  </si>
  <si>
    <t>96 GAL SPECIAL PICKUP</t>
  </si>
  <si>
    <t>96 GAL TEMP PICKUP</t>
  </si>
  <si>
    <t>1.5 yard Permanent</t>
  </si>
  <si>
    <t>2 yard Permanent</t>
  </si>
  <si>
    <t>KITSAP CO -REGULATED</t>
  </si>
  <si>
    <t>Average</t>
  </si>
  <si>
    <t>Can</t>
  </si>
  <si>
    <t>R1YDPU</t>
  </si>
  <si>
    <t>1YD CONTAINER PICKUP</t>
  </si>
  <si>
    <t>TG-210038</t>
  </si>
  <si>
    <t>1 YARD TEMP PICKUP</t>
  </si>
  <si>
    <t>1.5 YARD TEMP PICKUP</t>
  </si>
  <si>
    <t>2 YARD TEMP PICKUP</t>
  </si>
  <si>
    <t>BULKY MATERIAL MINIMUM PICKUP</t>
  </si>
  <si>
    <t>LOOSE MATERIAL MINIMUM PICKUP</t>
  </si>
  <si>
    <t>OVERWEIGHT CONTAINER PER YARD</t>
  </si>
  <si>
    <t>OVERWEIGHT DROP BOX PER YARD</t>
  </si>
  <si>
    <t>MINIMUM MONTHLY CHARGE</t>
  </si>
  <si>
    <t>AUTOMATED 35 GAL CART MIN CHARGE</t>
  </si>
  <si>
    <t>AUTOMATED 48 GAL CART MIN CHARGE</t>
  </si>
  <si>
    <t>AUTOMATED 64 GAL CART MIN CHARGE</t>
  </si>
  <si>
    <t>AUTOMATED 96 GAL CART MIN CHARGE</t>
  </si>
  <si>
    <t>Kitsap Co. Regulated - Price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</si>
</sst>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i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i/>
      <sz val="11"/>
      <name val="Calibri"/>
      <family val="2"/>
      <scheme val="minor"/>
    </font>
    <font>
      <sz val="9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9"/>
      <color rgb="FF0000FF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74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2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9" applyNumberFormat="0" applyAlignment="0" applyProtection="0"/>
    <xf numFmtId="0" fontId="73" fillId="0" borderId="35" applyBorder="0">
      <alignment horizontal="center" vertical="center" wrapText="1"/>
    </xf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3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9" applyNumberFormat="0" applyAlignment="0" applyProtection="0"/>
    <xf numFmtId="0" fontId="66" fillId="42" borderId="40" applyNumberFormat="0" applyAlignment="0" applyProtection="0"/>
    <xf numFmtId="0" fontId="67" fillId="42" borderId="39" applyNumberFormat="0" applyAlignment="0" applyProtection="0"/>
    <xf numFmtId="0" fontId="68" fillId="0" borderId="41" applyNumberFormat="0" applyFill="0" applyAlignment="0" applyProtection="0"/>
    <xf numFmtId="0" fontId="69" fillId="43" borderId="42" applyNumberFormat="0" applyAlignment="0" applyProtection="0"/>
    <xf numFmtId="0" fontId="9" fillId="0" borderId="0" applyNumberFormat="0" applyFill="0" applyBorder="0" applyAlignment="0" applyProtection="0"/>
    <xf numFmtId="0" fontId="1" fillId="44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4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4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4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2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2" borderId="82"/>
    <xf numFmtId="0" fontId="24" fillId="24" borderId="77" applyNumberFormat="0" applyAlignment="0" applyProtection="0"/>
    <xf numFmtId="0" fontId="8" fillId="44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2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2" borderId="124"/>
    <xf numFmtId="0" fontId="49" fillId="10" borderId="195" applyNumberFormat="0" applyFont="0" applyAlignment="0" applyProtection="0"/>
    <xf numFmtId="0" fontId="85" fillId="0" borderId="124"/>
    <xf numFmtId="0" fontId="8" fillId="44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4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4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4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2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2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4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2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4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4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2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4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4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4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4" borderId="202" applyNumberFormat="0" applyFont="0" applyAlignment="0" applyProtection="0"/>
    <xf numFmtId="0" fontId="31" fillId="0" borderId="158" applyNumberFormat="0" applyFill="0" applyAlignment="0" applyProtection="0"/>
    <xf numFmtId="0" fontId="8" fillId="44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2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4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4" borderId="202" applyNumberFormat="0" applyFont="0" applyAlignment="0" applyProtection="0"/>
    <xf numFmtId="0" fontId="31" fillId="0" borderId="163" applyNumberFormat="0" applyFill="0" applyAlignment="0" applyProtection="0"/>
    <xf numFmtId="0" fontId="85" fillId="72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2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4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4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4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4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2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4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2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4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4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4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4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4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2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4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4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4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2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2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4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4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4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2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4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4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2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2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4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2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4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4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2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2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2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4" borderId="276" applyNumberFormat="0" applyFont="0" applyAlignment="0" applyProtection="0"/>
    <xf numFmtId="0" fontId="49" fillId="10" borderId="278" applyNumberFormat="0" applyFont="0" applyAlignment="0" applyProtection="0"/>
    <xf numFmtId="0" fontId="8" fillId="44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4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4" borderId="276" applyNumberFormat="0" applyFont="0" applyAlignment="0" applyProtection="0"/>
    <xf numFmtId="0" fontId="85" fillId="72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4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2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4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4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4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4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4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4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2" borderId="298"/>
    <xf numFmtId="0" fontId="25" fillId="8" borderId="291" applyNumberFormat="0" applyAlignment="0" applyProtection="0"/>
    <xf numFmtId="0" fontId="85" fillId="72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4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4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2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2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4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4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2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2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4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4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4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2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2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2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2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8" fillId="10" borderId="346" applyNumberFormat="0" applyFon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8" fillId="10" borderId="346" applyNumberFormat="0" applyFont="0" applyAlignment="0" applyProtection="0"/>
    <xf numFmtId="0" fontId="25" fillId="13" borderId="354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51" applyNumberFormat="0" applyFill="0" applyAlignment="0" applyProtection="0"/>
    <xf numFmtId="0" fontId="6" fillId="0" borderId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8" applyNumberFormat="0" applyFill="0" applyAlignment="0" applyProtection="0"/>
    <xf numFmtId="0" fontId="25" fillId="8" borderId="33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" fillId="0" borderId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41" fillId="13" borderId="354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49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5" applyNumberFormat="0" applyAlignment="0" applyProtection="0"/>
    <xf numFmtId="0" fontId="41" fillId="13" borderId="345" applyNumberForma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3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1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28" fillId="10" borderId="339" applyNumberFormat="0" applyFont="0" applyAlignment="0" applyProtection="0"/>
    <xf numFmtId="0" fontId="24" fillId="24" borderId="340" applyNumberFormat="0" applyAlignment="0" applyProtection="0"/>
    <xf numFmtId="0" fontId="24" fillId="24" borderId="340" applyNumberFormat="0" applyAlignment="0" applyProtection="0"/>
    <xf numFmtId="0" fontId="31" fillId="0" borderId="341" applyNumberFormat="0" applyFill="0" applyAlignment="0" applyProtection="0"/>
    <xf numFmtId="0" fontId="31" fillId="0" borderId="357" applyNumberFormat="0" applyFill="0" applyAlignment="0" applyProtection="0"/>
    <xf numFmtId="0" fontId="24" fillId="24" borderId="356" applyNumberFormat="0" applyAlignment="0" applyProtection="0"/>
    <xf numFmtId="0" fontId="28" fillId="10" borderId="355" applyNumberFormat="0" applyFont="0" applyAlignment="0" applyProtection="0"/>
    <xf numFmtId="0" fontId="8" fillId="10" borderId="355" applyNumberFormat="0" applyFont="0" applyAlignment="0" applyProtection="0"/>
    <xf numFmtId="0" fontId="8" fillId="10" borderId="355" applyNumberFormat="0" applyFont="0" applyAlignment="0" applyProtection="0"/>
    <xf numFmtId="0" fontId="28" fillId="10" borderId="355" applyNumberFormat="0" applyFont="0" applyAlignment="0" applyProtection="0"/>
    <xf numFmtId="0" fontId="18" fillId="10" borderId="355" applyNumberFormat="0" applyFont="0" applyAlignment="0" applyProtection="0"/>
    <xf numFmtId="0" fontId="41" fillId="13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32" fillId="24" borderId="354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48" fillId="24" borderId="345" applyNumberFormat="0" applyAlignment="0" applyProtection="0"/>
    <xf numFmtId="0" fontId="28" fillId="10" borderId="346" applyNumberFormat="0" applyFon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28" fillId="0" borderId="342"/>
    <xf numFmtId="0" fontId="48" fillId="24" borderId="345" applyNumberFormat="0" applyAlignment="0" applyProtection="0"/>
    <xf numFmtId="0" fontId="48" fillId="24" borderId="345" applyNumberFormat="0" applyAlignment="0" applyProtection="0"/>
    <xf numFmtId="0" fontId="48" fillId="12" borderId="345" applyNumberFormat="0" applyAlignment="0" applyProtection="0"/>
    <xf numFmtId="0" fontId="41" fillId="13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32" fillId="24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8" fillId="10" borderId="346" applyNumberFormat="0" applyFont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85" fillId="0" borderId="342"/>
    <xf numFmtId="0" fontId="28" fillId="0" borderId="342"/>
    <xf numFmtId="0" fontId="31" fillId="0" borderId="348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31" fillId="0" borderId="350" applyNumberFormat="0" applyFill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2" fillId="24" borderId="345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73" fillId="0" borderId="352" applyBorder="0">
      <alignment horizontal="center" vertical="center" wrapText="1"/>
    </xf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73" fillId="0" borderId="352" applyBorder="0">
      <alignment horizontal="center" vertical="center" wrapText="1"/>
    </xf>
    <xf numFmtId="0" fontId="25" fillId="13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4" fillId="24" borderId="347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24" fillId="24" borderId="356" applyNumberFormat="0" applyAlignment="0" applyProtection="0"/>
    <xf numFmtId="0" fontId="49" fillId="10" borderId="355" applyNumberFormat="0" applyFont="0" applyAlignment="0" applyProtection="0"/>
    <xf numFmtId="0" fontId="28" fillId="10" borderId="355" applyNumberFormat="0" applyFon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28" fillId="0" borderId="342"/>
    <xf numFmtId="0" fontId="49" fillId="10" borderId="346" applyNumberFormat="0" applyFon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73" fillId="0" borderId="349" applyBorder="0">
      <alignment horizontal="center" vertical="center" wrapText="1"/>
    </xf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31" fillId="0" borderId="343" applyNumberFormat="0" applyFill="0" applyAlignment="0" applyProtection="0"/>
    <xf numFmtId="0" fontId="41" fillId="13" borderId="345" applyNumberFormat="0" applyAlignment="0" applyProtection="0"/>
    <xf numFmtId="0" fontId="18" fillId="10" borderId="346" applyNumberFormat="0" applyFont="0" applyAlignment="0" applyProtection="0"/>
    <xf numFmtId="0" fontId="29" fillId="24" borderId="344" applyNumberFormat="0" applyAlignment="0" applyProtection="0"/>
    <xf numFmtId="0" fontId="25" fillId="8" borderId="345" applyNumberFormat="0" applyAlignment="0" applyProtection="0"/>
    <xf numFmtId="0" fontId="8" fillId="44" borderId="353" applyNumberFormat="0" applyFont="0" applyAlignment="0" applyProtection="0"/>
    <xf numFmtId="0" fontId="24" fillId="24" borderId="347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5" fillId="8" borderId="345" applyNumberFormat="0" applyAlignment="0" applyProtection="0"/>
    <xf numFmtId="0" fontId="48" fillId="24" borderId="345" applyNumberFormat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29" fillId="12" borderId="344" applyNumberFormat="0" applyAlignment="0" applyProtection="0"/>
    <xf numFmtId="0" fontId="31" fillId="0" borderId="351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12" borderId="344" applyNumberForma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73" fillId="0" borderId="349" applyBorder="0">
      <alignment horizontal="center" vertical="center" wrapText="1"/>
    </xf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49" fillId="10" borderId="346" applyNumberFormat="0" applyFont="0" applyAlignment="0" applyProtection="0"/>
    <xf numFmtId="0" fontId="48" fillId="12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48" fillId="24" borderId="345" applyNumberFormat="0" applyAlignment="0" applyProtection="0"/>
    <xf numFmtId="0" fontId="49" fillId="10" borderId="346" applyNumberFormat="0" applyFont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31" fillId="0" borderId="341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9" fillId="10" borderId="362" applyNumberFormat="0" applyFont="0" applyAlignment="0" applyProtection="0"/>
    <xf numFmtId="0" fontId="48" fillId="12" borderId="361" applyNumberFormat="0" applyAlignment="0" applyProtection="0"/>
    <xf numFmtId="0" fontId="25" fillId="8" borderId="361" applyNumberFormat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24" fillId="24" borderId="363" applyNumberFormat="0" applyAlignment="0" applyProtection="0"/>
    <xf numFmtId="0" fontId="8" fillId="10" borderId="362" applyNumberFormat="0" applyFont="0" applyAlignment="0" applyProtection="0"/>
    <xf numFmtId="0" fontId="41" fillId="13" borderId="361" applyNumberFormat="0" applyAlignment="0" applyProtection="0"/>
    <xf numFmtId="0" fontId="48" fillId="12" borderId="361" applyNumberFormat="0" applyAlignment="0" applyProtection="0"/>
    <xf numFmtId="0" fontId="48" fillId="24" borderId="361" applyNumberFormat="0" applyAlignment="0" applyProtection="0"/>
    <xf numFmtId="0" fontId="31" fillId="0" borderId="359" applyNumberFormat="0" applyFill="0" applyAlignment="0" applyProtection="0"/>
    <xf numFmtId="0" fontId="48" fillId="24" borderId="361" applyNumberFormat="0" applyAlignment="0" applyProtection="0"/>
    <xf numFmtId="0" fontId="49" fillId="10" borderId="362" applyNumberFormat="0" applyFont="0" applyAlignment="0" applyProtection="0"/>
    <xf numFmtId="0" fontId="29" fillId="12" borderId="360" applyNumberFormat="0" applyAlignment="0" applyProtection="0"/>
    <xf numFmtId="0" fontId="8" fillId="10" borderId="362" applyNumberFormat="0" applyFont="0" applyAlignment="0" applyProtection="0"/>
    <xf numFmtId="0" fontId="8" fillId="10" borderId="355" applyNumberFormat="0" applyFont="0" applyAlignment="0" applyProtection="0"/>
    <xf numFmtId="0" fontId="49" fillId="10" borderId="355" applyNumberFormat="0" applyFont="0" applyAlignment="0" applyProtection="0"/>
    <xf numFmtId="0" fontId="31" fillId="0" borderId="357" applyNumberFormat="0" applyFill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31" fillId="0" borderId="359" applyNumberFormat="0" applyFill="0" applyAlignment="0" applyProtection="0"/>
    <xf numFmtId="0" fontId="16" fillId="24" borderId="361" applyNumberFormat="0" applyAlignment="0" applyProtection="0"/>
    <xf numFmtId="0" fontId="32" fillId="24" borderId="361" applyNumberFormat="0" applyAlignment="0" applyProtection="0"/>
    <xf numFmtId="0" fontId="25" fillId="13" borderId="361" applyNumberFormat="0" applyAlignment="0" applyProtection="0"/>
    <xf numFmtId="0" fontId="28" fillId="10" borderId="362" applyNumberFormat="0" applyFont="0" applyAlignment="0" applyProtection="0"/>
    <xf numFmtId="0" fontId="18" fillId="10" borderId="362" applyNumberFormat="0" applyFont="0" applyAlignment="0" applyProtection="0"/>
    <xf numFmtId="0" fontId="29" fillId="24" borderId="360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</cellStyleXfs>
  <cellXfs count="444">
    <xf numFmtId="0" fontId="0" fillId="0" borderId="0" xfId="0"/>
    <xf numFmtId="43" fontId="0" fillId="0" borderId="0" xfId="1" applyFont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3" fillId="0" borderId="0" xfId="0" applyFont="1"/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44" fontId="0" fillId="0" borderId="0" xfId="2" applyFont="1" applyFill="1"/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0" fontId="0" fillId="6" borderId="32" xfId="0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6" borderId="3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6" xfId="0" applyFont="1" applyFill="1" applyBorder="1" applyAlignment="1">
      <alignment horizontal="center" vertical="center" wrapText="1"/>
    </xf>
    <xf numFmtId="166" fontId="3" fillId="6" borderId="366" xfId="1" applyNumberFormat="1" applyFont="1" applyFill="1" applyBorder="1" applyAlignment="1">
      <alignment horizontal="center" vertical="center" wrapText="1"/>
    </xf>
    <xf numFmtId="3" fontId="3" fillId="6" borderId="366" xfId="0" applyNumberFormat="1" applyFont="1" applyFill="1" applyBorder="1" applyAlignment="1">
      <alignment horizontal="center" vertical="center" wrapText="1"/>
    </xf>
    <xf numFmtId="0" fontId="3" fillId="2" borderId="36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8" xfId="1" applyNumberFormat="1" applyFont="1" applyFill="1" applyBorder="1"/>
    <xf numFmtId="166" fontId="3" fillId="0" borderId="0" xfId="0" applyNumberFormat="1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7" xfId="0" applyFont="1" applyFill="1" applyBorder="1" applyAlignment="1">
      <alignment horizontal="center"/>
    </xf>
    <xf numFmtId="0" fontId="12" fillId="6" borderId="367" xfId="4" applyFont="1" applyFill="1" applyBorder="1" applyAlignment="1">
      <alignment horizontal="left"/>
    </xf>
    <xf numFmtId="3" fontId="3" fillId="6" borderId="367" xfId="0" applyNumberFormat="1" applyFont="1" applyFill="1" applyBorder="1" applyAlignment="1">
      <alignment horizontal="right"/>
    </xf>
    <xf numFmtId="43" fontId="0" fillId="6" borderId="367" xfId="0" applyNumberFormat="1" applyFont="1" applyFill="1" applyBorder="1"/>
    <xf numFmtId="166" fontId="3" fillId="6" borderId="367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3" fontId="3" fillId="6" borderId="367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9" xfId="0" applyFont="1" applyFill="1" applyBorder="1" applyAlignment="1">
      <alignment vertical="center"/>
    </xf>
    <xf numFmtId="0" fontId="3" fillId="6" borderId="370" xfId="0" applyFont="1" applyFill="1" applyBorder="1" applyAlignment="1">
      <alignment vertical="center" textRotation="90"/>
    </xf>
    <xf numFmtId="0" fontId="3" fillId="78" borderId="36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6" xfId="0" applyFont="1" applyFill="1" applyBorder="1" applyAlignment="1">
      <alignment horizontal="center" vertical="center" wrapText="1"/>
    </xf>
    <xf numFmtId="43" fontId="98" fillId="2" borderId="366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0" fillId="6" borderId="366" xfId="0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horizontal="left"/>
    </xf>
    <xf numFmtId="43" fontId="0" fillId="0" borderId="0" xfId="1" applyNumberFormat="1" applyFont="1" applyBorder="1"/>
    <xf numFmtId="10" fontId="102" fillId="0" borderId="0" xfId="3" applyNumberFormat="1" applyFont="1" applyFill="1" applyBorder="1"/>
    <xf numFmtId="43" fontId="0" fillId="0" borderId="0" xfId="0" applyNumberFormat="1"/>
    <xf numFmtId="0" fontId="11" fillId="0" borderId="0" xfId="0" applyFont="1" applyFill="1" applyAlignment="1">
      <alignment horizontal="right"/>
    </xf>
    <xf numFmtId="0" fontId="0" fillId="5" borderId="0" xfId="0" applyFont="1" applyFill="1" applyBorder="1"/>
    <xf numFmtId="0" fontId="3" fillId="80" borderId="0" xfId="0" applyFont="1" applyFill="1" applyAlignment="1">
      <alignment horizontal="center"/>
    </xf>
    <xf numFmtId="44" fontId="0" fillId="80" borderId="0" xfId="2" applyFont="1" applyFill="1" applyBorder="1"/>
    <xf numFmtId="43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3" fillId="0" borderId="0" xfId="0" applyFont="1" applyFill="1"/>
    <xf numFmtId="44" fontId="0" fillId="0" borderId="0" xfId="0" applyNumberFormat="1"/>
    <xf numFmtId="0" fontId="0" fillId="0" borderId="0" xfId="0" applyFont="1" applyFill="1" applyAlignment="1">
      <alignment horizontal="center"/>
    </xf>
    <xf numFmtId="0" fontId="97" fillId="0" borderId="0" xfId="0" applyFont="1" applyFill="1" applyBorder="1" applyAlignment="1"/>
    <xf numFmtId="0" fontId="3" fillId="78" borderId="0" xfId="0" applyFont="1" applyFill="1" applyBorder="1" applyAlignment="1">
      <alignment horizontal="center"/>
    </xf>
    <xf numFmtId="0" fontId="3" fillId="80" borderId="366" xfId="0" applyFont="1" applyFill="1" applyBorder="1" applyAlignment="1">
      <alignment horizontal="center" vertical="center" wrapText="1"/>
    </xf>
    <xf numFmtId="44" fontId="0" fillId="78" borderId="0" xfId="2" applyFont="1" applyFill="1" applyBorder="1"/>
    <xf numFmtId="43" fontId="0" fillId="75" borderId="0" xfId="1" applyFont="1" applyFill="1"/>
    <xf numFmtId="43" fontId="0" fillId="75" borderId="0" xfId="1" applyNumberFormat="1" applyFont="1" applyFill="1"/>
    <xf numFmtId="0" fontId="11" fillId="75" borderId="0" xfId="296" applyFont="1" applyFill="1" applyBorder="1"/>
    <xf numFmtId="43" fontId="0" fillId="74" borderId="0" xfId="1" applyFont="1" applyFill="1"/>
    <xf numFmtId="43" fontId="0" fillId="74" borderId="0" xfId="1" applyNumberFormat="1" applyFont="1" applyFill="1"/>
    <xf numFmtId="3" fontId="0" fillId="81" borderId="0" xfId="1" applyNumberFormat="1" applyFont="1" applyFill="1" applyBorder="1" applyAlignment="1">
      <alignment horizontal="right"/>
    </xf>
    <xf numFmtId="0" fontId="3" fillId="81" borderId="0" xfId="0" applyFont="1" applyFill="1" applyBorder="1" applyAlignment="1">
      <alignment horizontal="center"/>
    </xf>
    <xf numFmtId="166" fontId="102" fillId="0" borderId="371" xfId="1" applyNumberFormat="1" applyFont="1" applyFill="1" applyBorder="1" applyAlignment="1">
      <alignment horizontal="right"/>
    </xf>
    <xf numFmtId="166" fontId="0" fillId="0" borderId="371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11" fillId="75" borderId="0" xfId="0" applyFont="1" applyFill="1" applyBorder="1" applyAlignment="1">
      <alignment horizontal="center" vertical="center"/>
    </xf>
    <xf numFmtId="0" fontId="11" fillId="75" borderId="0" xfId="0" applyFont="1" applyFill="1" applyBorder="1" applyAlignment="1">
      <alignment horizontal="left" vertical="center"/>
    </xf>
    <xf numFmtId="0" fontId="11" fillId="74" borderId="0" xfId="0" applyFont="1" applyFill="1" applyBorder="1" applyAlignment="1">
      <alignment horizontal="center" vertical="center"/>
    </xf>
    <xf numFmtId="0" fontId="11" fillId="74" borderId="0" xfId="0" applyFont="1" applyFill="1" applyBorder="1" applyAlignment="1">
      <alignment horizontal="left" vertical="center"/>
    </xf>
    <xf numFmtId="0" fontId="11" fillId="74" borderId="0" xfId="0" applyFont="1" applyFill="1" applyBorder="1" applyAlignment="1">
      <alignment horizontal="center"/>
    </xf>
    <xf numFmtId="0" fontId="11" fillId="74" borderId="0" xfId="0" applyFont="1" applyFill="1" applyBorder="1" applyAlignment="1">
      <alignment horizontal="left"/>
    </xf>
    <xf numFmtId="0" fontId="3" fillId="82" borderId="0" xfId="0" applyFont="1" applyFill="1" applyBorder="1" applyAlignment="1">
      <alignment horizontal="center"/>
    </xf>
    <xf numFmtId="164" fontId="3" fillId="6" borderId="32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74" borderId="0" xfId="0" applyFont="1" applyFill="1" applyAlignment="1">
      <alignment horizontal="left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166" fontId="11" fillId="74" borderId="0" xfId="1" applyNumberFormat="1" applyFont="1" applyFill="1" applyAlignment="1">
      <alignment horizontal="right"/>
    </xf>
    <xf numFmtId="43" fontId="11" fillId="0" borderId="0" xfId="1" applyNumberFormat="1" applyFont="1" applyFill="1" applyBorder="1"/>
    <xf numFmtId="43" fontId="9" fillId="0" borderId="0" xfId="0" applyNumberFormat="1" applyFont="1" applyFill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43" fontId="11" fillId="0" borderId="0" xfId="0" applyNumberFormat="1" applyFont="1" applyFill="1"/>
    <xf numFmtId="166" fontId="12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6" xfId="1" applyNumberFormat="1" applyFont="1" applyFill="1" applyBorder="1" applyAlignment="1">
      <alignment horizontal="center" vertical="center" wrapText="1"/>
    </xf>
    <xf numFmtId="43" fontId="102" fillId="0" borderId="0" xfId="1" applyNumberFormat="1" applyFont="1"/>
    <xf numFmtId="0" fontId="100" fillId="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3" fillId="76" borderId="0" xfId="37404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Alignment="1"/>
    <xf numFmtId="43" fontId="1" fillId="0" borderId="0" xfId="1294" applyFont="1" applyAlignment="1"/>
    <xf numFmtId="43" fontId="0" fillId="0" borderId="0" xfId="0" applyNumberFormat="1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0" fontId="11" fillId="0" borderId="0" xfId="0" applyFont="1" applyFill="1" applyAlignment="1"/>
    <xf numFmtId="0" fontId="9" fillId="0" borderId="0" xfId="0" applyFont="1" applyFill="1" applyAlignment="1"/>
    <xf numFmtId="166" fontId="1" fillId="0" borderId="0" xfId="1294" applyNumberFormat="1" applyFont="1" applyFill="1" applyAlignment="1"/>
    <xf numFmtId="43" fontId="0" fillId="0" borderId="0" xfId="0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 applyFont="1" applyAlignmen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10" fontId="0" fillId="0" borderId="0" xfId="3" applyNumberFormat="1" applyFont="1" applyAlignment="1"/>
    <xf numFmtId="44" fontId="0" fillId="0" borderId="0" xfId="0" applyNumberFormat="1" applyAlignment="1"/>
    <xf numFmtId="44" fontId="0" fillId="0" borderId="0" xfId="0" applyNumberFormat="1" applyFont="1" applyAlignment="1"/>
    <xf numFmtId="169" fontId="1" fillId="0" borderId="0" xfId="2" applyNumberFormat="1" applyFont="1" applyFill="1" applyBorder="1"/>
    <xf numFmtId="0" fontId="0" fillId="0" borderId="0" xfId="0" applyFill="1" applyBorder="1" applyAlignment="1"/>
    <xf numFmtId="0" fontId="3" fillId="0" borderId="19" xfId="0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44" fontId="1" fillId="0" borderId="0" xfId="2" applyFont="1" applyBorder="1"/>
    <xf numFmtId="44" fontId="3" fillId="0" borderId="0" xfId="0" applyNumberFormat="1" applyFont="1" applyBorder="1" applyAlignment="1"/>
    <xf numFmtId="0" fontId="103" fillId="0" borderId="0" xfId="37404" applyFont="1" applyFill="1"/>
    <xf numFmtId="0" fontId="108" fillId="0" borderId="0" xfId="37404" applyFont="1" applyFill="1" applyAlignment="1">
      <alignment horizontal="center"/>
    </xf>
    <xf numFmtId="0" fontId="108" fillId="0" borderId="0" xfId="37404" applyFont="1" applyFill="1"/>
    <xf numFmtId="0" fontId="108" fillId="0" borderId="0" xfId="37404" applyFont="1"/>
    <xf numFmtId="0" fontId="103" fillId="77" borderId="0" xfId="37404" applyFont="1" applyFill="1" applyAlignment="1">
      <alignment horizontal="right"/>
    </xf>
    <xf numFmtId="0" fontId="103" fillId="77" borderId="0" xfId="37404" applyFont="1" applyFill="1"/>
    <xf numFmtId="10" fontId="108" fillId="83" borderId="0" xfId="37407" applyNumberFormat="1" applyFont="1" applyFill="1" applyAlignment="1"/>
    <xf numFmtId="10" fontId="108" fillId="83" borderId="0" xfId="37404" applyNumberFormat="1" applyFont="1" applyFill="1"/>
    <xf numFmtId="10" fontId="108" fillId="5" borderId="0" xfId="37404" applyNumberFormat="1" applyFont="1" applyFill="1"/>
    <xf numFmtId="43" fontId="108" fillId="77" borderId="0" xfId="37404" applyNumberFormat="1" applyFont="1" applyFill="1"/>
    <xf numFmtId="0" fontId="108" fillId="77" borderId="0" xfId="37404" applyFont="1" applyFill="1"/>
    <xf numFmtId="10" fontId="108" fillId="77" borderId="0" xfId="37407" applyNumberFormat="1" applyFont="1" applyFill="1" applyAlignment="1"/>
    <xf numFmtId="10" fontId="108" fillId="77" borderId="0" xfId="12512" applyNumberFormat="1" applyFont="1" applyFill="1"/>
    <xf numFmtId="10" fontId="108" fillId="77" borderId="0" xfId="37404" applyNumberFormat="1" applyFont="1" applyFill="1"/>
    <xf numFmtId="2" fontId="108" fillId="0" borderId="0" xfId="37404" applyNumberFormat="1" applyFont="1"/>
    <xf numFmtId="43" fontId="108" fillId="0" borderId="0" xfId="37404" applyNumberFormat="1" applyFont="1"/>
    <xf numFmtId="0" fontId="103" fillId="0" borderId="0" xfId="37404" applyFont="1" applyFill="1" applyAlignment="1">
      <alignment horizontal="center" wrapText="1"/>
    </xf>
    <xf numFmtId="0" fontId="103" fillId="75" borderId="0" xfId="37404" applyFont="1" applyFill="1" applyAlignment="1">
      <alignment horizontal="center"/>
    </xf>
    <xf numFmtId="17" fontId="103" fillId="79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Fill="1" applyAlignment="1">
      <alignment horizontal="center"/>
    </xf>
    <xf numFmtId="166" fontId="108" fillId="0" borderId="0" xfId="37404" applyNumberFormat="1" applyFont="1"/>
    <xf numFmtId="14" fontId="103" fillId="75" borderId="0" xfId="37404" applyNumberFormat="1" applyFont="1" applyFill="1" applyAlignment="1">
      <alignment horizontal="center" wrapText="1"/>
    </xf>
    <xf numFmtId="0" fontId="103" fillId="79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3" fillId="77" borderId="0" xfId="37404" applyFont="1" applyFill="1" applyAlignment="1">
      <alignment horizontal="center" wrapText="1"/>
    </xf>
    <xf numFmtId="0" fontId="109" fillId="0" borderId="0" xfId="37404" applyFont="1" applyFill="1" applyAlignment="1">
      <alignment horizontal="left"/>
    </xf>
    <xf numFmtId="0" fontId="110" fillId="0" borderId="0" xfId="37404" applyFont="1" applyFill="1" applyAlignment="1">
      <alignment horizontal="center"/>
    </xf>
    <xf numFmtId="0" fontId="109" fillId="0" borderId="0" xfId="37404" applyFont="1" applyFill="1" applyAlignment="1">
      <alignment horizontal="center"/>
    </xf>
    <xf numFmtId="0" fontId="103" fillId="0" borderId="0" xfId="37404" applyFont="1"/>
    <xf numFmtId="0" fontId="103" fillId="0" borderId="0" xfId="37404" applyFont="1" applyFill="1" applyAlignment="1">
      <alignment horizontal="left"/>
    </xf>
    <xf numFmtId="0" fontId="108" fillId="0" borderId="0" xfId="37408" applyFont="1" applyFill="1"/>
    <xf numFmtId="43" fontId="108" fillId="0" borderId="0" xfId="103" applyFont="1" applyFill="1"/>
    <xf numFmtId="43" fontId="108" fillId="0" borderId="0" xfId="103" applyFont="1" applyFill="1" applyAlignment="1">
      <alignment horizontal="center"/>
    </xf>
    <xf numFmtId="166" fontId="108" fillId="0" borderId="0" xfId="103" applyNumberFormat="1" applyFont="1" applyFill="1"/>
    <xf numFmtId="166" fontId="108" fillId="0" borderId="0" xfId="37404" applyNumberFormat="1" applyFont="1" applyFill="1"/>
    <xf numFmtId="166" fontId="108" fillId="74" borderId="0" xfId="37404" applyNumberFormat="1" applyFont="1" applyFill="1"/>
    <xf numFmtId="43" fontId="108" fillId="74" borderId="0" xfId="103" applyFont="1" applyFill="1"/>
    <xf numFmtId="164" fontId="108" fillId="74" borderId="0" xfId="37404" applyNumberFormat="1" applyFont="1" applyFill="1"/>
    <xf numFmtId="9" fontId="108" fillId="0" borderId="0" xfId="12512" applyFont="1" applyFill="1"/>
    <xf numFmtId="0" fontId="108" fillId="78" borderId="0" xfId="37404" applyFont="1" applyFill="1"/>
    <xf numFmtId="0" fontId="108" fillId="78" borderId="0" xfId="37408" applyFont="1" applyFill="1"/>
    <xf numFmtId="43" fontId="108" fillId="78" borderId="0" xfId="103" applyFont="1" applyFill="1"/>
    <xf numFmtId="43" fontId="108" fillId="78" borderId="0" xfId="103" applyFont="1" applyFill="1" applyAlignment="1">
      <alignment horizontal="center"/>
    </xf>
    <xf numFmtId="166" fontId="108" fillId="78" borderId="0" xfId="103" applyNumberFormat="1" applyFont="1" applyFill="1"/>
    <xf numFmtId="166" fontId="108" fillId="78" borderId="0" xfId="37404" applyNumberFormat="1" applyFont="1" applyFill="1"/>
    <xf numFmtId="164" fontId="108" fillId="78" borderId="0" xfId="37404" applyNumberFormat="1" applyFont="1" applyFill="1"/>
    <xf numFmtId="9" fontId="108" fillId="78" borderId="0" xfId="12512" applyFont="1" applyFill="1"/>
    <xf numFmtId="0" fontId="108" fillId="76" borderId="0" xfId="37404" applyFont="1" applyFill="1"/>
    <xf numFmtId="166" fontId="108" fillId="76" borderId="0" xfId="37404" applyNumberFormat="1" applyFont="1" applyFill="1"/>
    <xf numFmtId="164" fontId="108" fillId="0" borderId="0" xfId="37404" applyNumberFormat="1" applyFont="1"/>
    <xf numFmtId="0" fontId="108" fillId="0" borderId="0" xfId="37404" applyFont="1" applyFill="1" applyBorder="1"/>
    <xf numFmtId="0" fontId="103" fillId="0" borderId="0" xfId="37404" applyFont="1" applyFill="1" applyBorder="1" applyAlignment="1">
      <alignment horizontal="right"/>
    </xf>
    <xf numFmtId="166" fontId="111" fillId="0" borderId="367" xfId="37406" applyNumberFormat="1" applyFont="1" applyFill="1" applyBorder="1"/>
    <xf numFmtId="43" fontId="111" fillId="0" borderId="367" xfId="103" applyFont="1" applyFill="1" applyBorder="1"/>
    <xf numFmtId="164" fontId="111" fillId="0" borderId="367" xfId="37406" applyNumberFormat="1" applyFont="1" applyFill="1" applyBorder="1"/>
    <xf numFmtId="44" fontId="108" fillId="0" borderId="0" xfId="37404" applyNumberFormat="1" applyFont="1"/>
    <xf numFmtId="166" fontId="111" fillId="0" borderId="0" xfId="37406" applyNumberFormat="1" applyFont="1" applyFill="1" applyBorder="1"/>
    <xf numFmtId="166" fontId="108" fillId="0" borderId="0" xfId="103" applyNumberFormat="1" applyFont="1"/>
    <xf numFmtId="164" fontId="108" fillId="0" borderId="0" xfId="103" applyNumberFormat="1" applyFont="1"/>
    <xf numFmtId="166" fontId="112" fillId="0" borderId="0" xfId="37406" applyNumberFormat="1" applyFont="1" applyFill="1" applyBorder="1"/>
    <xf numFmtId="0" fontId="103" fillId="0" borderId="0" xfId="37404" applyFont="1" applyFill="1" applyBorder="1"/>
    <xf numFmtId="0" fontId="2" fillId="0" borderId="0" xfId="204"/>
    <xf numFmtId="9" fontId="108" fillId="74" borderId="0" xfId="12512" applyFont="1" applyFill="1"/>
    <xf numFmtId="0" fontId="2" fillId="0" borderId="0" xfId="204" applyFill="1"/>
    <xf numFmtId="0" fontId="2" fillId="0" borderId="0" xfId="205" applyFill="1"/>
    <xf numFmtId="43" fontId="110" fillId="0" borderId="0" xfId="103" applyFont="1" applyFill="1" applyAlignment="1">
      <alignment horizontal="center"/>
    </xf>
    <xf numFmtId="166" fontId="110" fillId="0" borderId="0" xfId="37404" applyNumberFormat="1" applyFont="1" applyFill="1" applyAlignment="1">
      <alignment horizontal="center"/>
    </xf>
    <xf numFmtId="164" fontId="108" fillId="0" borderId="0" xfId="37404" applyNumberFormat="1" applyFont="1" applyFill="1"/>
    <xf numFmtId="44" fontId="108" fillId="0" borderId="0" xfId="37404" applyNumberFormat="1" applyFont="1" applyFill="1"/>
    <xf numFmtId="166" fontId="108" fillId="0" borderId="0" xfId="103" applyNumberFormat="1" applyFont="1" applyFill="1" applyBorder="1"/>
    <xf numFmtId="166" fontId="108" fillId="0" borderId="0" xfId="37404" applyNumberFormat="1" applyFont="1" applyBorder="1"/>
    <xf numFmtId="166" fontId="108" fillId="69" borderId="0" xfId="103" applyNumberFormat="1" applyFont="1" applyFill="1"/>
    <xf numFmtId="166" fontId="108" fillId="0" borderId="0" xfId="37406" applyNumberFormat="1" applyFont="1" applyFill="1"/>
    <xf numFmtId="43" fontId="108" fillId="0" borderId="0" xfId="37404" applyNumberFormat="1" applyFont="1" applyFill="1"/>
    <xf numFmtId="44" fontId="111" fillId="0" borderId="367" xfId="37406" applyFont="1" applyFill="1" applyBorder="1"/>
    <xf numFmtId="43" fontId="108" fillId="0" borderId="0" xfId="37404" applyNumberFormat="1" applyFont="1" applyFill="1" applyAlignment="1">
      <alignment horizontal="center"/>
    </xf>
    <xf numFmtId="0" fontId="103" fillId="0" borderId="0" xfId="37404" applyFont="1" applyFill="1" applyAlignment="1">
      <alignment horizontal="right"/>
    </xf>
    <xf numFmtId="166" fontId="103" fillId="0" borderId="371" xfId="37404" applyNumberFormat="1" applyFont="1" applyFill="1" applyBorder="1"/>
    <xf numFmtId="166" fontId="103" fillId="0" borderId="0" xfId="37404" applyNumberFormat="1" applyFont="1"/>
    <xf numFmtId="164" fontId="103" fillId="0" borderId="371" xfId="37404" applyNumberFormat="1" applyFont="1" applyFill="1" applyBorder="1"/>
    <xf numFmtId="166" fontId="103" fillId="0" borderId="0" xfId="37404" applyNumberFormat="1" applyFont="1" applyFill="1" applyAlignment="1">
      <alignment horizontal="right"/>
    </xf>
    <xf numFmtId="166" fontId="103" fillId="0" borderId="0" xfId="37404" applyNumberFormat="1" applyFont="1" applyFill="1"/>
    <xf numFmtId="44" fontId="103" fillId="0" borderId="0" xfId="37404" applyNumberFormat="1" applyFont="1"/>
    <xf numFmtId="166" fontId="103" fillId="0" borderId="0" xfId="103" applyNumberFormat="1" applyFont="1" applyFill="1" applyAlignment="1">
      <alignment horizontal="right"/>
    </xf>
    <xf numFmtId="166" fontId="103" fillId="0" borderId="0" xfId="103" applyNumberFormat="1" applyFont="1" applyFill="1"/>
    <xf numFmtId="0" fontId="108" fillId="0" borderId="0" xfId="37404" applyFont="1" applyAlignment="1">
      <alignment horizontal="right"/>
    </xf>
    <xf numFmtId="166" fontId="108" fillId="0" borderId="1" xfId="37404" applyNumberFormat="1" applyFont="1" applyBorder="1"/>
    <xf numFmtId="164" fontId="108" fillId="0" borderId="1" xfId="37404" applyNumberFormat="1" applyFont="1" applyBorder="1"/>
    <xf numFmtId="0" fontId="103" fillId="0" borderId="0" xfId="37404" applyFont="1" applyAlignment="1">
      <alignment horizontal="right"/>
    </xf>
    <xf numFmtId="0" fontId="103" fillId="0" borderId="19" xfId="37404" applyFont="1" applyBorder="1"/>
    <xf numFmtId="0" fontId="103" fillId="0" borderId="373" xfId="37404" applyFont="1" applyBorder="1" applyAlignment="1">
      <alignment horizontal="center" wrapText="1"/>
    </xf>
    <xf numFmtId="0" fontId="103" fillId="0" borderId="373" xfId="37404" applyFont="1" applyBorder="1" applyAlignment="1">
      <alignment horizontal="center"/>
    </xf>
    <xf numFmtId="0" fontId="113" fillId="0" borderId="372" xfId="37404" applyFont="1" applyBorder="1" applyAlignment="1">
      <alignment horizontal="center"/>
    </xf>
    <xf numFmtId="44" fontId="108" fillId="0" borderId="0" xfId="37404" applyNumberFormat="1" applyFont="1" applyFill="1" applyAlignment="1">
      <alignment horizontal="center"/>
    </xf>
    <xf numFmtId="0" fontId="108" fillId="0" borderId="20" xfId="37404" applyFont="1" applyBorder="1" applyAlignment="1">
      <alignment horizontal="right"/>
    </xf>
    <xf numFmtId="41" fontId="108" fillId="0" borderId="0" xfId="37404" applyNumberFormat="1" applyFont="1" applyBorder="1"/>
    <xf numFmtId="44" fontId="108" fillId="0" borderId="0" xfId="37404" applyNumberFormat="1" applyFont="1" applyBorder="1"/>
    <xf numFmtId="43" fontId="108" fillId="0" borderId="21" xfId="37404" applyNumberFormat="1" applyFont="1" applyBorder="1"/>
    <xf numFmtId="0" fontId="108" fillId="0" borderId="22" xfId="37404" applyFont="1" applyBorder="1"/>
    <xf numFmtId="0" fontId="108" fillId="0" borderId="71" xfId="37404" applyFont="1" applyBorder="1"/>
    <xf numFmtId="0" fontId="108" fillId="0" borderId="23" xfId="37404" applyFont="1" applyBorder="1"/>
    <xf numFmtId="0" fontId="108" fillId="0" borderId="19" xfId="37404" applyFont="1" applyBorder="1"/>
    <xf numFmtId="0" fontId="103" fillId="0" borderId="31" xfId="37404" applyFont="1" applyBorder="1" applyAlignment="1">
      <alignment horizontal="center" wrapText="1"/>
    </xf>
    <xf numFmtId="0" fontId="103" fillId="0" borderId="34" xfId="37404" applyFont="1" applyBorder="1" applyAlignment="1">
      <alignment horizontal="center" wrapText="1"/>
    </xf>
    <xf numFmtId="0" fontId="108" fillId="0" borderId="20" xfId="37404" applyFont="1" applyBorder="1"/>
    <xf numFmtId="164" fontId="108" fillId="0" borderId="0" xfId="37404" applyNumberFormat="1" applyFont="1" applyBorder="1"/>
    <xf numFmtId="170" fontId="108" fillId="0" borderId="21" xfId="12512" applyNumberFormat="1" applyFont="1" applyBorder="1"/>
    <xf numFmtId="44" fontId="108" fillId="0" borderId="1" xfId="37404" applyNumberFormat="1" applyFont="1" applyBorder="1"/>
    <xf numFmtId="44" fontId="108" fillId="0" borderId="71" xfId="37404" applyNumberFormat="1" applyFont="1" applyBorder="1"/>
    <xf numFmtId="0" fontId="69" fillId="84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0" fillId="0" borderId="0" xfId="0" applyNumberFormat="1"/>
    <xf numFmtId="6" fontId="0" fillId="0" borderId="0" xfId="0" applyNumberFormat="1"/>
    <xf numFmtId="164" fontId="0" fillId="0" borderId="1" xfId="0" applyNumberFormat="1" applyBorder="1"/>
    <xf numFmtId="0" fontId="3" fillId="0" borderId="0" xfId="0" applyFont="1" applyFill="1" applyBorder="1" applyAlignment="1">
      <alignment horizontal="center"/>
    </xf>
    <xf numFmtId="9" fontId="0" fillId="0" borderId="0" xfId="12512" applyFont="1"/>
    <xf numFmtId="43" fontId="0" fillId="0" borderId="368" xfId="1" applyFont="1" applyBorder="1"/>
    <xf numFmtId="164" fontId="0" fillId="0" borderId="368" xfId="2" applyNumberFormat="1" applyFont="1" applyBorder="1"/>
    <xf numFmtId="0" fontId="114" fillId="0" borderId="0" xfId="0" applyFont="1"/>
    <xf numFmtId="164" fontId="0" fillId="0" borderId="0" xfId="2" applyNumberFormat="1" applyFont="1" applyBorder="1"/>
    <xf numFmtId="10" fontId="0" fillId="0" borderId="0" xfId="12512" applyNumberFormat="1" applyFont="1"/>
    <xf numFmtId="0" fontId="3" fillId="81" borderId="0" xfId="0" applyFont="1" applyFill="1" applyAlignment="1"/>
    <xf numFmtId="44" fontId="11" fillId="81" borderId="368" xfId="2" applyFont="1" applyFill="1" applyBorder="1"/>
    <xf numFmtId="0" fontId="3" fillId="2" borderId="1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2" xfId="0" applyFont="1" applyFill="1" applyBorder="1" applyAlignment="1">
      <alignment horizontal="center"/>
    </xf>
    <xf numFmtId="0" fontId="114" fillId="0" borderId="0" xfId="0" applyFont="1" applyFill="1" applyBorder="1"/>
    <xf numFmtId="0" fontId="115" fillId="0" borderId="0" xfId="37408" applyFont="1" applyFill="1"/>
    <xf numFmtId="0" fontId="11" fillId="75" borderId="0" xfId="0" applyFont="1" applyFill="1" applyAlignment="1">
      <alignment horizontal="center"/>
    </xf>
    <xf numFmtId="0" fontId="11" fillId="7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2" fillId="0" borderId="0" xfId="0" applyFont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left"/>
    </xf>
    <xf numFmtId="10" fontId="0" fillId="0" borderId="0" xfId="0" applyNumberFormat="1" applyFont="1" applyFill="1" applyAlignment="1"/>
    <xf numFmtId="0" fontId="0" fillId="0" borderId="0" xfId="0" applyFont="1" applyFill="1" applyAlignment="1"/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0" fillId="75" borderId="0" xfId="0" applyNumberFormat="1" applyFill="1"/>
    <xf numFmtId="43" fontId="0" fillId="75" borderId="1" xfId="0" applyNumberFormat="1" applyFill="1" applyBorder="1"/>
    <xf numFmtId="43" fontId="11" fillId="74" borderId="0" xfId="1" applyFont="1" applyFill="1" applyAlignment="1">
      <alignment horizontal="left"/>
    </xf>
    <xf numFmtId="0" fontId="98" fillId="0" borderId="0" xfId="0" applyFont="1" applyFill="1" applyBorder="1" applyAlignment="1">
      <alignment horizontal="center" vertical="center" wrapText="1"/>
    </xf>
    <xf numFmtId="166" fontId="102" fillId="0" borderId="0" xfId="1" applyNumberFormat="1" applyFont="1" applyFill="1" applyBorder="1"/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0" fontId="0" fillId="0" borderId="0" xfId="0" applyFont="1" applyAlignment="1">
      <alignment horizontal="right"/>
    </xf>
    <xf numFmtId="44" fontId="0" fillId="0" borderId="0" xfId="2" applyFont="1" applyFill="1" applyAlignment="1"/>
    <xf numFmtId="44" fontId="0" fillId="81" borderId="0" xfId="2" applyFont="1" applyFill="1" applyAlignment="1"/>
    <xf numFmtId="10" fontId="0" fillId="81" borderId="1" xfId="0" applyNumberFormat="1" applyFont="1" applyFill="1" applyBorder="1" applyAlignment="1"/>
    <xf numFmtId="0" fontId="114" fillId="0" borderId="0" xfId="0" applyFont="1" applyFill="1" applyAlignment="1"/>
    <xf numFmtId="0" fontId="116" fillId="0" borderId="371" xfId="0" applyFont="1" applyFill="1" applyBorder="1" applyAlignment="1">
      <alignment horizontal="right"/>
    </xf>
    <xf numFmtId="0" fontId="116" fillId="0" borderId="0" xfId="0" applyFont="1" applyFill="1" applyBorder="1" applyAlignment="1">
      <alignment horizontal="right"/>
    </xf>
    <xf numFmtId="166" fontId="11" fillId="0" borderId="371" xfId="0" applyNumberFormat="1" applyFont="1" applyFill="1" applyBorder="1"/>
    <xf numFmtId="0" fontId="11" fillId="0" borderId="0" xfId="0" applyFont="1" applyFill="1" applyBorder="1"/>
    <xf numFmtId="164" fontId="0" fillId="6" borderId="0" xfId="2" applyNumberFormat="1" applyFont="1" applyFill="1" applyBorder="1"/>
    <xf numFmtId="0" fontId="0" fillId="0" borderId="0" xfId="0" applyFont="1" applyBorder="1" applyAlignment="1"/>
    <xf numFmtId="164" fontId="1" fillId="0" borderId="23" xfId="2" applyNumberFormat="1" applyFont="1" applyFill="1" applyBorder="1"/>
    <xf numFmtId="44" fontId="0" fillId="0" borderId="0" xfId="0" applyNumberFormat="1" applyFont="1" applyFill="1" applyBorder="1"/>
    <xf numFmtId="43" fontId="102" fillId="83" borderId="0" xfId="1" applyNumberFormat="1" applyFont="1" applyFill="1"/>
    <xf numFmtId="9" fontId="0" fillId="0" borderId="0" xfId="3" applyFont="1"/>
    <xf numFmtId="0" fontId="103" fillId="76" borderId="0" xfId="37404" applyFont="1" applyFill="1" applyAlignment="1">
      <alignment horizontal="center"/>
    </xf>
    <xf numFmtId="10" fontId="3" fillId="0" borderId="0" xfId="3" applyNumberFormat="1" applyFont="1" applyFill="1" applyBorder="1" applyAlignment="1">
      <alignment horizontal="right"/>
    </xf>
    <xf numFmtId="0" fontId="103" fillId="5" borderId="0" xfId="37404" applyFont="1" applyFill="1"/>
    <xf numFmtId="166" fontId="2" fillId="0" borderId="0" xfId="227" applyNumberFormat="1"/>
    <xf numFmtId="43" fontId="108" fillId="5" borderId="0" xfId="103" applyFont="1" applyFill="1" applyAlignment="1">
      <alignment horizontal="center"/>
    </xf>
    <xf numFmtId="43" fontId="108" fillId="0" borderId="0" xfId="103" applyFont="1"/>
    <xf numFmtId="0" fontId="0" fillId="0" borderId="0" xfId="0" applyFill="1" applyAlignment="1">
      <alignment horizontal="left" indent="2"/>
    </xf>
    <xf numFmtId="43" fontId="11" fillId="74" borderId="0" xfId="1" applyNumberFormat="1" applyFont="1" applyFill="1" applyAlignment="1">
      <alignment horizontal="right"/>
    </xf>
    <xf numFmtId="0" fontId="117" fillId="0" borderId="0" xfId="37404" applyFont="1" applyFill="1"/>
    <xf numFmtId="0" fontId="117" fillId="0" borderId="0" xfId="37408" applyFont="1" applyFill="1"/>
    <xf numFmtId="43" fontId="117" fillId="0" borderId="0" xfId="103" applyFont="1" applyFill="1" applyAlignment="1">
      <alignment horizontal="center"/>
    </xf>
    <xf numFmtId="166" fontId="117" fillId="0" borderId="0" xfId="103" applyNumberFormat="1" applyFont="1" applyFill="1"/>
    <xf numFmtId="166" fontId="117" fillId="0" borderId="0" xfId="37404" applyNumberFormat="1" applyFont="1" applyFill="1"/>
    <xf numFmtId="0" fontId="118" fillId="0" borderId="0" xfId="0" applyFont="1" applyFill="1"/>
    <xf numFmtId="0" fontId="117" fillId="0" borderId="0" xfId="37404" applyFont="1"/>
    <xf numFmtId="166" fontId="117" fillId="0" borderId="0" xfId="103" applyNumberFormat="1" applyFont="1"/>
    <xf numFmtId="0" fontId="118" fillId="0" borderId="0" xfId="0" applyFont="1"/>
    <xf numFmtId="0" fontId="117" fillId="76" borderId="0" xfId="37404" applyFont="1" applyFill="1"/>
    <xf numFmtId="166" fontId="117" fillId="76" borderId="0" xfId="37404" applyNumberFormat="1" applyFont="1" applyFill="1"/>
    <xf numFmtId="166" fontId="108" fillId="0" borderId="0" xfId="1" applyNumberFormat="1" applyFont="1"/>
    <xf numFmtId="0" fontId="119" fillId="0" borderId="0" xfId="37408" applyFont="1" applyFill="1"/>
    <xf numFmtId="43" fontId="117" fillId="0" borderId="0" xfId="103" applyFont="1" applyFill="1"/>
    <xf numFmtId="166" fontId="117" fillId="74" borderId="0" xfId="37404" applyNumberFormat="1" applyFont="1" applyFill="1"/>
    <xf numFmtId="43" fontId="117" fillId="74" borderId="0" xfId="103" applyFont="1" applyFill="1"/>
    <xf numFmtId="164" fontId="117" fillId="74" borderId="0" xfId="37404" applyNumberFormat="1" applyFont="1" applyFill="1"/>
    <xf numFmtId="9" fontId="117" fillId="0" borderId="0" xfId="12512" applyFont="1" applyFill="1"/>
    <xf numFmtId="0" fontId="117" fillId="78" borderId="0" xfId="37404" applyFont="1" applyFill="1"/>
    <xf numFmtId="0" fontId="118" fillId="78" borderId="0" xfId="0" applyFont="1" applyFill="1"/>
    <xf numFmtId="0" fontId="119" fillId="78" borderId="0" xfId="37408" applyFont="1" applyFill="1"/>
    <xf numFmtId="43" fontId="117" fillId="78" borderId="0" xfId="103" applyFont="1" applyFill="1"/>
    <xf numFmtId="43" fontId="117" fillId="78" borderId="0" xfId="103" applyFont="1" applyFill="1" applyAlignment="1">
      <alignment horizontal="center"/>
    </xf>
    <xf numFmtId="166" fontId="117" fillId="78" borderId="0" xfId="103" applyNumberFormat="1" applyFont="1" applyFill="1"/>
    <xf numFmtId="166" fontId="117" fillId="78" borderId="0" xfId="37404" applyNumberFormat="1" applyFont="1" applyFill="1"/>
    <xf numFmtId="164" fontId="117" fillId="78" borderId="0" xfId="37404" applyNumberFormat="1" applyFont="1" applyFill="1"/>
    <xf numFmtId="9" fontId="117" fillId="78" borderId="0" xfId="12512" applyFont="1" applyFill="1"/>
    <xf numFmtId="0" fontId="117" fillId="78" borderId="0" xfId="37408" applyFont="1" applyFill="1"/>
    <xf numFmtId="166" fontId="0" fillId="77" borderId="0" xfId="1" applyNumberFormat="1" applyFont="1" applyFill="1" applyBorder="1" applyAlignment="1">
      <alignment horizontal="right"/>
    </xf>
    <xf numFmtId="164" fontId="3" fillId="6" borderId="367" xfId="2" applyNumberFormat="1" applyFont="1" applyFill="1" applyBorder="1" applyAlignment="1">
      <alignment horizontal="right"/>
    </xf>
    <xf numFmtId="166" fontId="102" fillId="0" borderId="0" xfId="1" applyNumberFormat="1" applyFont="1" applyBorder="1"/>
    <xf numFmtId="43" fontId="102" fillId="77" borderId="0" xfId="1" applyNumberFormat="1" applyFont="1" applyFill="1"/>
    <xf numFmtId="43" fontId="9" fillId="75" borderId="0" xfId="1" applyFont="1" applyFill="1"/>
    <xf numFmtId="43" fontId="9" fillId="74" borderId="0" xfId="1" applyFont="1" applyFill="1"/>
    <xf numFmtId="0" fontId="3" fillId="74" borderId="0" xfId="0" applyFont="1" applyFill="1" applyBorder="1" applyAlignment="1">
      <alignment horizontal="center" vertical="center" textRotation="90"/>
    </xf>
    <xf numFmtId="0" fontId="97" fillId="0" borderId="0" xfId="0" applyFont="1" applyFill="1" applyBorder="1" applyAlignment="1">
      <alignment horizontal="right"/>
    </xf>
    <xf numFmtId="44" fontId="97" fillId="0" borderId="0" xfId="0" applyNumberFormat="1" applyFont="1" applyFill="1" applyBorder="1"/>
    <xf numFmtId="44" fontId="11" fillId="81" borderId="1" xfId="2" applyFont="1" applyFill="1" applyBorder="1"/>
    <xf numFmtId="0" fontId="0" fillId="6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9" xfId="0" applyFont="1" applyFill="1" applyBorder="1" applyAlignment="1">
      <alignment horizontal="center"/>
    </xf>
    <xf numFmtId="0" fontId="3" fillId="6" borderId="36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5" borderId="337" xfId="0" applyFont="1" applyFill="1" applyBorder="1" applyAlignment="1">
      <alignment horizontal="center" vertical="center" textRotation="90"/>
    </xf>
    <xf numFmtId="0" fontId="3" fillId="74" borderId="337" xfId="0" applyFont="1" applyFill="1" applyBorder="1" applyAlignment="1">
      <alignment horizontal="center" vertical="center" textRotation="90"/>
    </xf>
    <xf numFmtId="0" fontId="69" fillId="84" borderId="0" xfId="0" applyFont="1" applyFill="1" applyAlignment="1">
      <alignment horizontal="center"/>
    </xf>
    <xf numFmtId="0" fontId="69" fillId="84" borderId="0" xfId="0" applyFont="1" applyFill="1" applyAlignment="1">
      <alignment horizontal="center" wrapText="1"/>
    </xf>
    <xf numFmtId="6" fontId="0" fillId="0" borderId="0" xfId="0" applyNumberFormat="1" applyAlignment="1">
      <alignment horizontal="center"/>
    </xf>
    <xf numFmtId="44" fontId="0" fillId="0" borderId="0" xfId="2" quotePrefix="1" applyFont="1" applyAlignment="1">
      <alignment horizontal="center"/>
    </xf>
    <xf numFmtId="44" fontId="0" fillId="0" borderId="0" xfId="2" applyFont="1" applyAlignment="1">
      <alignment horizontal="center"/>
    </xf>
    <xf numFmtId="0" fontId="103" fillId="76" borderId="0" xfId="37404" applyFont="1" applyFill="1" applyAlignment="1">
      <alignment horizontal="center"/>
    </xf>
  </cellXfs>
  <cellStyles count="37409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399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8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0 5" xfId="37406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0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2183 Regulated Price Out Final 6-7-2012" xfId="37408"/>
    <cellStyle name="Normal_Murrey's Jan-Dec 2012" xfId="296"/>
    <cellStyle name="Normal_Price out" xfId="4"/>
    <cellStyle name="Normal_Regulated Price Out 9-6-2011 Final HL" xfId="3740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2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1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3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1 7" xfId="37407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" xfId="37405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0"/>
  <tableStyles count="0" defaultTableStyle="TableStyleMedium2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Disposal%20Breakou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Mason%20County%20Price%20Out%20Templ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Mason%202149\Rate%20Filing\Gen%20Rate%20Filing%203-1-2021\Audit\FINAL\STAFF%20allow%20truck%20salvage%20.Mason%20GRC%20Pro%20forma%2011.30.20%20-%20(C)%20Non%20Redacted%20-%20WCI%20Analysi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.Mason%20Pro%20forma11.30.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on Pivot"/>
      <sheetName val="Kitsap Pivot"/>
      <sheetName val="Input"/>
      <sheetName val="JE Query"/>
    </sheetNames>
    <sheetDataSet>
      <sheetData sheetId="0"/>
      <sheetData sheetId="1">
        <row r="28">
          <cell r="B28">
            <v>614.22</v>
          </cell>
        </row>
      </sheetData>
      <sheetData sheetId="2">
        <row r="19">
          <cell r="B19">
            <v>172.53</v>
          </cell>
        </row>
      </sheetData>
      <sheetData sheetId="3"/>
      <sheetData sheetId="4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Container Count"/>
      <sheetName val="Revenue Summary"/>
      <sheetName val="2019 P&amp;L"/>
      <sheetName val="2020 P&amp;L"/>
      <sheetName val="Nov '19 DO025 Entry"/>
      <sheetName val="Nov '20 DO025 Entry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CD068"/>
      <sheetName val="Key"/>
      <sheetName val="Bill Area Lay Out"/>
      <sheetName val="Kits Reg Svc Codes Jan 2020"/>
      <sheetName val="Service Codes"/>
      <sheetName val="Service Codes 08-2020"/>
      <sheetName val="Service Codes 01-2019"/>
      <sheetName val="Finance Charges"/>
      <sheetName val="Service Codes (Old)"/>
    </sheetNames>
    <sheetDataSet>
      <sheetData sheetId="0"/>
      <sheetData sheetId="1">
        <row r="41">
          <cell r="L41">
            <v>3344.3999813239816</v>
          </cell>
        </row>
      </sheetData>
      <sheetData sheetId="2">
        <row r="3">
          <cell r="L3">
            <v>3151.3999813239816</v>
          </cell>
        </row>
      </sheetData>
      <sheetData sheetId="3">
        <row r="5">
          <cell r="D5">
            <v>435881.58999999991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SERVICE 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Concatenate (Area &amp;LOB &amp; Service Code)</v>
          </cell>
        </row>
      </sheetData>
      <sheetData sheetId="24">
        <row r="1">
          <cell r="A1" t="str">
            <v>Concatenate (Area &amp;LOB &amp; Service Code)</v>
          </cell>
        </row>
      </sheetData>
      <sheetData sheetId="25"/>
      <sheetData sheetId="26">
        <row r="1">
          <cell r="A1" t="str">
            <v>Concatenate (Area &amp;LOB &amp; Service Code)</v>
          </cell>
        </row>
      </sheetData>
      <sheetData sheetId="27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9 IS (C)"/>
      <sheetName val="info"/>
      <sheetName val="Master IS (C)"/>
      <sheetName val="Mason LOB (C)"/>
      <sheetName val="Allocators (C)"/>
      <sheetName val="Staff Restating Adj"/>
      <sheetName val="Restating Adj (C)"/>
      <sheetName val="Pro forma Adj (C)"/>
      <sheetName val="Rate Sheet"/>
      <sheetName val="Payroll Summary (C)"/>
      <sheetName val="Mason EE service counts"/>
      <sheetName val="Mason Co. Regulated - Price Out"/>
      <sheetName val="staff Depr Summary "/>
      <sheetName val="Kitsap Regulated - Price Out"/>
      <sheetName val="Shelton Regulated - Price Out"/>
      <sheetName val="Disposal Schedule"/>
      <sheetName val="Interject_LastPulledValues"/>
      <sheetName val="Recycle Breakout"/>
      <sheetName val="LG Total"/>
      <sheetName val="LG MSW"/>
      <sheetName val="LG Recycle"/>
      <sheetName val="LG BRG - Total"/>
      <sheetName val="LG BRG - MSW"/>
      <sheetName val="LG BRG - Recycle"/>
      <sheetName val="2184 Pro Forma-Bale Fee (C)"/>
      <sheetName val="Flow Control - Fuel Adj"/>
      <sheetName val="Tractor Haul Wages"/>
      <sheetName val="401k Accts JE Query"/>
      <sheetName val="DVP-DivCon Allocs  (C)"/>
      <sheetName val="2149_BS 11.2019"/>
      <sheetName val="2149_BS 11.2020"/>
      <sheetName val="Region OH (C)"/>
      <sheetName val="Corp-OH (C)"/>
      <sheetName val="Corp IS-BS"/>
      <sheetName val="43001 JE Query"/>
      <sheetName val="70255 JE Query"/>
      <sheetName val="70195 JE Query"/>
      <sheetName val="91010 JE Query"/>
    </sheetNames>
    <sheetDataSet>
      <sheetData sheetId="0" refreshError="1"/>
      <sheetData sheetId="1" refreshError="1"/>
      <sheetData sheetId="2">
        <row r="1">
          <cell r="B1" t="str">
            <v>Mason County Garbage Co., Inc. G-88</v>
          </cell>
        </row>
        <row r="3">
          <cell r="B3" t="str">
            <v>Test Year Ended November 30, 2020</v>
          </cell>
        </row>
        <row r="137">
          <cell r="E137">
            <v>2806104.17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 t="str">
            <v>Dec 1, 2019 - Nov 30, 2020</v>
          </cell>
        </row>
        <row r="4">
          <cell r="I4">
            <v>43800</v>
          </cell>
          <cell r="J4">
            <v>43831</v>
          </cell>
          <cell r="K4">
            <v>43862</v>
          </cell>
          <cell r="L4">
            <v>43891</v>
          </cell>
          <cell r="M4">
            <v>43922</v>
          </cell>
          <cell r="N4">
            <v>43952</v>
          </cell>
          <cell r="O4">
            <v>43983</v>
          </cell>
          <cell r="P4">
            <v>44013</v>
          </cell>
          <cell r="Q4">
            <v>44044</v>
          </cell>
          <cell r="R4">
            <v>44075</v>
          </cell>
          <cell r="S4">
            <v>44105</v>
          </cell>
          <cell r="T4">
            <v>44136</v>
          </cell>
        </row>
      </sheetData>
      <sheetData sheetId="12" refreshError="1"/>
      <sheetData sheetId="13">
        <row r="10">
          <cell r="C10" t="str">
            <v>35RW1</v>
          </cell>
          <cell r="D10" t="str">
            <v>1-35 GAL CART WEEKLY SVC</v>
          </cell>
          <cell r="E10">
            <v>17.14</v>
          </cell>
          <cell r="G10">
            <v>11133.460000000001</v>
          </cell>
          <cell r="H10">
            <v>10930.11</v>
          </cell>
          <cell r="I10">
            <v>11176.75</v>
          </cell>
          <cell r="J10">
            <v>11088.61</v>
          </cell>
          <cell r="K10">
            <v>11130.52</v>
          </cell>
          <cell r="L10">
            <v>11424.74</v>
          </cell>
          <cell r="M10">
            <v>11763.789999999999</v>
          </cell>
          <cell r="N10">
            <v>12821.735000000001</v>
          </cell>
          <cell r="O10">
            <v>12784.764999999999</v>
          </cell>
          <cell r="P10">
            <v>13.86</v>
          </cell>
          <cell r="Q10">
            <v>13.86</v>
          </cell>
          <cell r="R10">
            <v>0</v>
          </cell>
          <cell r="S10">
            <v>104282.2</v>
          </cell>
        </row>
        <row r="11">
          <cell r="C11" t="str">
            <v>48RW1</v>
          </cell>
          <cell r="D11" t="str">
            <v>1-48 GAL WEEKLY</v>
          </cell>
          <cell r="E11">
            <v>21.43</v>
          </cell>
          <cell r="G11">
            <v>7498.1399999999994</v>
          </cell>
          <cell r="H11">
            <v>7224.9</v>
          </cell>
          <cell r="I11">
            <v>7428.83</v>
          </cell>
          <cell r="J11">
            <v>7390.97</v>
          </cell>
          <cell r="K11">
            <v>7521.93</v>
          </cell>
          <cell r="L11">
            <v>7677.96</v>
          </cell>
          <cell r="M11">
            <v>7921.41</v>
          </cell>
          <cell r="N11">
            <v>8610.6749999999993</v>
          </cell>
          <cell r="O11">
            <v>8600.2349999999988</v>
          </cell>
          <cell r="P11">
            <v>0</v>
          </cell>
          <cell r="Q11">
            <v>11.74</v>
          </cell>
          <cell r="R11">
            <v>0</v>
          </cell>
          <cell r="S11">
            <v>69886.790000000008</v>
          </cell>
        </row>
        <row r="12">
          <cell r="C12" t="str">
            <v>64RW1</v>
          </cell>
          <cell r="D12" t="str">
            <v>1-64 GAL CART WEEKLY SVC</v>
          </cell>
          <cell r="E12">
            <v>25.53</v>
          </cell>
          <cell r="G12">
            <v>10004.915000000001</v>
          </cell>
          <cell r="H12">
            <v>9832.25</v>
          </cell>
          <cell r="I12">
            <v>9959.9499999999989</v>
          </cell>
          <cell r="J12">
            <v>10180.805</v>
          </cell>
          <cell r="K12">
            <v>10339.664999999999</v>
          </cell>
          <cell r="L12">
            <v>10646</v>
          </cell>
          <cell r="M12">
            <v>11102.71</v>
          </cell>
          <cell r="N12">
            <v>12442.995000000001</v>
          </cell>
          <cell r="O12">
            <v>12430.275000000001</v>
          </cell>
          <cell r="P12">
            <v>0</v>
          </cell>
          <cell r="Q12">
            <v>0</v>
          </cell>
          <cell r="R12">
            <v>0</v>
          </cell>
          <cell r="S12">
            <v>96939.565000000002</v>
          </cell>
        </row>
        <row r="13">
          <cell r="C13" t="str">
            <v>96RW1</v>
          </cell>
          <cell r="D13" t="str">
            <v>1-96 GAL CART WEEKLY SVC</v>
          </cell>
          <cell r="E13">
            <v>32.29</v>
          </cell>
          <cell r="G13">
            <v>6303.7049999999999</v>
          </cell>
          <cell r="H13">
            <v>6175.4650000000001</v>
          </cell>
          <cell r="I13">
            <v>6336.0349999999999</v>
          </cell>
          <cell r="J13">
            <v>6540.51</v>
          </cell>
          <cell r="K13">
            <v>6755.78</v>
          </cell>
          <cell r="L13">
            <v>7161.19</v>
          </cell>
          <cell r="M13">
            <v>7383.63</v>
          </cell>
          <cell r="N13">
            <v>8381.4050000000007</v>
          </cell>
          <cell r="O13">
            <v>8389.3550000000014</v>
          </cell>
          <cell r="P13">
            <v>0</v>
          </cell>
          <cell r="Q13">
            <v>0</v>
          </cell>
          <cell r="R13">
            <v>0</v>
          </cell>
          <cell r="S13">
            <v>63427.075000000004</v>
          </cell>
        </row>
        <row r="14">
          <cell r="C14" t="str">
            <v>35RE1</v>
          </cell>
          <cell r="D14" t="str">
            <v>1-35 GAL CART EOW SVC</v>
          </cell>
          <cell r="E14">
            <v>10.27</v>
          </cell>
          <cell r="G14">
            <v>3364.0349999999999</v>
          </cell>
          <cell r="H14">
            <v>3245.335</v>
          </cell>
          <cell r="I14">
            <v>3271.0349999999999</v>
          </cell>
          <cell r="J14">
            <v>3274.6</v>
          </cell>
          <cell r="K14">
            <v>3340.25</v>
          </cell>
          <cell r="L14">
            <v>3228.3850000000002</v>
          </cell>
          <cell r="M14">
            <v>3304.4250000000002</v>
          </cell>
          <cell r="N14">
            <v>3403.625</v>
          </cell>
          <cell r="O14">
            <v>3403.625</v>
          </cell>
          <cell r="P14">
            <v>0</v>
          </cell>
          <cell r="Q14">
            <v>0</v>
          </cell>
          <cell r="R14">
            <v>0</v>
          </cell>
          <cell r="S14">
            <v>29835.314999999999</v>
          </cell>
        </row>
        <row r="15">
          <cell r="C15" t="str">
            <v>48RE1</v>
          </cell>
          <cell r="D15" t="str">
            <v>1-48 GAL EOW</v>
          </cell>
          <cell r="E15">
            <v>13.52</v>
          </cell>
          <cell r="G15">
            <v>1301.2949999999998</v>
          </cell>
          <cell r="H15">
            <v>1264.1199999999999</v>
          </cell>
          <cell r="I15">
            <v>1297.9199999999998</v>
          </cell>
          <cell r="J15">
            <v>1318.2</v>
          </cell>
          <cell r="K15">
            <v>1350.65</v>
          </cell>
          <cell r="L15">
            <v>1407.43</v>
          </cell>
          <cell r="M15">
            <v>1453.42</v>
          </cell>
          <cell r="N15">
            <v>1521.125</v>
          </cell>
          <cell r="O15">
            <v>1513.885</v>
          </cell>
          <cell r="P15">
            <v>0</v>
          </cell>
          <cell r="Q15">
            <v>0</v>
          </cell>
          <cell r="R15">
            <v>0</v>
          </cell>
          <cell r="S15">
            <v>12428.045</v>
          </cell>
        </row>
        <row r="16">
          <cell r="C16" t="str">
            <v>64RE1</v>
          </cell>
          <cell r="D16" t="str">
            <v>1-64 GAL EOW</v>
          </cell>
          <cell r="E16">
            <v>16.04</v>
          </cell>
          <cell r="G16">
            <v>2063.5500000000002</v>
          </cell>
          <cell r="H16">
            <v>2025.05</v>
          </cell>
          <cell r="I16">
            <v>2073.17</v>
          </cell>
          <cell r="J16">
            <v>2029.06</v>
          </cell>
          <cell r="K16">
            <v>2059.54</v>
          </cell>
          <cell r="L16">
            <v>2076.1</v>
          </cell>
          <cell r="M16">
            <v>2114.6</v>
          </cell>
          <cell r="N16">
            <v>2315.625</v>
          </cell>
          <cell r="O16">
            <v>2300.0949999999998</v>
          </cell>
          <cell r="P16">
            <v>0</v>
          </cell>
          <cell r="Q16">
            <v>0</v>
          </cell>
          <cell r="R16">
            <v>0</v>
          </cell>
          <cell r="S16">
            <v>19056.79</v>
          </cell>
        </row>
        <row r="17">
          <cell r="C17" t="str">
            <v>96RE1</v>
          </cell>
          <cell r="D17" t="str">
            <v>1-96 GAL EOW</v>
          </cell>
          <cell r="E17">
            <v>20.03</v>
          </cell>
          <cell r="G17">
            <v>1459.175</v>
          </cell>
          <cell r="H17">
            <v>1592.395</v>
          </cell>
          <cell r="I17">
            <v>1592.395</v>
          </cell>
          <cell r="J17">
            <v>1629.4449999999999</v>
          </cell>
          <cell r="K17">
            <v>1669.5149999999999</v>
          </cell>
          <cell r="L17">
            <v>1482.2249999999999</v>
          </cell>
          <cell r="M17">
            <v>1548.3249999999998</v>
          </cell>
          <cell r="N17">
            <v>1687.095</v>
          </cell>
          <cell r="O17">
            <v>1669.7750000000001</v>
          </cell>
          <cell r="P17">
            <v>0</v>
          </cell>
          <cell r="Q17">
            <v>10.83</v>
          </cell>
          <cell r="R17">
            <v>0</v>
          </cell>
          <cell r="S17">
            <v>14341.174999999997</v>
          </cell>
        </row>
        <row r="18">
          <cell r="C18" t="str">
            <v>35RM1</v>
          </cell>
          <cell r="D18" t="str">
            <v>1-35 GAL MONTHLY</v>
          </cell>
          <cell r="E18">
            <v>6.17</v>
          </cell>
          <cell r="G18">
            <v>194.35499999999999</v>
          </cell>
          <cell r="H18">
            <v>191.27</v>
          </cell>
          <cell r="I18">
            <v>209.78</v>
          </cell>
          <cell r="J18">
            <v>212.86500000000001</v>
          </cell>
          <cell r="K18">
            <v>200.52500000000001</v>
          </cell>
          <cell r="L18">
            <v>188.185</v>
          </cell>
          <cell r="M18">
            <v>194.35499999999999</v>
          </cell>
          <cell r="N18">
            <v>184.965</v>
          </cell>
          <cell r="O18">
            <v>184.965</v>
          </cell>
          <cell r="P18">
            <v>0</v>
          </cell>
          <cell r="Q18">
            <v>0</v>
          </cell>
          <cell r="R18">
            <v>0</v>
          </cell>
          <cell r="S18">
            <v>1761.2649999999999</v>
          </cell>
        </row>
        <row r="19">
          <cell r="C19" t="str">
            <v>48RM1</v>
          </cell>
          <cell r="D19" t="str">
            <v>1-48 GAL MONTHLY</v>
          </cell>
          <cell r="E19">
            <v>7.73</v>
          </cell>
          <cell r="G19">
            <v>23.19</v>
          </cell>
          <cell r="H19">
            <v>23.19</v>
          </cell>
          <cell r="I19">
            <v>7.73</v>
          </cell>
          <cell r="J19">
            <v>15.46</v>
          </cell>
          <cell r="K19">
            <v>15.46</v>
          </cell>
          <cell r="L19">
            <v>23.19</v>
          </cell>
          <cell r="M19">
            <v>23.19</v>
          </cell>
          <cell r="N19">
            <v>16.260000000000002</v>
          </cell>
          <cell r="O19">
            <v>16.260000000000002</v>
          </cell>
          <cell r="P19">
            <v>0</v>
          </cell>
          <cell r="Q19">
            <v>0</v>
          </cell>
          <cell r="R19">
            <v>0</v>
          </cell>
          <cell r="S19">
            <v>163.92999999999998</v>
          </cell>
        </row>
        <row r="20">
          <cell r="C20" t="str">
            <v>64RM1</v>
          </cell>
          <cell r="D20" t="str">
            <v>1-64 GAL MONTHLY</v>
          </cell>
          <cell r="E20">
            <v>9.08</v>
          </cell>
          <cell r="G20">
            <v>72.64</v>
          </cell>
          <cell r="H20">
            <v>77.180000000000007</v>
          </cell>
          <cell r="I20">
            <v>77.180000000000007</v>
          </cell>
          <cell r="J20">
            <v>81.72</v>
          </cell>
          <cell r="K20">
            <v>81.72</v>
          </cell>
          <cell r="L20">
            <v>63.56</v>
          </cell>
          <cell r="M20">
            <v>63.56</v>
          </cell>
          <cell r="N20">
            <v>67.2</v>
          </cell>
          <cell r="O20">
            <v>67.2</v>
          </cell>
          <cell r="P20">
            <v>0</v>
          </cell>
          <cell r="Q20">
            <v>0</v>
          </cell>
          <cell r="R20">
            <v>0</v>
          </cell>
          <cell r="S20">
            <v>651.96000000000015</v>
          </cell>
        </row>
        <row r="21">
          <cell r="C21" t="str">
            <v>96RM1</v>
          </cell>
          <cell r="D21" t="str">
            <v>1-96 GAL MONTHLY</v>
          </cell>
          <cell r="E21">
            <v>11.12</v>
          </cell>
          <cell r="G21">
            <v>55.599999999999994</v>
          </cell>
          <cell r="H21">
            <v>50.04</v>
          </cell>
          <cell r="I21">
            <v>50.04</v>
          </cell>
          <cell r="J21">
            <v>55.6</v>
          </cell>
          <cell r="K21">
            <v>66.72</v>
          </cell>
          <cell r="L21">
            <v>72.28</v>
          </cell>
          <cell r="M21">
            <v>72.28</v>
          </cell>
          <cell r="N21">
            <v>59.25</v>
          </cell>
          <cell r="O21">
            <v>59.25</v>
          </cell>
          <cell r="P21">
            <v>0</v>
          </cell>
          <cell r="Q21">
            <v>0</v>
          </cell>
          <cell r="R21">
            <v>0</v>
          </cell>
          <cell r="S21">
            <v>541.05999999999995</v>
          </cell>
        </row>
        <row r="22">
          <cell r="C22" t="str">
            <v>DRVNRW1</v>
          </cell>
          <cell r="D22" t="str">
            <v>DRIVE IN UP TO 250'</v>
          </cell>
          <cell r="E22">
            <v>4.8063000000000002</v>
          </cell>
          <cell r="G22">
            <v>92.46</v>
          </cell>
          <cell r="H22">
            <v>96.8</v>
          </cell>
          <cell r="I22">
            <v>99.21</v>
          </cell>
          <cell r="J22">
            <v>101.545</v>
          </cell>
          <cell r="K22">
            <v>112.245</v>
          </cell>
          <cell r="L22">
            <v>105.82</v>
          </cell>
          <cell r="M22">
            <v>105.82</v>
          </cell>
          <cell r="N22">
            <v>113.63500000000001</v>
          </cell>
          <cell r="O22">
            <v>107.625</v>
          </cell>
          <cell r="P22">
            <v>0</v>
          </cell>
          <cell r="Q22">
            <v>0</v>
          </cell>
          <cell r="R22">
            <v>0</v>
          </cell>
          <cell r="S22">
            <v>935.15999999999985</v>
          </cell>
        </row>
        <row r="23">
          <cell r="C23" t="str">
            <v>DRVNRE1</v>
          </cell>
          <cell r="D23" t="str">
            <v>DRIVE IN UP TO 250'-EOW</v>
          </cell>
          <cell r="E23">
            <v>2.4087000000000001</v>
          </cell>
          <cell r="G23">
            <v>24.05</v>
          </cell>
          <cell r="H23">
            <v>24.05</v>
          </cell>
          <cell r="I23">
            <v>24.05</v>
          </cell>
          <cell r="J23">
            <v>24.05</v>
          </cell>
          <cell r="K23">
            <v>24.05</v>
          </cell>
          <cell r="L23">
            <v>24.05</v>
          </cell>
          <cell r="M23">
            <v>24.05</v>
          </cell>
          <cell r="N23">
            <v>23.93</v>
          </cell>
          <cell r="O23">
            <v>23.93</v>
          </cell>
          <cell r="P23">
            <v>0</v>
          </cell>
          <cell r="Q23">
            <v>0</v>
          </cell>
          <cell r="R23">
            <v>0</v>
          </cell>
          <cell r="S23">
            <v>216.21000000000004</v>
          </cell>
        </row>
        <row r="24">
          <cell r="C24" t="str">
            <v>DRVNRW2</v>
          </cell>
          <cell r="D24" t="str">
            <v>DRIVE IN OVER 250'</v>
          </cell>
          <cell r="E24">
            <v>6.0619999999999994</v>
          </cell>
          <cell r="G24">
            <v>6.06</v>
          </cell>
          <cell r="H24">
            <v>6.06</v>
          </cell>
          <cell r="I24">
            <v>6.06</v>
          </cell>
          <cell r="J24">
            <v>6.06</v>
          </cell>
          <cell r="K24">
            <v>8.75</v>
          </cell>
          <cell r="L24">
            <v>12.12</v>
          </cell>
          <cell r="M24">
            <v>12.12</v>
          </cell>
          <cell r="N24">
            <v>12.12</v>
          </cell>
          <cell r="O24">
            <v>12.12</v>
          </cell>
          <cell r="P24">
            <v>0</v>
          </cell>
          <cell r="Q24">
            <v>0</v>
          </cell>
          <cell r="R24">
            <v>0</v>
          </cell>
          <cell r="S24">
            <v>81.47</v>
          </cell>
        </row>
        <row r="25">
          <cell r="C25" t="str">
            <v>DRVNRE2</v>
          </cell>
          <cell r="D25" t="str">
            <v>DRIVE IN OVER 250'-EOW</v>
          </cell>
          <cell r="E25">
            <v>3.0379999999999998</v>
          </cell>
          <cell r="G25">
            <v>9.09</v>
          </cell>
          <cell r="H25">
            <v>9.09</v>
          </cell>
          <cell r="I25">
            <v>9.09</v>
          </cell>
          <cell r="J25">
            <v>9.09</v>
          </cell>
          <cell r="K25">
            <v>9.09</v>
          </cell>
          <cell r="L25">
            <v>9.09</v>
          </cell>
          <cell r="M25">
            <v>9.09</v>
          </cell>
          <cell r="N25">
            <v>9.09</v>
          </cell>
          <cell r="O25">
            <v>9.09</v>
          </cell>
          <cell r="P25">
            <v>0</v>
          </cell>
          <cell r="Q25">
            <v>0</v>
          </cell>
          <cell r="R25">
            <v>0</v>
          </cell>
          <cell r="S25">
            <v>81.810000000000016</v>
          </cell>
        </row>
        <row r="26">
          <cell r="C26" t="str">
            <v>REDELIVER</v>
          </cell>
          <cell r="D26" t="str">
            <v>DELIVERY CHARGE</v>
          </cell>
          <cell r="E26">
            <v>16.940000000000001</v>
          </cell>
          <cell r="G26">
            <v>33.880000000000003</v>
          </cell>
          <cell r="H26">
            <v>16.940000000000001</v>
          </cell>
          <cell r="I26">
            <v>52.32</v>
          </cell>
          <cell r="J26">
            <v>0</v>
          </cell>
          <cell r="K26">
            <v>101.64</v>
          </cell>
          <cell r="L26">
            <v>0</v>
          </cell>
          <cell r="M26">
            <v>33.880000000000003</v>
          </cell>
          <cell r="N26">
            <v>84.7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323.36</v>
          </cell>
        </row>
        <row r="27">
          <cell r="C27" t="str">
            <v>RESTART</v>
          </cell>
          <cell r="D27" t="str">
            <v>SERVICE RESTART FEE</v>
          </cell>
          <cell r="E27">
            <v>5.78</v>
          </cell>
          <cell r="G27">
            <v>403.60999999999996</v>
          </cell>
          <cell r="H27">
            <v>5.31</v>
          </cell>
          <cell r="I27">
            <v>324.09999999999997</v>
          </cell>
          <cell r="J27">
            <v>38.58</v>
          </cell>
          <cell r="K27">
            <v>0</v>
          </cell>
          <cell r="L27">
            <v>0</v>
          </cell>
          <cell r="M27">
            <v>331.28999999999996</v>
          </cell>
          <cell r="N27">
            <v>16.399999999999999</v>
          </cell>
          <cell r="O27">
            <v>11.09</v>
          </cell>
          <cell r="P27">
            <v>0</v>
          </cell>
          <cell r="Q27">
            <v>0</v>
          </cell>
          <cell r="R27">
            <v>0</v>
          </cell>
          <cell r="S27">
            <v>1130.3799999999999</v>
          </cell>
        </row>
        <row r="28">
          <cell r="C28" t="str">
            <v>35ROCC1</v>
          </cell>
          <cell r="D28" t="str">
            <v>1-35 GAL ON CALL PICKUP</v>
          </cell>
          <cell r="E28">
            <v>6.49</v>
          </cell>
          <cell r="G28">
            <v>333.17999999999995</v>
          </cell>
          <cell r="H28">
            <v>314.66999999999996</v>
          </cell>
          <cell r="I28">
            <v>277.65000000000003</v>
          </cell>
          <cell r="J28">
            <v>357.85999999999996</v>
          </cell>
          <cell r="K28">
            <v>438.07</v>
          </cell>
          <cell r="L28">
            <v>505.40999999999997</v>
          </cell>
          <cell r="M28">
            <v>647.84999999999991</v>
          </cell>
          <cell r="N28">
            <v>616.55000000000007</v>
          </cell>
          <cell r="O28">
            <v>-6.17</v>
          </cell>
          <cell r="P28">
            <v>0</v>
          </cell>
          <cell r="Q28">
            <v>6.49</v>
          </cell>
          <cell r="R28">
            <v>0</v>
          </cell>
          <cell r="S28">
            <v>3491.5599999999995</v>
          </cell>
        </row>
        <row r="29">
          <cell r="C29" t="str">
            <v>48ROCC1</v>
          </cell>
          <cell r="D29" t="str">
            <v>1-48 GAL ON CALL PICKUP</v>
          </cell>
          <cell r="E29">
            <v>8.1300000000000008</v>
          </cell>
          <cell r="G29">
            <v>61.84</v>
          </cell>
          <cell r="H29">
            <v>46.38</v>
          </cell>
          <cell r="I29">
            <v>61.84</v>
          </cell>
          <cell r="J29">
            <v>92.76</v>
          </cell>
          <cell r="K29">
            <v>115.95</v>
          </cell>
          <cell r="L29">
            <v>131.41</v>
          </cell>
          <cell r="M29">
            <v>139.13999999999999</v>
          </cell>
          <cell r="N29">
            <v>178.86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828.18</v>
          </cell>
        </row>
        <row r="30">
          <cell r="C30" t="str">
            <v>64ROCC1</v>
          </cell>
          <cell r="D30" t="str">
            <v>1-64 GAL ON CALL PICKUP</v>
          </cell>
          <cell r="E30">
            <v>9.6</v>
          </cell>
          <cell r="G30">
            <v>72.64</v>
          </cell>
          <cell r="H30">
            <v>18.16</v>
          </cell>
          <cell r="I30">
            <v>9.08</v>
          </cell>
          <cell r="J30">
            <v>54.48</v>
          </cell>
          <cell r="K30">
            <v>45.4</v>
          </cell>
          <cell r="L30">
            <v>81.72</v>
          </cell>
          <cell r="M30">
            <v>63.56</v>
          </cell>
          <cell r="N30">
            <v>76.8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421.84000000000003</v>
          </cell>
        </row>
        <row r="31">
          <cell r="C31" t="str">
            <v>WLKNRE1</v>
          </cell>
          <cell r="D31" t="str">
            <v>WALK IN 5'-25'-EOW</v>
          </cell>
          <cell r="E31">
            <v>1.2803</v>
          </cell>
          <cell r="G31">
            <v>7.33</v>
          </cell>
          <cell r="H31">
            <v>7.97</v>
          </cell>
          <cell r="I31">
            <v>8.61</v>
          </cell>
          <cell r="J31">
            <v>7.97</v>
          </cell>
          <cell r="K31">
            <v>7.97</v>
          </cell>
          <cell r="L31">
            <v>7.0149999999999997</v>
          </cell>
          <cell r="M31">
            <v>7.6549999999999994</v>
          </cell>
          <cell r="N31">
            <v>6.6950000000000003</v>
          </cell>
          <cell r="O31">
            <v>6.6950000000000003</v>
          </cell>
          <cell r="P31">
            <v>0</v>
          </cell>
          <cell r="Q31">
            <v>0</v>
          </cell>
          <cell r="R31">
            <v>0</v>
          </cell>
          <cell r="S31">
            <v>67.91</v>
          </cell>
        </row>
        <row r="32">
          <cell r="C32" t="str">
            <v>WLKNRW1</v>
          </cell>
          <cell r="D32" t="str">
            <v>WALK IN 5'-25'</v>
          </cell>
          <cell r="E32">
            <v>2.5547</v>
          </cell>
          <cell r="G32">
            <v>33.68</v>
          </cell>
          <cell r="H32">
            <v>30.605</v>
          </cell>
          <cell r="I32">
            <v>30.605</v>
          </cell>
          <cell r="J32">
            <v>32.585000000000001</v>
          </cell>
          <cell r="K32">
            <v>32.585000000000001</v>
          </cell>
          <cell r="L32">
            <v>33.15</v>
          </cell>
          <cell r="M32">
            <v>33.15</v>
          </cell>
          <cell r="N32">
            <v>35.134999999999998</v>
          </cell>
          <cell r="O32">
            <v>35.134999999999998</v>
          </cell>
          <cell r="P32">
            <v>0</v>
          </cell>
          <cell r="Q32">
            <v>0</v>
          </cell>
          <cell r="R32">
            <v>0</v>
          </cell>
          <cell r="S32">
            <v>296.63</v>
          </cell>
        </row>
        <row r="33">
          <cell r="C33" t="str">
            <v>WLKNRW2</v>
          </cell>
          <cell r="D33" t="str">
            <v>WALK IN OVER 25'</v>
          </cell>
          <cell r="E33">
            <v>2.5547</v>
          </cell>
          <cell r="G33">
            <v>14.889999999999999</v>
          </cell>
          <cell r="H33">
            <v>13.09</v>
          </cell>
          <cell r="I33">
            <v>13.09</v>
          </cell>
          <cell r="J33">
            <v>13.77</v>
          </cell>
          <cell r="K33">
            <v>13.77</v>
          </cell>
          <cell r="L33">
            <v>13.43</v>
          </cell>
          <cell r="M33">
            <v>13.79</v>
          </cell>
          <cell r="N33">
            <v>13.77</v>
          </cell>
          <cell r="O33">
            <v>13.77</v>
          </cell>
          <cell r="P33">
            <v>0</v>
          </cell>
          <cell r="Q33">
            <v>0</v>
          </cell>
          <cell r="R33">
            <v>0</v>
          </cell>
          <cell r="S33">
            <v>123.36999999999998</v>
          </cell>
        </row>
        <row r="34">
          <cell r="C34" t="str">
            <v>96ROCC1</v>
          </cell>
          <cell r="D34" t="str">
            <v>1-96 GAL ON CALL PICKUP</v>
          </cell>
          <cell r="E34">
            <v>11.85</v>
          </cell>
          <cell r="G34">
            <v>144.56</v>
          </cell>
          <cell r="H34">
            <v>88.960000000000008</v>
          </cell>
          <cell r="I34">
            <v>144.56</v>
          </cell>
          <cell r="J34">
            <v>100.08</v>
          </cell>
          <cell r="K34">
            <v>133.44</v>
          </cell>
          <cell r="L34">
            <v>122.32000000000001</v>
          </cell>
          <cell r="M34">
            <v>166.8</v>
          </cell>
          <cell r="N34">
            <v>225.15</v>
          </cell>
          <cell r="O34">
            <v>0</v>
          </cell>
          <cell r="P34">
            <v>0</v>
          </cell>
          <cell r="Q34">
            <v>11.85</v>
          </cell>
          <cell r="R34">
            <v>0</v>
          </cell>
          <cell r="S34">
            <v>1137.72</v>
          </cell>
        </row>
        <row r="35">
          <cell r="C35" t="str">
            <v>EXPUR</v>
          </cell>
          <cell r="D35" t="str">
            <v>EXTRA PICKUP</v>
          </cell>
          <cell r="E35">
            <v>4.55</v>
          </cell>
          <cell r="G35">
            <v>102.24</v>
          </cell>
          <cell r="H35">
            <v>48.99</v>
          </cell>
          <cell r="I35">
            <v>34.08</v>
          </cell>
          <cell r="J35">
            <v>75.13</v>
          </cell>
          <cell r="K35">
            <v>166.14</v>
          </cell>
          <cell r="L35">
            <v>102.53</v>
          </cell>
          <cell r="M35">
            <v>287.55</v>
          </cell>
          <cell r="N35">
            <v>209.32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1025.98</v>
          </cell>
        </row>
        <row r="36">
          <cell r="C36" t="str">
            <v>EXTRAR</v>
          </cell>
          <cell r="D36" t="str">
            <v>EXTRA CAN/BAGS</v>
          </cell>
          <cell r="E36">
            <v>4.55</v>
          </cell>
          <cell r="G36">
            <v>962.76</v>
          </cell>
          <cell r="H36">
            <v>685.86</v>
          </cell>
          <cell r="I36">
            <v>511.2</v>
          </cell>
          <cell r="J36">
            <v>903.12</v>
          </cell>
          <cell r="K36">
            <v>766.8</v>
          </cell>
          <cell r="L36">
            <v>907.38</v>
          </cell>
          <cell r="M36">
            <v>1192.8</v>
          </cell>
          <cell r="N36">
            <v>1415.05</v>
          </cell>
          <cell r="O36">
            <v>27.3</v>
          </cell>
          <cell r="P36">
            <v>0</v>
          </cell>
          <cell r="Q36">
            <v>0</v>
          </cell>
          <cell r="R36">
            <v>0</v>
          </cell>
          <cell r="S36">
            <v>7372.27</v>
          </cell>
        </row>
        <row r="37">
          <cell r="C37" t="str">
            <v>OFOWR</v>
          </cell>
          <cell r="D37" t="str">
            <v>OVERFILL/OVERWEIGHT CHG</v>
          </cell>
          <cell r="E37">
            <v>4.26</v>
          </cell>
          <cell r="G37">
            <v>864.78</v>
          </cell>
          <cell r="H37">
            <v>532.5</v>
          </cell>
          <cell r="I37">
            <v>374.88</v>
          </cell>
          <cell r="J37">
            <v>498.42</v>
          </cell>
          <cell r="K37">
            <v>562.31999999999994</v>
          </cell>
          <cell r="L37">
            <v>647.52</v>
          </cell>
          <cell r="M37">
            <v>613.43999999999994</v>
          </cell>
          <cell r="N37">
            <v>878.15</v>
          </cell>
          <cell r="O37">
            <v>13.65</v>
          </cell>
          <cell r="P37">
            <v>0</v>
          </cell>
          <cell r="Q37">
            <v>-4.26</v>
          </cell>
          <cell r="R37">
            <v>0</v>
          </cell>
          <cell r="S37">
            <v>4981.3999999999987</v>
          </cell>
        </row>
        <row r="38">
          <cell r="C38" t="str">
            <v>SP</v>
          </cell>
          <cell r="D38" t="str">
            <v>SPECIAL PICKUP</v>
          </cell>
          <cell r="E38">
            <v>151.68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150</v>
          </cell>
          <cell r="N38">
            <v>151.68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301.68</v>
          </cell>
        </row>
        <row r="39">
          <cell r="C39" t="str">
            <v>ADJOTHR</v>
          </cell>
          <cell r="D39" t="str">
            <v>ADJUSTMENT</v>
          </cell>
          <cell r="E39">
            <v>0</v>
          </cell>
          <cell r="G39">
            <v>-242.04</v>
          </cell>
          <cell r="H39">
            <v>0</v>
          </cell>
          <cell r="I39">
            <v>-3.13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-5.34</v>
          </cell>
          <cell r="S39">
            <v>-250.51</v>
          </cell>
        </row>
        <row r="40">
          <cell r="S40">
            <v>435881.58999999991</v>
          </cell>
        </row>
        <row r="44">
          <cell r="C44" t="str">
            <v>DRVNRE1RECY</v>
          </cell>
          <cell r="D44" t="str">
            <v>DRIVE IN UP TO 250 EOW-RE</v>
          </cell>
          <cell r="E44">
            <v>2.6256999999999997</v>
          </cell>
          <cell r="G44">
            <v>37.204999999999998</v>
          </cell>
          <cell r="H44">
            <v>39.954999999999998</v>
          </cell>
          <cell r="I44">
            <v>41.265000000000001</v>
          </cell>
          <cell r="J44">
            <v>41.92</v>
          </cell>
          <cell r="K44">
            <v>48.32</v>
          </cell>
          <cell r="L44">
            <v>44.54</v>
          </cell>
          <cell r="M44">
            <v>44.54</v>
          </cell>
          <cell r="N44">
            <v>50.435000000000002</v>
          </cell>
          <cell r="O44">
            <v>45.195</v>
          </cell>
          <cell r="P44">
            <v>0</v>
          </cell>
          <cell r="Q44">
            <v>0</v>
          </cell>
          <cell r="R44">
            <v>0</v>
          </cell>
          <cell r="S44">
            <v>393.375</v>
          </cell>
        </row>
        <row r="45">
          <cell r="C45" t="str">
            <v>DRVNRE1RECYMA</v>
          </cell>
          <cell r="D45" t="str">
            <v>DRIVE IN UP TO 250 EOW-RE</v>
          </cell>
          <cell r="E45">
            <v>2.6256999999999997</v>
          </cell>
          <cell r="G45">
            <v>36.82</v>
          </cell>
          <cell r="H45">
            <v>34.19</v>
          </cell>
          <cell r="I45">
            <v>34.19</v>
          </cell>
          <cell r="J45">
            <v>37.69</v>
          </cell>
          <cell r="K45">
            <v>39.450000000000003</v>
          </cell>
          <cell r="L45">
            <v>39.450000000000003</v>
          </cell>
          <cell r="M45">
            <v>39.450000000000003</v>
          </cell>
          <cell r="N45">
            <v>36.82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298.05999999999995</v>
          </cell>
        </row>
        <row r="46">
          <cell r="C46" t="str">
            <v>DRVNRE2RECY</v>
          </cell>
          <cell r="D46" t="str">
            <v>DRIVE IN OVER 250 EOW-REC</v>
          </cell>
          <cell r="E46">
            <v>3.2984</v>
          </cell>
          <cell r="G46">
            <v>13.16</v>
          </cell>
          <cell r="H46">
            <v>13.16</v>
          </cell>
          <cell r="I46">
            <v>13.16</v>
          </cell>
          <cell r="J46">
            <v>13.16</v>
          </cell>
          <cell r="K46">
            <v>14.81</v>
          </cell>
          <cell r="L46">
            <v>16.45</v>
          </cell>
          <cell r="M46">
            <v>16.45</v>
          </cell>
          <cell r="N46">
            <v>16.45</v>
          </cell>
          <cell r="O46">
            <v>16.45</v>
          </cell>
          <cell r="P46">
            <v>0</v>
          </cell>
          <cell r="Q46">
            <v>0</v>
          </cell>
          <cell r="R46">
            <v>0</v>
          </cell>
          <cell r="S46">
            <v>133.25</v>
          </cell>
        </row>
        <row r="47">
          <cell r="C47" t="str">
            <v>RECYR</v>
          </cell>
          <cell r="D47" t="str">
            <v>RESIDENTIAL RECYCLE</v>
          </cell>
          <cell r="E47">
            <v>8.33</v>
          </cell>
          <cell r="G47">
            <v>18581.175000000003</v>
          </cell>
          <cell r="H47">
            <v>18199.449999999997</v>
          </cell>
          <cell r="I47">
            <v>18563.3</v>
          </cell>
          <cell r="J47">
            <v>18626.38</v>
          </cell>
          <cell r="K47">
            <v>18862.27</v>
          </cell>
          <cell r="L47">
            <v>19231.215</v>
          </cell>
          <cell r="M47">
            <v>19706.425000000003</v>
          </cell>
          <cell r="N47">
            <v>19825.805</v>
          </cell>
          <cell r="O47">
            <v>19774.165000000001</v>
          </cell>
          <cell r="P47">
            <v>6.25</v>
          </cell>
          <cell r="Q47">
            <v>22.92</v>
          </cell>
          <cell r="R47">
            <v>0</v>
          </cell>
          <cell r="S47">
            <v>171399.35500000004</v>
          </cell>
          <cell r="U47">
            <v>2230.633253301321</v>
          </cell>
          <cell r="V47">
            <v>2184.8079231692673</v>
          </cell>
          <cell r="W47">
            <v>2228.4873949579833</v>
          </cell>
          <cell r="X47">
            <v>2236.0600240096041</v>
          </cell>
          <cell r="Y47">
            <v>2264.3781512605042</v>
          </cell>
          <cell r="Z47">
            <v>2308.6692677070828</v>
          </cell>
          <cell r="AA47">
            <v>2365.7172869147662</v>
          </cell>
          <cell r="AB47">
            <v>2380.0486194477789</v>
          </cell>
          <cell r="AC47">
            <v>2373.8493397358943</v>
          </cell>
          <cell r="AF47">
            <v>0</v>
          </cell>
        </row>
        <row r="48">
          <cell r="C48" t="str">
            <v>RECYONLY</v>
          </cell>
          <cell r="D48" t="str">
            <v>RECYCLE SERVICE ONLY</v>
          </cell>
          <cell r="E48">
            <v>8.83</v>
          </cell>
          <cell r="G48">
            <v>90.51</v>
          </cell>
          <cell r="H48">
            <v>88.3</v>
          </cell>
          <cell r="I48">
            <v>88.3</v>
          </cell>
          <cell r="J48">
            <v>88.3</v>
          </cell>
          <cell r="K48">
            <v>88.3</v>
          </cell>
          <cell r="L48">
            <v>88.3</v>
          </cell>
          <cell r="M48">
            <v>92.72</v>
          </cell>
          <cell r="N48">
            <v>104.19499999999999</v>
          </cell>
          <cell r="O48">
            <v>104.19499999999999</v>
          </cell>
          <cell r="P48">
            <v>0</v>
          </cell>
          <cell r="Q48">
            <v>0</v>
          </cell>
          <cell r="R48">
            <v>0</v>
          </cell>
          <cell r="S48">
            <v>833.11999999999989</v>
          </cell>
        </row>
        <row r="49">
          <cell r="C49" t="str">
            <v>RECYCRMA</v>
          </cell>
          <cell r="D49" t="str">
            <v>RECYCLE MONTHLY ARREARS</v>
          </cell>
          <cell r="E49">
            <v>8.33</v>
          </cell>
          <cell r="G49">
            <v>1034.3</v>
          </cell>
          <cell r="H49">
            <v>999.6</v>
          </cell>
          <cell r="I49">
            <v>987.11</v>
          </cell>
          <cell r="J49">
            <v>994.05</v>
          </cell>
          <cell r="K49">
            <v>1024.5899999999999</v>
          </cell>
          <cell r="L49">
            <v>1053.7649999999999</v>
          </cell>
          <cell r="M49">
            <v>1084.2950000000001</v>
          </cell>
          <cell r="N49">
            <v>1082.9100000000001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8260.6200000000008</v>
          </cell>
        </row>
        <row r="50">
          <cell r="C50" t="str">
            <v>RECYRNB</v>
          </cell>
          <cell r="D50" t="str">
            <v>RECYCLE PROGRAM W/O BINS</v>
          </cell>
          <cell r="E50">
            <v>8.33</v>
          </cell>
          <cell r="G50">
            <v>16.66</v>
          </cell>
          <cell r="H50">
            <v>16.66</v>
          </cell>
          <cell r="I50">
            <v>16.66</v>
          </cell>
          <cell r="J50">
            <v>12.494999999999999</v>
          </cell>
          <cell r="K50">
            <v>12.494999999999999</v>
          </cell>
          <cell r="L50">
            <v>8.33</v>
          </cell>
          <cell r="M50">
            <v>8.33</v>
          </cell>
          <cell r="N50">
            <v>8.33</v>
          </cell>
          <cell r="O50">
            <v>8.33</v>
          </cell>
          <cell r="P50">
            <v>0</v>
          </cell>
          <cell r="Q50">
            <v>0</v>
          </cell>
          <cell r="R50">
            <v>0</v>
          </cell>
          <cell r="S50">
            <v>108.28999999999999</v>
          </cell>
        </row>
        <row r="51">
          <cell r="C51" t="str">
            <v>WLKNRW2RECY</v>
          </cell>
          <cell r="D51" t="str">
            <v>WALK IN OVER 25 ADDITIONA</v>
          </cell>
          <cell r="E51">
            <v>0.34</v>
          </cell>
          <cell r="G51">
            <v>0.68</v>
          </cell>
          <cell r="H51">
            <v>16.66</v>
          </cell>
          <cell r="I51">
            <v>0</v>
          </cell>
          <cell r="J51">
            <v>16.66</v>
          </cell>
          <cell r="K51">
            <v>0</v>
          </cell>
          <cell r="L51">
            <v>16.66</v>
          </cell>
          <cell r="M51">
            <v>0</v>
          </cell>
          <cell r="N51">
            <v>16.66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67.319999999999993</v>
          </cell>
        </row>
        <row r="52">
          <cell r="C52" t="str">
            <v>WLKNRW2RECYMA</v>
          </cell>
          <cell r="D52" t="str">
            <v>WALK IN OVER 25 ADDITIONA</v>
          </cell>
          <cell r="E52">
            <v>0.34</v>
          </cell>
          <cell r="G52">
            <v>7.48</v>
          </cell>
          <cell r="H52">
            <v>7.48</v>
          </cell>
          <cell r="I52">
            <v>7.48</v>
          </cell>
          <cell r="J52">
            <v>7.48</v>
          </cell>
          <cell r="K52">
            <v>7.48</v>
          </cell>
          <cell r="L52">
            <v>7.48</v>
          </cell>
          <cell r="M52">
            <v>7.48</v>
          </cell>
          <cell r="N52">
            <v>7.48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59.840000000000018</v>
          </cell>
        </row>
        <row r="53">
          <cell r="C53" t="str">
            <v>WLKNRE1RECYMA</v>
          </cell>
          <cell r="D53" t="str">
            <v>WALK IN 5-25FT EOW-RECYCL</v>
          </cell>
          <cell r="E53">
            <v>1.2803</v>
          </cell>
          <cell r="G53">
            <v>2.52</v>
          </cell>
          <cell r="H53">
            <v>2.52</v>
          </cell>
          <cell r="I53">
            <v>2.52</v>
          </cell>
          <cell r="J53">
            <v>2.52</v>
          </cell>
          <cell r="K53">
            <v>2.52</v>
          </cell>
          <cell r="L53">
            <v>2.52</v>
          </cell>
          <cell r="M53">
            <v>2.52</v>
          </cell>
          <cell r="N53">
            <v>2.52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20.16</v>
          </cell>
        </row>
        <row r="56">
          <cell r="S56">
            <v>181573.39000000004</v>
          </cell>
        </row>
        <row r="61">
          <cell r="C61" t="str">
            <v>R1.5YDRENTM</v>
          </cell>
          <cell r="D61" t="str">
            <v>1.5YD CONTAINER RENT-MTH</v>
          </cell>
          <cell r="E61">
            <v>9.5399999999999991</v>
          </cell>
          <cell r="G61">
            <v>1018.55</v>
          </cell>
          <cell r="H61">
            <v>1007.43</v>
          </cell>
          <cell r="I61">
            <v>1005.2</v>
          </cell>
          <cell r="J61">
            <v>1018.55</v>
          </cell>
          <cell r="K61">
            <v>1007.42</v>
          </cell>
          <cell r="L61">
            <v>1007.24</v>
          </cell>
          <cell r="M61">
            <v>1016.33</v>
          </cell>
          <cell r="N61">
            <v>1017.6</v>
          </cell>
          <cell r="O61">
            <v>19.079999999999998</v>
          </cell>
          <cell r="P61">
            <v>9.5399999999999991</v>
          </cell>
          <cell r="Q61">
            <v>9.5399999999999991</v>
          </cell>
          <cell r="R61">
            <v>9.5399999999999991</v>
          </cell>
          <cell r="S61">
            <v>8146.02</v>
          </cell>
        </row>
        <row r="62">
          <cell r="C62" t="str">
            <v>R2YDRENTM</v>
          </cell>
          <cell r="D62" t="str">
            <v>2YD CONTAINER RENT-MTHLY</v>
          </cell>
          <cell r="E62">
            <v>13.77</v>
          </cell>
          <cell r="G62">
            <v>2658.99</v>
          </cell>
          <cell r="H62">
            <v>2674.14</v>
          </cell>
          <cell r="I62">
            <v>2673.69</v>
          </cell>
          <cell r="J62">
            <v>2650.14</v>
          </cell>
          <cell r="K62">
            <v>2645.68</v>
          </cell>
          <cell r="L62">
            <v>2680.71</v>
          </cell>
          <cell r="M62">
            <v>2716.82</v>
          </cell>
          <cell r="N62">
            <v>2769.15</v>
          </cell>
          <cell r="O62">
            <v>266.22000000000003</v>
          </cell>
          <cell r="P62">
            <v>151.47</v>
          </cell>
          <cell r="Q62">
            <v>151.47</v>
          </cell>
          <cell r="R62">
            <v>151.47</v>
          </cell>
          <cell r="S62">
            <v>22189.950000000004</v>
          </cell>
        </row>
        <row r="63">
          <cell r="C63" t="str">
            <v>R1YDRENTM</v>
          </cell>
          <cell r="D63" t="str">
            <v>1YD CONTAINER RENT-MTHLY</v>
          </cell>
          <cell r="E63">
            <v>8.4700000000000006</v>
          </cell>
          <cell r="G63">
            <v>59.29</v>
          </cell>
          <cell r="H63">
            <v>56.47</v>
          </cell>
          <cell r="I63">
            <v>50.82</v>
          </cell>
          <cell r="J63">
            <v>48.84</v>
          </cell>
          <cell r="K63">
            <v>42.35</v>
          </cell>
          <cell r="L63">
            <v>42.35</v>
          </cell>
          <cell r="M63">
            <v>42.35</v>
          </cell>
          <cell r="N63">
            <v>47.71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390.18</v>
          </cell>
        </row>
        <row r="64">
          <cell r="C64" t="str">
            <v>R1.5YDRENTT</v>
          </cell>
          <cell r="D64" t="str">
            <v>1.5YD TEMP CONTAINER RENT</v>
          </cell>
          <cell r="E64">
            <v>15.77</v>
          </cell>
          <cell r="G64">
            <v>15.9</v>
          </cell>
          <cell r="H64">
            <v>15.9</v>
          </cell>
          <cell r="I64">
            <v>15.9</v>
          </cell>
          <cell r="J64">
            <v>23.9</v>
          </cell>
          <cell r="K64">
            <v>15.9</v>
          </cell>
          <cell r="L64">
            <v>26.67</v>
          </cell>
          <cell r="M64">
            <v>15.9</v>
          </cell>
          <cell r="N64">
            <v>18.55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148.62</v>
          </cell>
        </row>
        <row r="65">
          <cell r="C65" t="str">
            <v>R2YDRENTT</v>
          </cell>
          <cell r="D65" t="str">
            <v>2YD TEMP CONTAINER RENT</v>
          </cell>
          <cell r="E65">
            <v>20.63</v>
          </cell>
          <cell r="G65">
            <v>6.21</v>
          </cell>
          <cell r="H65">
            <v>0</v>
          </cell>
          <cell r="I65">
            <v>0</v>
          </cell>
          <cell r="J65">
            <v>0</v>
          </cell>
          <cell r="K65">
            <v>17.25</v>
          </cell>
          <cell r="L65">
            <v>4.83</v>
          </cell>
          <cell r="M65">
            <v>0</v>
          </cell>
          <cell r="N65">
            <v>6.9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35.19</v>
          </cell>
        </row>
        <row r="66">
          <cell r="C66" t="str">
            <v>R1.5YDEK</v>
          </cell>
          <cell r="D66" t="str">
            <v>1.5 YD 1X EOW</v>
          </cell>
          <cell r="E66">
            <v>37.909899999999993</v>
          </cell>
          <cell r="G66">
            <v>2678.97</v>
          </cell>
          <cell r="H66">
            <v>2577.88</v>
          </cell>
          <cell r="I66">
            <v>2615.79</v>
          </cell>
          <cell r="J66">
            <v>2628.43</v>
          </cell>
          <cell r="K66">
            <v>2754.8</v>
          </cell>
          <cell r="L66">
            <v>2700.18</v>
          </cell>
          <cell r="M66">
            <v>2653.7</v>
          </cell>
          <cell r="N66">
            <v>2663.18</v>
          </cell>
          <cell r="O66">
            <v>84.36</v>
          </cell>
          <cell r="P66">
            <v>42.18</v>
          </cell>
          <cell r="Q66">
            <v>42.29</v>
          </cell>
          <cell r="R66">
            <v>42.29</v>
          </cell>
          <cell r="S66">
            <v>21484.050000000003</v>
          </cell>
        </row>
        <row r="67">
          <cell r="C67" t="str">
            <v>R1.5YDWK</v>
          </cell>
          <cell r="D67" t="str">
            <v>1.5 YD 1X WEEKLY</v>
          </cell>
          <cell r="E67">
            <v>75.645099999999999</v>
          </cell>
          <cell r="G67">
            <v>3086.52</v>
          </cell>
          <cell r="H67">
            <v>3026</v>
          </cell>
          <cell r="I67">
            <v>3007.09</v>
          </cell>
          <cell r="J67">
            <v>2927.66</v>
          </cell>
          <cell r="K67">
            <v>2640.18</v>
          </cell>
          <cell r="L67">
            <v>2704.49</v>
          </cell>
          <cell r="M67">
            <v>2859.58</v>
          </cell>
          <cell r="N67">
            <v>2995.74</v>
          </cell>
          <cell r="O67">
            <v>30.26</v>
          </cell>
          <cell r="P67">
            <v>0</v>
          </cell>
          <cell r="Q67">
            <v>0</v>
          </cell>
          <cell r="R67">
            <v>0</v>
          </cell>
          <cell r="S67">
            <v>23277.52</v>
          </cell>
        </row>
        <row r="68">
          <cell r="C68" t="str">
            <v>R1YDEK</v>
          </cell>
          <cell r="D68" t="str">
            <v>1 YD 1X EOW</v>
          </cell>
          <cell r="E68">
            <v>34.698299999999996</v>
          </cell>
          <cell r="G68">
            <v>173.5</v>
          </cell>
          <cell r="H68">
            <v>164.83</v>
          </cell>
          <cell r="I68">
            <v>173.5</v>
          </cell>
          <cell r="J68">
            <v>138.80000000000001</v>
          </cell>
          <cell r="K68">
            <v>138.80000000000001</v>
          </cell>
          <cell r="L68">
            <v>138.80000000000001</v>
          </cell>
          <cell r="M68">
            <v>138.80000000000001</v>
          </cell>
          <cell r="N68">
            <v>156.15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1223.18</v>
          </cell>
        </row>
        <row r="69">
          <cell r="C69" t="str">
            <v>R1YDWK</v>
          </cell>
          <cell r="D69" t="str">
            <v>1 YD 1X WEEKLY</v>
          </cell>
          <cell r="E69">
            <v>69.236699999999999</v>
          </cell>
          <cell r="G69">
            <v>138.47999999999999</v>
          </cell>
          <cell r="H69">
            <v>138.47999999999999</v>
          </cell>
          <cell r="I69">
            <v>69.239999999999995</v>
          </cell>
          <cell r="J69">
            <v>69.239999999999995</v>
          </cell>
          <cell r="K69">
            <v>69.239999999999995</v>
          </cell>
          <cell r="L69">
            <v>69.239999999999995</v>
          </cell>
          <cell r="M69">
            <v>69.239999999999995</v>
          </cell>
          <cell r="N69">
            <v>138.47999999999999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761.64</v>
          </cell>
        </row>
        <row r="70">
          <cell r="C70" t="str">
            <v>R2YDEK</v>
          </cell>
          <cell r="D70" t="str">
            <v>2 YD 1X EOW</v>
          </cell>
          <cell r="E70">
            <v>49.606199999999994</v>
          </cell>
          <cell r="G70">
            <v>2910.45</v>
          </cell>
          <cell r="H70">
            <v>2976.6</v>
          </cell>
          <cell r="I70">
            <v>2964.9</v>
          </cell>
          <cell r="J70">
            <v>2968.34</v>
          </cell>
          <cell r="K70">
            <v>3254.43</v>
          </cell>
          <cell r="L70">
            <v>3249.47</v>
          </cell>
          <cell r="M70">
            <v>3026.22</v>
          </cell>
          <cell r="N70">
            <v>2902.19</v>
          </cell>
          <cell r="O70">
            <v>111.5</v>
          </cell>
          <cell r="P70">
            <v>0</v>
          </cell>
          <cell r="Q70">
            <v>0</v>
          </cell>
          <cell r="R70">
            <v>0</v>
          </cell>
          <cell r="S70">
            <v>24364.1</v>
          </cell>
        </row>
        <row r="71">
          <cell r="C71" t="str">
            <v>R2YDWK</v>
          </cell>
          <cell r="D71" t="str">
            <v>2 YD 1X WEEKLY</v>
          </cell>
          <cell r="E71">
            <v>98.983800000000002</v>
          </cell>
          <cell r="G71">
            <v>18553.12</v>
          </cell>
          <cell r="H71">
            <v>18448.97</v>
          </cell>
          <cell r="I71">
            <v>18547.939999999999</v>
          </cell>
          <cell r="J71">
            <v>18112.439999999999</v>
          </cell>
          <cell r="K71">
            <v>17196.87</v>
          </cell>
          <cell r="L71">
            <v>17226.55</v>
          </cell>
          <cell r="M71">
            <v>18180.080000000002</v>
          </cell>
          <cell r="N71">
            <v>19257.080000000002</v>
          </cell>
          <cell r="O71">
            <v>1920.53</v>
          </cell>
          <cell r="P71">
            <v>1223.6400000000001</v>
          </cell>
          <cell r="Q71">
            <v>1226.94</v>
          </cell>
          <cell r="R71">
            <v>1226.94</v>
          </cell>
          <cell r="S71">
            <v>151121.1</v>
          </cell>
        </row>
        <row r="72">
          <cell r="C72" t="str">
            <v>CDELC</v>
          </cell>
          <cell r="D72" t="str">
            <v>CONTAINER DELIVERY CHARGE</v>
          </cell>
          <cell r="E72">
            <v>27</v>
          </cell>
          <cell r="G72">
            <v>54</v>
          </cell>
          <cell r="H72">
            <v>54</v>
          </cell>
          <cell r="I72">
            <v>0</v>
          </cell>
          <cell r="J72">
            <v>81</v>
          </cell>
          <cell r="K72">
            <v>189</v>
          </cell>
          <cell r="L72">
            <v>162</v>
          </cell>
          <cell r="M72">
            <v>189</v>
          </cell>
          <cell r="N72">
            <v>216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945</v>
          </cell>
        </row>
        <row r="73">
          <cell r="C73" t="str">
            <v>COMCAN</v>
          </cell>
          <cell r="D73" t="str">
            <v>COMMERCIAL CAN EXTRA</v>
          </cell>
          <cell r="E73">
            <v>4.5</v>
          </cell>
          <cell r="G73">
            <v>108</v>
          </cell>
          <cell r="H73">
            <v>117</v>
          </cell>
          <cell r="I73">
            <v>76.5</v>
          </cell>
          <cell r="J73">
            <v>36</v>
          </cell>
          <cell r="K73">
            <v>0</v>
          </cell>
          <cell r="L73">
            <v>252</v>
          </cell>
          <cell r="M73">
            <v>441</v>
          </cell>
          <cell r="N73">
            <v>301.5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1332</v>
          </cell>
        </row>
        <row r="74">
          <cell r="C74" t="str">
            <v>R1YDPU</v>
          </cell>
          <cell r="D74" t="str">
            <v>1YD CONTAINER PICKUP</v>
          </cell>
          <cell r="E74">
            <v>15.99</v>
          </cell>
          <cell r="G74">
            <v>0</v>
          </cell>
          <cell r="H74">
            <v>0</v>
          </cell>
          <cell r="I74">
            <v>0</v>
          </cell>
          <cell r="J74">
            <v>15.99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15.99</v>
          </cell>
        </row>
        <row r="75">
          <cell r="C75" t="str">
            <v>R1.5YDRENTTM</v>
          </cell>
          <cell r="D75" t="str">
            <v>1.5 YD TEMP CONT RENT MON</v>
          </cell>
          <cell r="E75">
            <v>15.77</v>
          </cell>
          <cell r="G75">
            <v>15.77</v>
          </cell>
          <cell r="H75">
            <v>14.19</v>
          </cell>
          <cell r="I75">
            <v>0</v>
          </cell>
          <cell r="J75">
            <v>0</v>
          </cell>
          <cell r="K75">
            <v>15.77</v>
          </cell>
          <cell r="L75">
            <v>15.77</v>
          </cell>
          <cell r="M75">
            <v>31.54</v>
          </cell>
          <cell r="N75">
            <v>31.54</v>
          </cell>
          <cell r="O75">
            <v>5.26</v>
          </cell>
          <cell r="P75">
            <v>0</v>
          </cell>
          <cell r="Q75">
            <v>0</v>
          </cell>
          <cell r="R75">
            <v>0</v>
          </cell>
          <cell r="S75">
            <v>129.83999999999997</v>
          </cell>
        </row>
        <row r="76">
          <cell r="C76" t="str">
            <v>R2YDRENTTM</v>
          </cell>
          <cell r="D76" t="str">
            <v>2 YD TEMP CONT RENT MONTH</v>
          </cell>
          <cell r="E76">
            <v>20.63</v>
          </cell>
          <cell r="G76">
            <v>41.26</v>
          </cell>
          <cell r="H76">
            <v>41.26</v>
          </cell>
          <cell r="I76">
            <v>41.26</v>
          </cell>
          <cell r="J76">
            <v>41.26</v>
          </cell>
          <cell r="K76">
            <v>41.26</v>
          </cell>
          <cell r="L76">
            <v>61.89</v>
          </cell>
          <cell r="M76">
            <v>51.58</v>
          </cell>
          <cell r="N76">
            <v>41.26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361.03</v>
          </cell>
        </row>
        <row r="77">
          <cell r="C77" t="str">
            <v>UNLOCKREF</v>
          </cell>
          <cell r="D77" t="str">
            <v>UNLOCK / UNLATCH REFUSE</v>
          </cell>
          <cell r="E77">
            <v>2.5299999999999998</v>
          </cell>
          <cell r="G77">
            <v>263.12</v>
          </cell>
          <cell r="H77">
            <v>303.60000000000002</v>
          </cell>
          <cell r="I77">
            <v>326.37</v>
          </cell>
          <cell r="J77">
            <v>339.02</v>
          </cell>
          <cell r="K77">
            <v>278.28999999999996</v>
          </cell>
          <cell r="L77">
            <v>283.36</v>
          </cell>
          <cell r="M77">
            <v>275.78000000000003</v>
          </cell>
          <cell r="N77">
            <v>290.95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2360.4900000000002</v>
          </cell>
        </row>
        <row r="78">
          <cell r="C78" t="str">
            <v>CEXYD</v>
          </cell>
          <cell r="D78" t="str">
            <v>CMML EXTRA YARDAGE</v>
          </cell>
          <cell r="E78">
            <v>14.81</v>
          </cell>
          <cell r="G78">
            <v>1555.05</v>
          </cell>
          <cell r="H78">
            <v>1066.32</v>
          </cell>
          <cell r="I78">
            <v>1318.09</v>
          </cell>
          <cell r="J78">
            <v>1007.08</v>
          </cell>
          <cell r="K78">
            <v>503.54</v>
          </cell>
          <cell r="L78">
            <v>399.87</v>
          </cell>
          <cell r="M78">
            <v>1021.89</v>
          </cell>
          <cell r="N78">
            <v>1613.66</v>
          </cell>
          <cell r="O78">
            <v>29.62</v>
          </cell>
          <cell r="P78">
            <v>16.16</v>
          </cell>
          <cell r="Q78">
            <v>0</v>
          </cell>
          <cell r="R78">
            <v>0</v>
          </cell>
          <cell r="S78">
            <v>8531.2800000000007</v>
          </cell>
        </row>
        <row r="79">
          <cell r="C79" t="str">
            <v>R2YDPU</v>
          </cell>
          <cell r="D79" t="str">
            <v>2YD CONTAINER PICKUP</v>
          </cell>
          <cell r="E79">
            <v>22.86</v>
          </cell>
          <cell r="G79">
            <v>114.3</v>
          </cell>
          <cell r="H79">
            <v>91.44</v>
          </cell>
          <cell r="I79">
            <v>68.58</v>
          </cell>
          <cell r="J79">
            <v>45.72</v>
          </cell>
          <cell r="K79">
            <v>22.86</v>
          </cell>
          <cell r="L79">
            <v>137.16</v>
          </cell>
          <cell r="M79">
            <v>182.88</v>
          </cell>
          <cell r="N79">
            <v>137.16</v>
          </cell>
          <cell r="O79">
            <v>48.55</v>
          </cell>
          <cell r="P79">
            <v>25.76</v>
          </cell>
          <cell r="Q79">
            <v>0</v>
          </cell>
          <cell r="R79">
            <v>0</v>
          </cell>
          <cell r="S79">
            <v>874.40999999999985</v>
          </cell>
        </row>
        <row r="80">
          <cell r="C80" t="str">
            <v>R1.5YDPU</v>
          </cell>
          <cell r="D80" t="str">
            <v>1.5YD CONTAINER PICKUP</v>
          </cell>
          <cell r="E80">
            <v>17.47</v>
          </cell>
          <cell r="G80">
            <v>17.47</v>
          </cell>
          <cell r="H80">
            <v>17.47</v>
          </cell>
          <cell r="I80">
            <v>0</v>
          </cell>
          <cell r="J80">
            <v>0</v>
          </cell>
          <cell r="K80">
            <v>17.47</v>
          </cell>
          <cell r="L80">
            <v>0</v>
          </cell>
          <cell r="M80">
            <v>34.94</v>
          </cell>
          <cell r="N80">
            <v>104.82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192.17</v>
          </cell>
        </row>
        <row r="81">
          <cell r="C81" t="str">
            <v>ROLLOUTOC</v>
          </cell>
          <cell r="D81" t="str">
            <v>ROLL OUT</v>
          </cell>
          <cell r="E81">
            <v>3.6</v>
          </cell>
          <cell r="G81">
            <v>835.2</v>
          </cell>
          <cell r="H81">
            <v>741.6</v>
          </cell>
          <cell r="I81">
            <v>864</v>
          </cell>
          <cell r="J81">
            <v>684</v>
          </cell>
          <cell r="K81">
            <v>525.6</v>
          </cell>
          <cell r="L81">
            <v>511.2</v>
          </cell>
          <cell r="M81">
            <v>572.4</v>
          </cell>
          <cell r="N81">
            <v>677.12</v>
          </cell>
          <cell r="O81">
            <v>108</v>
          </cell>
          <cell r="P81">
            <v>0</v>
          </cell>
          <cell r="Q81">
            <v>0</v>
          </cell>
          <cell r="R81">
            <v>0</v>
          </cell>
          <cell r="S81">
            <v>5519.12</v>
          </cell>
        </row>
        <row r="82">
          <cell r="C82" t="str">
            <v>CLSECOL</v>
          </cell>
          <cell r="D82" t="str">
            <v>LOOSE MATERIAL-COLLECTOR</v>
          </cell>
          <cell r="E82">
            <v>25.81</v>
          </cell>
          <cell r="G82">
            <v>0</v>
          </cell>
          <cell r="H82">
            <v>0</v>
          </cell>
          <cell r="I82">
            <v>31.87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31.87</v>
          </cell>
        </row>
        <row r="84">
          <cell r="S84">
            <v>273434.74999999994</v>
          </cell>
        </row>
        <row r="90">
          <cell r="C90" t="str">
            <v>ROHAUL10</v>
          </cell>
          <cell r="D90" t="str">
            <v>10YD ROLL OFF HAUL</v>
          </cell>
          <cell r="E90">
            <v>83.93</v>
          </cell>
          <cell r="G90">
            <v>83.93</v>
          </cell>
          <cell r="H90">
            <v>83.93</v>
          </cell>
          <cell r="I90">
            <v>83.93</v>
          </cell>
          <cell r="J90">
            <v>83.93</v>
          </cell>
          <cell r="K90">
            <v>83.93</v>
          </cell>
          <cell r="L90">
            <v>0</v>
          </cell>
          <cell r="M90">
            <v>0</v>
          </cell>
          <cell r="N90">
            <v>83.93</v>
          </cell>
          <cell r="O90">
            <v>83.93</v>
          </cell>
          <cell r="P90">
            <v>0</v>
          </cell>
          <cell r="Q90">
            <v>0</v>
          </cell>
          <cell r="R90">
            <v>0</v>
          </cell>
          <cell r="S90">
            <v>587.51</v>
          </cell>
        </row>
        <row r="91">
          <cell r="C91" t="str">
            <v>ROHAUL20</v>
          </cell>
          <cell r="D91" t="str">
            <v>20YD ROLL OFF-HAUL</v>
          </cell>
          <cell r="E91">
            <v>97.48</v>
          </cell>
          <cell r="G91">
            <v>974.8</v>
          </cell>
          <cell r="H91">
            <v>389.92</v>
          </cell>
          <cell r="I91">
            <v>97.48</v>
          </cell>
          <cell r="J91">
            <v>389.92</v>
          </cell>
          <cell r="K91">
            <v>779.84</v>
          </cell>
          <cell r="L91">
            <v>974.8</v>
          </cell>
          <cell r="M91">
            <v>487.4</v>
          </cell>
          <cell r="N91">
            <v>487.4</v>
          </cell>
          <cell r="O91">
            <v>194.96</v>
          </cell>
          <cell r="P91">
            <v>0</v>
          </cell>
          <cell r="Q91">
            <v>0</v>
          </cell>
          <cell r="R91">
            <v>0</v>
          </cell>
          <cell r="S91">
            <v>4776.5200000000004</v>
          </cell>
        </row>
        <row r="92">
          <cell r="C92" t="str">
            <v>ROHAUL30</v>
          </cell>
          <cell r="D92" t="str">
            <v>30YD ROLL OFF-HAUL</v>
          </cell>
          <cell r="E92">
            <v>126.4</v>
          </cell>
          <cell r="G92">
            <v>126.4</v>
          </cell>
          <cell r="H92">
            <v>0</v>
          </cell>
          <cell r="I92">
            <v>0</v>
          </cell>
          <cell r="J92">
            <v>126.4</v>
          </cell>
          <cell r="K92">
            <v>0</v>
          </cell>
          <cell r="L92">
            <v>0</v>
          </cell>
          <cell r="M92">
            <v>126.4</v>
          </cell>
          <cell r="N92">
            <v>0</v>
          </cell>
          <cell r="O92">
            <v>126.4</v>
          </cell>
          <cell r="P92">
            <v>0</v>
          </cell>
          <cell r="Q92">
            <v>0</v>
          </cell>
          <cell r="R92">
            <v>0</v>
          </cell>
          <cell r="S92">
            <v>505.6</v>
          </cell>
        </row>
        <row r="93">
          <cell r="C93" t="str">
            <v>ROHAUL40</v>
          </cell>
          <cell r="D93" t="str">
            <v>40YD ROLL OFF-HAUL</v>
          </cell>
          <cell r="E93">
            <v>165.74</v>
          </cell>
          <cell r="G93">
            <v>165.74</v>
          </cell>
          <cell r="H93">
            <v>0</v>
          </cell>
          <cell r="I93">
            <v>0</v>
          </cell>
          <cell r="J93">
            <v>165.74</v>
          </cell>
          <cell r="K93">
            <v>165.74</v>
          </cell>
          <cell r="L93">
            <v>0</v>
          </cell>
          <cell r="M93">
            <v>497.22</v>
          </cell>
          <cell r="N93">
            <v>165.74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1160.18</v>
          </cell>
        </row>
        <row r="94">
          <cell r="C94" t="str">
            <v>CPHAUL15</v>
          </cell>
          <cell r="D94" t="str">
            <v>15YD COMPACTOR-HAUL</v>
          </cell>
          <cell r="E94">
            <v>146.16999999999999</v>
          </cell>
          <cell r="G94">
            <v>292.33999999999997</v>
          </cell>
          <cell r="H94">
            <v>146.16999999999999</v>
          </cell>
          <cell r="I94">
            <v>146.16999999999999</v>
          </cell>
          <cell r="J94">
            <v>292.33999999999997</v>
          </cell>
          <cell r="K94">
            <v>146.16999999999999</v>
          </cell>
          <cell r="L94">
            <v>0</v>
          </cell>
          <cell r="M94">
            <v>146.16999999999999</v>
          </cell>
          <cell r="N94">
            <v>292.33999999999997</v>
          </cell>
          <cell r="O94">
            <v>292.33999999999997</v>
          </cell>
          <cell r="P94">
            <v>0</v>
          </cell>
          <cell r="Q94">
            <v>0</v>
          </cell>
          <cell r="R94">
            <v>0</v>
          </cell>
          <cell r="S94">
            <v>1754.0399999999997</v>
          </cell>
        </row>
        <row r="95">
          <cell r="C95" t="str">
            <v>CPHAUL20</v>
          </cell>
          <cell r="D95" t="str">
            <v>20YD COMPACTOR-HAUL</v>
          </cell>
          <cell r="E95">
            <v>155.93</v>
          </cell>
          <cell r="G95">
            <v>467.79</v>
          </cell>
          <cell r="H95">
            <v>467.79</v>
          </cell>
          <cell r="I95">
            <v>311.86</v>
          </cell>
          <cell r="J95">
            <v>623.72</v>
          </cell>
          <cell r="K95">
            <v>623.72</v>
          </cell>
          <cell r="L95">
            <v>935.58</v>
          </cell>
          <cell r="M95">
            <v>467.79</v>
          </cell>
          <cell r="N95">
            <v>311.86</v>
          </cell>
          <cell r="O95">
            <v>467.79</v>
          </cell>
          <cell r="P95">
            <v>156.35</v>
          </cell>
          <cell r="Q95">
            <v>0</v>
          </cell>
          <cell r="R95">
            <v>156.35</v>
          </cell>
          <cell r="S95">
            <v>4990.6000000000004</v>
          </cell>
        </row>
        <row r="96">
          <cell r="C96" t="str">
            <v>CPHAUL25</v>
          </cell>
          <cell r="D96" t="str">
            <v>25YD COMPACTOR-HAUL</v>
          </cell>
          <cell r="E96">
            <v>170.69</v>
          </cell>
          <cell r="G96">
            <v>512.07000000000005</v>
          </cell>
          <cell r="H96">
            <v>341.38</v>
          </cell>
          <cell r="I96">
            <v>341.38</v>
          </cell>
          <cell r="J96">
            <v>512.07000000000005</v>
          </cell>
          <cell r="K96">
            <v>170.69</v>
          </cell>
          <cell r="L96">
            <v>0</v>
          </cell>
          <cell r="M96">
            <v>512.07000000000005</v>
          </cell>
          <cell r="N96">
            <v>512.07000000000005</v>
          </cell>
          <cell r="O96">
            <v>512.07000000000005</v>
          </cell>
          <cell r="P96">
            <v>342.32</v>
          </cell>
          <cell r="Q96">
            <v>341.85</v>
          </cell>
          <cell r="R96">
            <v>0</v>
          </cell>
          <cell r="S96">
            <v>4097.9700000000012</v>
          </cell>
        </row>
        <row r="97">
          <cell r="C97" t="str">
            <v>CPHAUL30</v>
          </cell>
          <cell r="D97" t="str">
            <v>30YD COMPACTOR-HAUL</v>
          </cell>
          <cell r="E97">
            <v>194.6</v>
          </cell>
          <cell r="G97">
            <v>194.6</v>
          </cell>
          <cell r="H97">
            <v>194.6</v>
          </cell>
          <cell r="I97">
            <v>389.2</v>
          </cell>
          <cell r="J97">
            <v>194.6</v>
          </cell>
          <cell r="K97">
            <v>194.6</v>
          </cell>
          <cell r="L97">
            <v>194.6</v>
          </cell>
          <cell r="M97">
            <v>194.6</v>
          </cell>
          <cell r="N97">
            <v>194.6</v>
          </cell>
          <cell r="O97">
            <v>194.6</v>
          </cell>
          <cell r="P97">
            <v>0</v>
          </cell>
          <cell r="Q97">
            <v>0</v>
          </cell>
          <cell r="R97">
            <v>195.13</v>
          </cell>
          <cell r="S97">
            <v>2141.1299999999997</v>
          </cell>
        </row>
        <row r="98">
          <cell r="C98" t="str">
            <v>CPHAUL35</v>
          </cell>
          <cell r="D98" t="str">
            <v>35YD COMPACTOR-HAUL</v>
          </cell>
          <cell r="E98">
            <v>224.09</v>
          </cell>
          <cell r="G98">
            <v>418.69</v>
          </cell>
          <cell r="H98">
            <v>448.18</v>
          </cell>
          <cell r="I98">
            <v>448.18</v>
          </cell>
          <cell r="J98">
            <v>672.27</v>
          </cell>
          <cell r="K98">
            <v>448.18</v>
          </cell>
          <cell r="L98">
            <v>448.18</v>
          </cell>
          <cell r="M98">
            <v>448.18</v>
          </cell>
          <cell r="N98">
            <v>448.18</v>
          </cell>
          <cell r="O98">
            <v>448.18</v>
          </cell>
          <cell r="P98">
            <v>0</v>
          </cell>
          <cell r="Q98">
            <v>0</v>
          </cell>
          <cell r="R98">
            <v>0</v>
          </cell>
          <cell r="S98">
            <v>4228.2199999999993</v>
          </cell>
        </row>
        <row r="99">
          <cell r="C99" t="str">
            <v>ROHAUL20T</v>
          </cell>
          <cell r="D99" t="str">
            <v>20YD ROLL OFF TEMP HAUL</v>
          </cell>
          <cell r="E99">
            <v>97.48</v>
          </cell>
          <cell r="G99">
            <v>1169.76</v>
          </cell>
          <cell r="H99">
            <v>1949.6</v>
          </cell>
          <cell r="I99">
            <v>1072.28</v>
          </cell>
          <cell r="J99">
            <v>1462.2</v>
          </cell>
          <cell r="K99">
            <v>1267.24</v>
          </cell>
          <cell r="L99">
            <v>682.36</v>
          </cell>
          <cell r="M99">
            <v>1169.76</v>
          </cell>
          <cell r="N99">
            <v>1267.24</v>
          </cell>
          <cell r="O99">
            <v>682.36</v>
          </cell>
          <cell r="P99">
            <v>0</v>
          </cell>
          <cell r="Q99">
            <v>0</v>
          </cell>
          <cell r="R99">
            <v>0</v>
          </cell>
          <cell r="S99">
            <v>10722.8</v>
          </cell>
        </row>
        <row r="100">
          <cell r="C100" t="str">
            <v>ROHAUL40T</v>
          </cell>
          <cell r="D100" t="str">
            <v>40YD ROLL OFF TEMP HAUL</v>
          </cell>
          <cell r="E100">
            <v>165.74</v>
          </cell>
          <cell r="G100">
            <v>994.44</v>
          </cell>
          <cell r="H100">
            <v>0</v>
          </cell>
          <cell r="I100">
            <v>497.22</v>
          </cell>
          <cell r="J100">
            <v>662.96</v>
          </cell>
          <cell r="K100">
            <v>662.96</v>
          </cell>
          <cell r="L100">
            <v>331.48</v>
          </cell>
          <cell r="M100">
            <v>497.22</v>
          </cell>
          <cell r="N100">
            <v>828.7</v>
          </cell>
          <cell r="O100">
            <v>165.74</v>
          </cell>
          <cell r="P100">
            <v>166.19</v>
          </cell>
          <cell r="Q100">
            <v>0</v>
          </cell>
          <cell r="R100">
            <v>0</v>
          </cell>
          <cell r="S100">
            <v>4806.9099999999989</v>
          </cell>
        </row>
        <row r="101">
          <cell r="C101" t="str">
            <v>RORENT10D</v>
          </cell>
          <cell r="D101" t="str">
            <v>10YD ROLL OFF DAILY RENT</v>
          </cell>
          <cell r="E101">
            <v>139.5</v>
          </cell>
          <cell r="G101">
            <v>74.400000000000006</v>
          </cell>
          <cell r="H101">
            <v>37.200000000000003</v>
          </cell>
          <cell r="I101">
            <v>0</v>
          </cell>
          <cell r="J101">
            <v>69.75</v>
          </cell>
          <cell r="K101">
            <v>27.9</v>
          </cell>
          <cell r="L101">
            <v>79.05</v>
          </cell>
          <cell r="M101">
            <v>93</v>
          </cell>
          <cell r="N101">
            <v>69.75</v>
          </cell>
          <cell r="O101">
            <v>27.9</v>
          </cell>
          <cell r="P101">
            <v>0</v>
          </cell>
          <cell r="Q101">
            <v>0</v>
          </cell>
          <cell r="R101">
            <v>0</v>
          </cell>
          <cell r="S101">
            <v>478.95</v>
          </cell>
        </row>
        <row r="102">
          <cell r="C102" t="str">
            <v>RORENT20D</v>
          </cell>
          <cell r="D102" t="str">
            <v>20YD ROLL OFF-DAILY RENT</v>
          </cell>
          <cell r="E102">
            <v>180.29999999999998</v>
          </cell>
          <cell r="G102">
            <v>2109.5100000000002</v>
          </cell>
          <cell r="H102">
            <v>2163.6</v>
          </cell>
          <cell r="I102">
            <v>1358.26</v>
          </cell>
          <cell r="J102">
            <v>1572.88</v>
          </cell>
          <cell r="K102">
            <v>1448.4099999999999</v>
          </cell>
          <cell r="L102">
            <v>1270.82</v>
          </cell>
          <cell r="M102">
            <v>1412.35</v>
          </cell>
          <cell r="N102">
            <v>1117.8699999999999</v>
          </cell>
          <cell r="O102">
            <v>336.56</v>
          </cell>
          <cell r="P102">
            <v>0</v>
          </cell>
          <cell r="Q102">
            <v>0</v>
          </cell>
          <cell r="R102">
            <v>0</v>
          </cell>
          <cell r="S102">
            <v>12790.26</v>
          </cell>
        </row>
        <row r="103">
          <cell r="C103" t="str">
            <v>RORENT40D</v>
          </cell>
          <cell r="D103" t="str">
            <v>40YD ROLL OFF-DAILY RENT</v>
          </cell>
          <cell r="E103">
            <v>283.8</v>
          </cell>
          <cell r="G103">
            <v>614.9</v>
          </cell>
          <cell r="H103">
            <v>662.2</v>
          </cell>
          <cell r="I103">
            <v>747.33999999999992</v>
          </cell>
          <cell r="J103">
            <v>406.17</v>
          </cell>
          <cell r="K103">
            <v>444.62</v>
          </cell>
          <cell r="L103">
            <v>727.2</v>
          </cell>
          <cell r="M103">
            <v>312.18</v>
          </cell>
          <cell r="N103">
            <v>605.44000000000005</v>
          </cell>
          <cell r="O103">
            <v>198.66</v>
          </cell>
          <cell r="P103">
            <v>9.4600000000000009</v>
          </cell>
          <cell r="Q103">
            <v>0</v>
          </cell>
          <cell r="R103">
            <v>0</v>
          </cell>
          <cell r="S103">
            <v>4728.1699999999992</v>
          </cell>
        </row>
        <row r="104">
          <cell r="C104" t="str">
            <v>RORENT10M</v>
          </cell>
          <cell r="D104" t="str">
            <v>10YD ROLL OFF MTHLY RENT</v>
          </cell>
          <cell r="E104">
            <v>83.93</v>
          </cell>
          <cell r="G104">
            <v>83.93</v>
          </cell>
          <cell r="H104">
            <v>83.93</v>
          </cell>
          <cell r="I104">
            <v>83.93</v>
          </cell>
          <cell r="J104">
            <v>83.93</v>
          </cell>
          <cell r="K104">
            <v>83.93</v>
          </cell>
          <cell r="L104">
            <v>83.93</v>
          </cell>
          <cell r="M104">
            <v>83.93</v>
          </cell>
          <cell r="N104">
            <v>83.93</v>
          </cell>
          <cell r="O104">
            <v>83.93</v>
          </cell>
          <cell r="P104">
            <v>0</v>
          </cell>
          <cell r="Q104">
            <v>0</v>
          </cell>
          <cell r="R104">
            <v>0</v>
          </cell>
          <cell r="S104">
            <v>755.37000000000012</v>
          </cell>
        </row>
        <row r="105">
          <cell r="C105" t="str">
            <v>RORENT20M</v>
          </cell>
          <cell r="D105" t="str">
            <v>20YD ROLL OFF-MNTHLY RENT</v>
          </cell>
          <cell r="E105">
            <v>97.48</v>
          </cell>
          <cell r="G105">
            <v>263.2</v>
          </cell>
          <cell r="H105">
            <v>292.44</v>
          </cell>
          <cell r="I105">
            <v>292.44</v>
          </cell>
          <cell r="J105">
            <v>292.44</v>
          </cell>
          <cell r="K105">
            <v>292.44</v>
          </cell>
          <cell r="L105">
            <v>292.44</v>
          </cell>
          <cell r="M105">
            <v>292.44</v>
          </cell>
          <cell r="N105">
            <v>292.44</v>
          </cell>
          <cell r="O105">
            <v>13</v>
          </cell>
          <cell r="P105">
            <v>0</v>
          </cell>
          <cell r="Q105">
            <v>0</v>
          </cell>
          <cell r="R105">
            <v>0</v>
          </cell>
          <cell r="S105">
            <v>2323.2800000000002</v>
          </cell>
        </row>
        <row r="106">
          <cell r="C106" t="str">
            <v>RORENT40M</v>
          </cell>
          <cell r="D106" t="str">
            <v>40YD ROLL OFF-MNTHLY RENT</v>
          </cell>
          <cell r="E106">
            <v>165.74</v>
          </cell>
          <cell r="G106">
            <v>165.74</v>
          </cell>
          <cell r="H106">
            <v>165.74</v>
          </cell>
          <cell r="I106">
            <v>165.74</v>
          </cell>
          <cell r="J106">
            <v>165.74</v>
          </cell>
          <cell r="K106">
            <v>165.74</v>
          </cell>
          <cell r="L106">
            <v>165.74</v>
          </cell>
          <cell r="M106">
            <v>165.74</v>
          </cell>
          <cell r="N106">
            <v>165.74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1325.92</v>
          </cell>
        </row>
        <row r="107">
          <cell r="C107" t="str">
            <v>ROLID</v>
          </cell>
          <cell r="D107" t="str">
            <v>ROLL OFF-LID</v>
          </cell>
          <cell r="E107">
            <v>14.56</v>
          </cell>
          <cell r="G107">
            <v>78.19</v>
          </cell>
          <cell r="H107">
            <v>66.570000000000007</v>
          </cell>
          <cell r="I107">
            <v>58.24</v>
          </cell>
          <cell r="J107">
            <v>58.24</v>
          </cell>
          <cell r="K107">
            <v>58.24</v>
          </cell>
          <cell r="L107">
            <v>58.24</v>
          </cell>
          <cell r="M107">
            <v>51.519999999999996</v>
          </cell>
          <cell r="N107">
            <v>43.68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472.92</v>
          </cell>
        </row>
        <row r="108">
          <cell r="C108" t="str">
            <v>RODEL</v>
          </cell>
          <cell r="D108" t="str">
            <v>ROLL OFF-DELIVERY</v>
          </cell>
          <cell r="E108">
            <v>77.959999999999994</v>
          </cell>
          <cell r="G108">
            <v>467.76</v>
          </cell>
          <cell r="H108">
            <v>623.67999999999995</v>
          </cell>
          <cell r="I108">
            <v>233.88</v>
          </cell>
          <cell r="J108">
            <v>857.56</v>
          </cell>
          <cell r="K108">
            <v>545.72</v>
          </cell>
          <cell r="L108">
            <v>857.56</v>
          </cell>
          <cell r="M108">
            <v>1013.48</v>
          </cell>
          <cell r="N108">
            <v>857.56</v>
          </cell>
          <cell r="O108">
            <v>623.67999999999995</v>
          </cell>
          <cell r="P108">
            <v>0</v>
          </cell>
          <cell r="Q108">
            <v>0</v>
          </cell>
          <cell r="R108">
            <v>0</v>
          </cell>
          <cell r="S108">
            <v>6080.880000000001</v>
          </cell>
        </row>
        <row r="109">
          <cell r="C109" t="str">
            <v>ROMILE</v>
          </cell>
          <cell r="D109" t="str">
            <v>ROLL OFF-MILEAGE</v>
          </cell>
          <cell r="E109">
            <v>2.4300000000000002</v>
          </cell>
          <cell r="G109">
            <v>145.80000000000001</v>
          </cell>
          <cell r="H109">
            <v>128.79</v>
          </cell>
          <cell r="I109">
            <v>48.6</v>
          </cell>
          <cell r="J109">
            <v>174.96</v>
          </cell>
          <cell r="K109">
            <v>1606.23</v>
          </cell>
          <cell r="L109">
            <v>1241.73</v>
          </cell>
          <cell r="M109">
            <v>1671.84</v>
          </cell>
          <cell r="N109">
            <v>1720.44</v>
          </cell>
          <cell r="O109">
            <v>1010.88</v>
          </cell>
          <cell r="P109">
            <v>178.12</v>
          </cell>
          <cell r="Q109">
            <v>117.12</v>
          </cell>
          <cell r="R109">
            <v>78.08</v>
          </cell>
          <cell r="S109">
            <v>8122.5899999999992</v>
          </cell>
        </row>
        <row r="110">
          <cell r="C110" t="str">
            <v>ROHAUL10T</v>
          </cell>
          <cell r="D110" t="str">
            <v>ROHAUL10T</v>
          </cell>
          <cell r="E110">
            <v>83.93</v>
          </cell>
          <cell r="G110">
            <v>251.79</v>
          </cell>
          <cell r="H110">
            <v>83.93</v>
          </cell>
          <cell r="I110">
            <v>0</v>
          </cell>
          <cell r="J110">
            <v>83.93</v>
          </cell>
          <cell r="K110">
            <v>83.93</v>
          </cell>
          <cell r="L110">
            <v>251.79</v>
          </cell>
          <cell r="M110">
            <v>335.72</v>
          </cell>
          <cell r="N110">
            <v>167.86</v>
          </cell>
          <cell r="O110">
            <v>83.93</v>
          </cell>
          <cell r="P110">
            <v>0</v>
          </cell>
          <cell r="Q110">
            <v>0</v>
          </cell>
          <cell r="R110">
            <v>0</v>
          </cell>
          <cell r="S110">
            <v>1342.8800000000003</v>
          </cell>
        </row>
        <row r="111">
          <cell r="C111" t="str">
            <v>SP</v>
          </cell>
          <cell r="D111" t="str">
            <v>SPECIAL PICKUP</v>
          </cell>
          <cell r="E111">
            <v>151.68</v>
          </cell>
          <cell r="G111">
            <v>151.68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151.68</v>
          </cell>
        </row>
        <row r="113">
          <cell r="S113">
            <v>78344.37999999999</v>
          </cell>
        </row>
        <row r="116">
          <cell r="C116" t="str">
            <v>DISPOLY-TON</v>
          </cell>
          <cell r="D116" t="str">
            <v>OLYMPIC LANDFILL PER TON</v>
          </cell>
          <cell r="E116">
            <v>80</v>
          </cell>
          <cell r="G116">
            <v>13019.2</v>
          </cell>
          <cell r="H116">
            <v>8606.84</v>
          </cell>
          <cell r="I116">
            <v>8116</v>
          </cell>
          <cell r="J116">
            <v>11558.04</v>
          </cell>
          <cell r="K116">
            <v>179.2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41479.279999999999</v>
          </cell>
        </row>
        <row r="117">
          <cell r="C117" t="str">
            <v>DISPMC-TON</v>
          </cell>
          <cell r="D117" t="str">
            <v>MC LANDFILL PER TON</v>
          </cell>
          <cell r="E117">
            <v>102.31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11149.77</v>
          </cell>
          <cell r="L117">
            <v>9508.7199999999993</v>
          </cell>
          <cell r="M117">
            <v>9878.06</v>
          </cell>
          <cell r="N117">
            <v>10398.83</v>
          </cell>
          <cell r="O117">
            <v>8516.52</v>
          </cell>
          <cell r="P117">
            <v>1424.16</v>
          </cell>
          <cell r="Q117">
            <v>506.44</v>
          </cell>
          <cell r="R117">
            <v>566.79999999999995</v>
          </cell>
          <cell r="S117">
            <v>51949.3</v>
          </cell>
        </row>
        <row r="118">
          <cell r="C118" t="str">
            <v>DISPMCMISC</v>
          </cell>
          <cell r="D118" t="str">
            <v>DISPOSAL MISCELLANOUS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102.26</v>
          </cell>
          <cell r="L118">
            <v>33.24</v>
          </cell>
          <cell r="M118">
            <v>254.8</v>
          </cell>
          <cell r="N118">
            <v>0</v>
          </cell>
          <cell r="O118">
            <v>0</v>
          </cell>
          <cell r="P118">
            <v>11.08</v>
          </cell>
          <cell r="Q118">
            <v>0</v>
          </cell>
          <cell r="R118">
            <v>0</v>
          </cell>
          <cell r="S118">
            <v>401.38</v>
          </cell>
        </row>
        <row r="119">
          <cell r="S119">
            <v>93829.96</v>
          </cell>
        </row>
      </sheetData>
      <sheetData sheetId="14">
        <row r="23">
          <cell r="U23">
            <v>2479.0300000000002</v>
          </cell>
          <cell r="AT23">
            <v>129.75243612666577</v>
          </cell>
        </row>
        <row r="49">
          <cell r="U49">
            <v>142109.57</v>
          </cell>
          <cell r="AT49">
            <v>7297.07580945673</v>
          </cell>
        </row>
        <row r="54">
          <cell r="AT54">
            <v>0</v>
          </cell>
        </row>
        <row r="63">
          <cell r="AS63">
            <v>347689.88133240008</v>
          </cell>
          <cell r="AT63">
            <v>7426.828245583396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1">
          <cell r="M21">
            <v>336900.8377971829</v>
          </cell>
        </row>
        <row r="22">
          <cell r="K22">
            <v>5.6692049682646184E-2</v>
          </cell>
        </row>
      </sheetData>
      <sheetData sheetId="23">
        <row r="21">
          <cell r="M21">
            <v>109297.51204852987</v>
          </cell>
        </row>
        <row r="22">
          <cell r="K22">
            <v>7.953930232201234E-2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85" zoomScaleNormal="90" zoomScaleSheetLayoutView="85" zoomScalePageLayoutView="60" workbookViewId="0">
      <pane ySplit="2" topLeftCell="A3" activePane="bottomLeft" state="frozen"/>
      <selection pane="bottomLeft" activeCell="O52" sqref="O52"/>
    </sheetView>
  </sheetViews>
  <sheetFormatPr defaultColWidth="9.140625" defaultRowHeight="15"/>
  <cols>
    <col min="1" max="1" width="42.5703125" style="188" customWidth="1"/>
    <col min="2" max="2" width="16.7109375" style="188" customWidth="1"/>
    <col min="3" max="3" width="15" style="188" customWidth="1"/>
    <col min="4" max="4" width="7.42578125" style="188" bestFit="1" customWidth="1"/>
    <col min="5" max="5" width="9.140625" style="188"/>
    <col min="6" max="7" width="12.42578125" style="188" customWidth="1"/>
    <col min="8" max="16384" width="9.140625" style="188"/>
  </cols>
  <sheetData>
    <row r="1" spans="1:8">
      <c r="A1" s="187" t="s">
        <v>162</v>
      </c>
    </row>
    <row r="2" spans="1:8">
      <c r="A2" s="187" t="s">
        <v>163</v>
      </c>
      <c r="G2" s="344" t="s">
        <v>120</v>
      </c>
    </row>
    <row r="4" spans="1:8">
      <c r="A4" s="431" t="s">
        <v>15</v>
      </c>
      <c r="B4" s="431"/>
      <c r="C4" s="431"/>
      <c r="D4" s="431"/>
      <c r="E4" s="431"/>
      <c r="F4" s="431"/>
      <c r="G4" s="431"/>
      <c r="H4" s="431"/>
    </row>
    <row r="5" spans="1:8">
      <c r="A5" s="189" t="s">
        <v>48</v>
      </c>
      <c r="B5" s="3" t="s">
        <v>35</v>
      </c>
      <c r="C5" s="3" t="s">
        <v>36</v>
      </c>
      <c r="D5" s="3" t="s">
        <v>37</v>
      </c>
      <c r="E5" s="4" t="s">
        <v>39</v>
      </c>
      <c r="F5" s="4" t="s">
        <v>40</v>
      </c>
      <c r="G5" s="4" t="s">
        <v>41</v>
      </c>
      <c r="H5" s="3" t="s">
        <v>44</v>
      </c>
    </row>
    <row r="6" spans="1:8">
      <c r="A6" s="189" t="s">
        <v>45</v>
      </c>
      <c r="B6" s="190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89" t="s">
        <v>78</v>
      </c>
      <c r="B7" s="190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89" t="s">
        <v>46</v>
      </c>
      <c r="B8" s="190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89" t="s">
        <v>47</v>
      </c>
      <c r="B9" s="190">
        <f>52*2/12</f>
        <v>8.6666666666666661</v>
      </c>
      <c r="C9" s="191">
        <f>$B$9*2</f>
        <v>17.333333333333332</v>
      </c>
      <c r="D9" s="191">
        <f>$B$9*3</f>
        <v>26</v>
      </c>
      <c r="E9" s="191">
        <f>$B$9*4</f>
        <v>34.666666666666664</v>
      </c>
      <c r="F9" s="191">
        <f>$B$9*5</f>
        <v>43.333333333333329</v>
      </c>
      <c r="G9" s="191">
        <f>$B$9*6</f>
        <v>52</v>
      </c>
      <c r="H9" s="191">
        <f>$B$9*7</f>
        <v>60.666666666666664</v>
      </c>
    </row>
    <row r="10" spans="1:8">
      <c r="A10" s="189" t="s">
        <v>18</v>
      </c>
      <c r="B10" s="190">
        <f>52/12</f>
        <v>4.333333333333333</v>
      </c>
      <c r="C10" s="191">
        <f>$B$10*2</f>
        <v>8.6666666666666661</v>
      </c>
      <c r="D10" s="191">
        <f>$B$10*3</f>
        <v>13</v>
      </c>
      <c r="E10" s="191">
        <f>$B$10*4</f>
        <v>17.333333333333332</v>
      </c>
      <c r="F10" s="191">
        <f>$B$10*5</f>
        <v>21.666666666666664</v>
      </c>
      <c r="G10" s="191">
        <f>$B$10*6</f>
        <v>26</v>
      </c>
      <c r="H10" s="191">
        <f>$B$10*7</f>
        <v>30.333333333333332</v>
      </c>
    </row>
    <row r="11" spans="1:8">
      <c r="A11" s="189" t="s">
        <v>20</v>
      </c>
      <c r="B11" s="190">
        <f>26/12</f>
        <v>2.1666666666666665</v>
      </c>
      <c r="C11" s="191">
        <f>$B$11*2</f>
        <v>4.333333333333333</v>
      </c>
      <c r="D11" s="191">
        <f>$B$11*3</f>
        <v>6.5</v>
      </c>
      <c r="E11" s="191">
        <f>$B$11*4</f>
        <v>8.6666666666666661</v>
      </c>
      <c r="F11" s="191">
        <f>$B$11*5</f>
        <v>10.833333333333332</v>
      </c>
      <c r="G11" s="191">
        <f>$B$11*6</f>
        <v>13</v>
      </c>
      <c r="H11" s="191">
        <f>$B$11*7</f>
        <v>15.166666666666666</v>
      </c>
    </row>
    <row r="12" spans="1:8">
      <c r="A12" s="189" t="s">
        <v>19</v>
      </c>
      <c r="B12" s="190">
        <f>12/12</f>
        <v>1</v>
      </c>
      <c r="C12" s="191">
        <f>$B$12*2</f>
        <v>2</v>
      </c>
      <c r="D12" s="191">
        <f>$B$12*3</f>
        <v>3</v>
      </c>
      <c r="E12" s="191">
        <f>$B$12*4</f>
        <v>4</v>
      </c>
      <c r="F12" s="191">
        <f>$B$12*5</f>
        <v>5</v>
      </c>
      <c r="G12" s="191">
        <f>$B$12*6</f>
        <v>6</v>
      </c>
      <c r="H12" s="191">
        <f>$B$12*7</f>
        <v>7</v>
      </c>
    </row>
    <row r="13" spans="1:8">
      <c r="A13" s="189"/>
      <c r="B13" s="190"/>
      <c r="C13" s="191"/>
      <c r="D13" s="191"/>
      <c r="E13" s="191"/>
      <c r="F13" s="191"/>
      <c r="G13" s="191"/>
      <c r="H13" s="191"/>
    </row>
    <row r="14" spans="1:8">
      <c r="A14" s="431" t="s">
        <v>9</v>
      </c>
      <c r="B14" s="431"/>
      <c r="C14" s="191"/>
      <c r="D14" s="191"/>
      <c r="E14" s="191"/>
      <c r="F14" s="191"/>
      <c r="G14" s="191"/>
      <c r="H14" s="191"/>
    </row>
    <row r="15" spans="1:8">
      <c r="A15" s="187" t="s">
        <v>43</v>
      </c>
      <c r="B15" s="192" t="s">
        <v>70</v>
      </c>
      <c r="C15" s="191"/>
      <c r="D15" s="191"/>
      <c r="E15" s="191"/>
      <c r="F15" s="191"/>
      <c r="G15" s="191"/>
      <c r="H15" s="191"/>
    </row>
    <row r="16" spans="1:8">
      <c r="A16" s="18" t="s">
        <v>71</v>
      </c>
      <c r="B16" s="193">
        <v>20</v>
      </c>
      <c r="C16" s="191"/>
      <c r="D16" s="191"/>
      <c r="E16" s="191"/>
      <c r="F16" s="191"/>
      <c r="G16" s="191"/>
      <c r="H16" s="191"/>
    </row>
    <row r="17" spans="1:8">
      <c r="A17" s="18" t="s">
        <v>49</v>
      </c>
      <c r="B17" s="193">
        <v>34</v>
      </c>
      <c r="C17" s="191"/>
      <c r="D17" s="191"/>
      <c r="E17" s="191"/>
      <c r="F17" s="191"/>
      <c r="G17" s="191"/>
      <c r="H17" s="191"/>
    </row>
    <row r="18" spans="1:8">
      <c r="A18" s="18" t="s">
        <v>50</v>
      </c>
      <c r="B18" s="193">
        <v>51</v>
      </c>
      <c r="C18" s="191"/>
      <c r="D18" s="191"/>
      <c r="E18" s="191"/>
      <c r="F18" s="191"/>
      <c r="G18" s="191"/>
      <c r="H18" s="191"/>
    </row>
    <row r="19" spans="1:8">
      <c r="A19" s="18" t="s">
        <v>51</v>
      </c>
      <c r="B19" s="193">
        <v>77</v>
      </c>
      <c r="C19" s="191"/>
      <c r="D19" s="191"/>
      <c r="E19" s="191"/>
      <c r="F19" s="189" t="s">
        <v>16</v>
      </c>
      <c r="G19" s="193">
        <v>2000</v>
      </c>
      <c r="H19" s="191"/>
    </row>
    <row r="20" spans="1:8">
      <c r="A20" s="18" t="s">
        <v>52</v>
      </c>
      <c r="B20" s="193">
        <v>97</v>
      </c>
      <c r="C20" s="191"/>
      <c r="D20" s="191"/>
      <c r="E20" s="191"/>
      <c r="F20" s="189" t="s">
        <v>17</v>
      </c>
      <c r="G20" s="130" t="s">
        <v>38</v>
      </c>
      <c r="H20" s="191"/>
    </row>
    <row r="21" spans="1:8">
      <c r="A21" s="18" t="s">
        <v>53</v>
      </c>
      <c r="B21" s="193">
        <v>117</v>
      </c>
      <c r="C21" s="191"/>
      <c r="D21" s="191"/>
      <c r="E21" s="191"/>
      <c r="F21" s="189"/>
      <c r="G21" s="189"/>
      <c r="H21" s="191"/>
    </row>
    <row r="22" spans="1:8">
      <c r="A22" s="18" t="s">
        <v>54</v>
      </c>
      <c r="B22" s="193">
        <v>157</v>
      </c>
      <c r="C22" s="191"/>
      <c r="D22" s="191"/>
      <c r="E22" s="191"/>
      <c r="F22" s="194" t="s">
        <v>73</v>
      </c>
      <c r="G22" s="121">
        <v>12</v>
      </c>
      <c r="H22" s="191"/>
    </row>
    <row r="23" spans="1:8">
      <c r="A23" s="18" t="s">
        <v>164</v>
      </c>
      <c r="B23" s="193">
        <v>37</v>
      </c>
      <c r="C23" s="191" t="s">
        <v>72</v>
      </c>
      <c r="D23" s="191"/>
      <c r="E23" s="191"/>
      <c r="F23" s="195"/>
      <c r="G23" s="2"/>
      <c r="H23" s="191"/>
    </row>
    <row r="24" spans="1:8">
      <c r="A24" s="18" t="s">
        <v>165</v>
      </c>
      <c r="B24" s="196">
        <v>48</v>
      </c>
      <c r="C24" s="197"/>
      <c r="D24" s="197"/>
      <c r="E24" s="191"/>
      <c r="F24" s="195"/>
      <c r="G24" s="2"/>
      <c r="H24" s="191"/>
    </row>
    <row r="25" spans="1:8">
      <c r="A25" s="18" t="s">
        <v>166</v>
      </c>
      <c r="B25" s="193">
        <v>51</v>
      </c>
      <c r="C25" s="191"/>
      <c r="D25" s="191"/>
      <c r="E25" s="191"/>
      <c r="F25" s="191"/>
      <c r="G25" s="191"/>
      <c r="H25" s="191"/>
    </row>
    <row r="26" spans="1:8">
      <c r="A26" s="18" t="s">
        <v>167</v>
      </c>
      <c r="B26" s="193">
        <v>77</v>
      </c>
      <c r="C26" s="191"/>
      <c r="D26" s="191"/>
      <c r="E26" s="191"/>
      <c r="F26" s="191"/>
      <c r="G26" s="191"/>
      <c r="H26" s="191"/>
    </row>
    <row r="27" spans="1:8">
      <c r="A27" s="18" t="s">
        <v>55</v>
      </c>
      <c r="B27" s="193">
        <v>34</v>
      </c>
      <c r="C27" s="191"/>
      <c r="D27" s="191"/>
      <c r="E27" s="191"/>
      <c r="F27" s="191"/>
      <c r="G27" s="191"/>
      <c r="H27" s="191"/>
    </row>
    <row r="28" spans="1:8">
      <c r="A28" s="18" t="s">
        <v>27</v>
      </c>
      <c r="B28" s="193">
        <v>34</v>
      </c>
      <c r="C28" s="191"/>
      <c r="D28" s="191"/>
      <c r="E28" s="191"/>
      <c r="F28" s="191"/>
      <c r="G28" s="191"/>
      <c r="H28" s="191"/>
    </row>
    <row r="29" spans="1:8">
      <c r="A29" s="187" t="s">
        <v>56</v>
      </c>
      <c r="B29" s="193"/>
      <c r="C29" s="191"/>
      <c r="D29" s="191"/>
      <c r="E29" s="191"/>
      <c r="F29" s="191"/>
      <c r="G29" s="191"/>
      <c r="H29" s="191"/>
    </row>
    <row r="30" spans="1:8">
      <c r="A30" s="18" t="s">
        <v>57</v>
      </c>
      <c r="B30" s="193">
        <v>29</v>
      </c>
      <c r="C30" s="191"/>
      <c r="D30" s="191"/>
      <c r="E30" s="191"/>
      <c r="F30" s="191"/>
      <c r="G30" s="191"/>
      <c r="H30" s="191"/>
    </row>
    <row r="31" spans="1:8">
      <c r="A31" s="18" t="s">
        <v>58</v>
      </c>
      <c r="B31" s="193">
        <v>175</v>
      </c>
      <c r="C31" s="191"/>
      <c r="D31" s="191"/>
      <c r="E31" s="191"/>
      <c r="F31" s="191"/>
      <c r="G31" s="191"/>
      <c r="H31" s="191"/>
    </row>
    <row r="32" spans="1:8">
      <c r="A32" s="18" t="s">
        <v>59</v>
      </c>
      <c r="B32" s="193">
        <v>250</v>
      </c>
      <c r="C32" s="191"/>
      <c r="D32" s="191"/>
      <c r="E32" s="191"/>
      <c r="F32" s="191"/>
      <c r="G32" s="191"/>
      <c r="H32" s="191"/>
    </row>
    <row r="33" spans="1:8">
      <c r="A33" s="18" t="s">
        <v>60</v>
      </c>
      <c r="B33" s="193">
        <v>324</v>
      </c>
      <c r="C33" s="191"/>
      <c r="D33" s="191"/>
      <c r="E33" s="191"/>
      <c r="F33" s="191"/>
      <c r="G33" s="191"/>
      <c r="H33" s="191"/>
    </row>
    <row r="34" spans="1:8">
      <c r="A34" s="18" t="s">
        <v>61</v>
      </c>
      <c r="B34" s="193">
        <v>473</v>
      </c>
      <c r="C34" s="191"/>
      <c r="D34" s="191"/>
      <c r="E34" s="191"/>
      <c r="F34" s="191"/>
      <c r="G34" s="191"/>
      <c r="H34" s="191"/>
    </row>
    <row r="35" spans="1:8">
      <c r="A35" s="18" t="s">
        <v>62</v>
      </c>
      <c r="B35" s="193">
        <v>613</v>
      </c>
      <c r="C35" s="191"/>
      <c r="D35" s="191"/>
      <c r="E35" s="191"/>
      <c r="F35" s="191"/>
      <c r="G35" s="191"/>
      <c r="H35" s="191"/>
    </row>
    <row r="36" spans="1:8">
      <c r="A36" s="18" t="s">
        <v>63</v>
      </c>
      <c r="B36" s="193">
        <v>840</v>
      </c>
      <c r="C36" s="191"/>
      <c r="D36" s="191"/>
      <c r="E36" s="191"/>
      <c r="F36" s="191"/>
      <c r="G36" s="191"/>
      <c r="H36" s="191"/>
    </row>
    <row r="37" spans="1:8">
      <c r="A37" s="18" t="s">
        <v>64</v>
      </c>
      <c r="B37" s="193">
        <v>980</v>
      </c>
      <c r="C37" s="191"/>
      <c r="D37" s="191"/>
      <c r="E37" s="191"/>
      <c r="F37" s="191"/>
      <c r="G37" s="191"/>
      <c r="H37" s="191"/>
    </row>
    <row r="38" spans="1:8">
      <c r="A38" s="18" t="s">
        <v>168</v>
      </c>
      <c r="B38" s="193">
        <v>482</v>
      </c>
      <c r="C38" s="191" t="s">
        <v>72</v>
      </c>
      <c r="D38" s="191"/>
      <c r="E38" s="191"/>
      <c r="F38" s="191"/>
      <c r="G38" s="191"/>
      <c r="H38" s="191"/>
    </row>
    <row r="39" spans="1:8">
      <c r="A39" s="18" t="s">
        <v>169</v>
      </c>
      <c r="B39" s="193">
        <v>689</v>
      </c>
      <c r="C39" s="191" t="s">
        <v>72</v>
      </c>
      <c r="D39" s="191"/>
      <c r="E39" s="191"/>
      <c r="F39" s="191"/>
      <c r="G39" s="191"/>
      <c r="H39" s="191"/>
    </row>
    <row r="40" spans="1:8">
      <c r="A40" s="18" t="s">
        <v>66</v>
      </c>
      <c r="B40" s="193">
        <v>892</v>
      </c>
      <c r="C40" s="191" t="s">
        <v>72</v>
      </c>
      <c r="D40" s="191"/>
      <c r="E40" s="191"/>
      <c r="F40" s="191"/>
      <c r="G40" s="191"/>
      <c r="H40" s="191"/>
    </row>
    <row r="41" spans="1:8">
      <c r="A41" s="18" t="s">
        <v>65</v>
      </c>
      <c r="B41" s="193">
        <v>1301</v>
      </c>
      <c r="C41" s="191"/>
      <c r="D41" s="191"/>
      <c r="E41" s="191"/>
      <c r="F41" s="191"/>
      <c r="G41" s="191"/>
      <c r="H41" s="191"/>
    </row>
    <row r="42" spans="1:8">
      <c r="A42" s="18" t="s">
        <v>67</v>
      </c>
      <c r="B42" s="193">
        <v>1686</v>
      </c>
      <c r="C42" s="191"/>
      <c r="D42" s="191"/>
      <c r="E42" s="191"/>
      <c r="F42" s="191"/>
      <c r="G42" s="191"/>
      <c r="H42" s="191"/>
    </row>
    <row r="43" spans="1:8">
      <c r="A43" s="18" t="s">
        <v>170</v>
      </c>
      <c r="B43" s="193">
        <v>2046</v>
      </c>
      <c r="C43" s="191"/>
      <c r="D43" s="191"/>
      <c r="E43" s="191"/>
      <c r="F43" s="191"/>
      <c r="G43" s="191"/>
      <c r="H43" s="191"/>
    </row>
    <row r="44" spans="1:8">
      <c r="A44" s="18" t="s">
        <v>68</v>
      </c>
      <c r="B44" s="193">
        <v>2310</v>
      </c>
      <c r="C44" s="191"/>
      <c r="D44" s="191"/>
      <c r="E44" s="191"/>
      <c r="F44" s="191"/>
      <c r="G44" s="191"/>
      <c r="H44" s="191"/>
    </row>
    <row r="45" spans="1:8">
      <c r="A45" s="18" t="s">
        <v>171</v>
      </c>
      <c r="B45" s="193">
        <v>2800</v>
      </c>
      <c r="C45" s="191" t="s">
        <v>72</v>
      </c>
      <c r="D45" s="191"/>
      <c r="E45" s="191"/>
      <c r="F45" s="191"/>
      <c r="G45" s="191"/>
      <c r="H45" s="191"/>
    </row>
    <row r="46" spans="1:8">
      <c r="A46" s="18" t="s">
        <v>69</v>
      </c>
      <c r="B46" s="193">
        <v>125</v>
      </c>
      <c r="C46" s="191"/>
      <c r="D46" s="191"/>
      <c r="E46" s="191"/>
      <c r="F46" s="191"/>
      <c r="G46" s="191"/>
      <c r="H46" s="191"/>
    </row>
    <row r="47" spans="1:8">
      <c r="A47" s="189"/>
      <c r="B47" s="189" t="s">
        <v>172</v>
      </c>
      <c r="C47" s="189"/>
      <c r="D47" s="189"/>
      <c r="E47" s="189"/>
      <c r="F47" s="189"/>
      <c r="G47" s="189"/>
      <c r="H47" s="189"/>
    </row>
    <row r="48" spans="1:8">
      <c r="A48" s="189"/>
      <c r="B48" s="189"/>
      <c r="C48" s="189"/>
      <c r="D48" s="189"/>
      <c r="E48" s="189"/>
      <c r="F48" s="189"/>
      <c r="G48" s="189"/>
      <c r="H48" s="189"/>
    </row>
    <row r="49" spans="1:8">
      <c r="A49" s="189"/>
      <c r="B49" s="189"/>
      <c r="C49" s="189"/>
      <c r="D49" s="189"/>
      <c r="E49" s="189"/>
      <c r="F49" s="189"/>
      <c r="G49" s="189"/>
      <c r="H49" s="189"/>
    </row>
    <row r="50" spans="1:8">
      <c r="A50" s="346" t="s">
        <v>173</v>
      </c>
      <c r="B50" s="347" t="s">
        <v>4</v>
      </c>
      <c r="C50" s="348" t="s">
        <v>5</v>
      </c>
      <c r="D50" s="189"/>
      <c r="E50" s="189"/>
      <c r="F50" s="432" t="s">
        <v>23</v>
      </c>
      <c r="G50" s="432"/>
      <c r="H50" s="189"/>
    </row>
    <row r="51" spans="1:8">
      <c r="A51" s="185" t="s">
        <v>6</v>
      </c>
      <c r="B51" s="345">
        <v>103.54</v>
      </c>
      <c r="C51" s="198">
        <f>B51/2000</f>
        <v>5.1770000000000004E-2</v>
      </c>
      <c r="D51" s="189"/>
      <c r="E51" s="189"/>
      <c r="F51" s="189" t="s">
        <v>24</v>
      </c>
      <c r="G51" s="199">
        <f>0.0175</f>
        <v>1.7500000000000002E-2</v>
      </c>
      <c r="H51" s="189"/>
    </row>
    <row r="52" spans="1:8">
      <c r="A52" s="185" t="s">
        <v>7</v>
      </c>
      <c r="B52" s="430">
        <f>G61</f>
        <v>110.2701</v>
      </c>
      <c r="C52" s="200">
        <f>B52/2000</f>
        <v>5.5135049999999998E-2</v>
      </c>
      <c r="D52" s="201"/>
      <c r="E52" s="189"/>
      <c r="F52" s="189" t="s">
        <v>25</v>
      </c>
      <c r="G52" s="202">
        <v>5.1000000000000004E-3</v>
      </c>
      <c r="H52" s="189"/>
    </row>
    <row r="53" spans="1:8">
      <c r="A53" s="18" t="s">
        <v>174</v>
      </c>
      <c r="B53" s="203">
        <f>B52-B51</f>
        <v>6.7300999999999931</v>
      </c>
      <c r="C53" s="204">
        <f>C52-C51</f>
        <v>3.3650499999999944E-3</v>
      </c>
      <c r="D53" s="359">
        <f>B53/B51</f>
        <v>6.4999999999999933E-2</v>
      </c>
      <c r="E53" s="189"/>
      <c r="F53" s="189" t="s">
        <v>42</v>
      </c>
      <c r="G53" s="205"/>
      <c r="H53" s="189"/>
    </row>
    <row r="54" spans="1:8">
      <c r="A54" s="189"/>
      <c r="B54" s="206"/>
      <c r="C54" s="189"/>
      <c r="D54" s="189"/>
      <c r="E54" s="189"/>
      <c r="F54" s="189" t="s">
        <v>14</v>
      </c>
      <c r="G54" s="207">
        <f>SUM(G51:G53)</f>
        <v>2.2600000000000002E-2</v>
      </c>
      <c r="H54" s="189"/>
    </row>
    <row r="55" spans="1:8">
      <c r="A55" s="208"/>
      <c r="B55" s="209"/>
      <c r="C55" s="209"/>
      <c r="D55" s="29"/>
      <c r="E55" s="189"/>
      <c r="F55" s="189"/>
      <c r="G55" s="189"/>
      <c r="H55" s="189"/>
    </row>
    <row r="56" spans="1:8">
      <c r="A56" s="189"/>
      <c r="B56" s="349" t="s">
        <v>173</v>
      </c>
      <c r="C56" s="210"/>
      <c r="D56" s="29"/>
      <c r="E56" s="189"/>
      <c r="F56" s="189" t="s">
        <v>26</v>
      </c>
      <c r="G56" s="211">
        <f>1-G54</f>
        <v>0.97740000000000005</v>
      </c>
      <c r="H56" s="189"/>
    </row>
    <row r="57" spans="1:8">
      <c r="A57" s="189" t="s">
        <v>2</v>
      </c>
      <c r="B57" s="212">
        <f>B53</f>
        <v>6.7300999999999931</v>
      </c>
      <c r="C57" s="210"/>
      <c r="D57" s="29"/>
      <c r="E57" s="189"/>
      <c r="F57" s="189"/>
      <c r="G57" s="189"/>
      <c r="H57" s="189"/>
    </row>
    <row r="58" spans="1:8">
      <c r="A58" s="189" t="s">
        <v>22</v>
      </c>
      <c r="B58" s="213">
        <f>B57/$G$56</f>
        <v>6.885717208921621</v>
      </c>
      <c r="C58" s="214"/>
      <c r="D58" s="29"/>
      <c r="E58" s="189"/>
      <c r="F58" s="189"/>
      <c r="G58" s="189"/>
      <c r="H58" s="189"/>
    </row>
    <row r="59" spans="1:8">
      <c r="A59" s="189" t="s">
        <v>21</v>
      </c>
      <c r="B59" s="361">
        <f>'DF Calculation'!D41</f>
        <v>15603.68</v>
      </c>
      <c r="C59" s="29"/>
      <c r="D59" s="29"/>
      <c r="E59" s="360"/>
      <c r="F59" s="189" t="s">
        <v>468</v>
      </c>
      <c r="G59" s="372">
        <v>103.54</v>
      </c>
      <c r="H59" s="189"/>
    </row>
    <row r="60" spans="1:8">
      <c r="A60" s="187" t="s">
        <v>175</v>
      </c>
      <c r="B60" s="368">
        <f>B58*B59</f>
        <v>107442.52789850612</v>
      </c>
      <c r="C60" s="215"/>
      <c r="D60" s="29"/>
      <c r="E60" s="189"/>
      <c r="F60" s="370" t="s">
        <v>467</v>
      </c>
      <c r="G60" s="373">
        <v>6.5000000000000002E-2</v>
      </c>
      <c r="H60" s="189"/>
    </row>
    <row r="61" spans="1:8">
      <c r="A61" s="215"/>
      <c r="B61" s="215"/>
      <c r="C61" s="215"/>
      <c r="D61" s="29"/>
      <c r="E61" s="189"/>
      <c r="F61" s="189"/>
      <c r="G61" s="371">
        <f>+G59*(1+G60)</f>
        <v>110.2701</v>
      </c>
      <c r="H61" s="189"/>
    </row>
    <row r="62" spans="1:8" ht="15.75" thickBot="1">
      <c r="D62" s="213"/>
      <c r="E62" s="189"/>
      <c r="F62" s="189"/>
      <c r="G62" s="189"/>
      <c r="H62" s="189"/>
    </row>
    <row r="63" spans="1:8">
      <c r="A63" s="216" t="s">
        <v>76</v>
      </c>
      <c r="B63" s="350" t="s">
        <v>74</v>
      </c>
      <c r="C63" s="189"/>
      <c r="D63" s="189"/>
      <c r="E63" s="189"/>
      <c r="F63" s="189"/>
      <c r="G63" s="189"/>
      <c r="H63" s="189"/>
    </row>
    <row r="64" spans="1:8">
      <c r="A64" s="217" t="s">
        <v>75</v>
      </c>
      <c r="B64" s="369">
        <f ca="1">'DF Calculation'!L44-'DF Calculation'!J44</f>
        <v>107359.15615537204</v>
      </c>
      <c r="C64" s="189"/>
      <c r="D64" s="189"/>
      <c r="E64" s="189"/>
      <c r="F64" s="189"/>
      <c r="G64" s="189"/>
      <c r="H64" s="189"/>
    </row>
    <row r="65" spans="1:8" ht="15.75" thickBot="1">
      <c r="A65" s="218" t="s">
        <v>11</v>
      </c>
      <c r="B65" s="381">
        <f ca="1">B60-B64</f>
        <v>83.371743134077406</v>
      </c>
      <c r="C65" s="374" t="s">
        <v>121</v>
      </c>
      <c r="D65" s="189"/>
      <c r="E65" s="189"/>
      <c r="F65" s="189"/>
      <c r="G65" s="189"/>
      <c r="H65" s="189"/>
    </row>
    <row r="66" spans="1:8">
      <c r="A66" s="380"/>
      <c r="B66" s="380"/>
      <c r="C66" s="189"/>
    </row>
    <row r="69" spans="1:8">
      <c r="A69" s="55"/>
      <c r="B69" s="219"/>
      <c r="C69" s="220"/>
    </row>
  </sheetData>
  <mergeCells count="3">
    <mergeCell ref="A4:H4"/>
    <mergeCell ref="A14:B14"/>
    <mergeCell ref="F50:G50"/>
  </mergeCells>
  <pageMargins left="0.7" right="0.7" top="0.75" bottom="0.75" header="0.3" footer="0.3"/>
  <pageSetup scale="68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I95"/>
  <sheetViews>
    <sheetView view="pageBreakPreview" zoomScaleNormal="85" zoomScaleSheetLayoutView="100" workbookViewId="0">
      <pane xSplit="1" ySplit="6" topLeftCell="B35" activePane="bottomRight" state="frozen"/>
      <selection activeCell="O52" sqref="O52"/>
      <selection pane="topRight" activeCell="O52" sqref="O52"/>
      <selection pane="bottomLeft" activeCell="O52" sqref="O52"/>
      <selection pane="bottomRight" activeCell="O52" sqref="O52"/>
    </sheetView>
  </sheetViews>
  <sheetFormatPr defaultColWidth="8.85546875" defaultRowHeight="15" outlineLevelCol="1"/>
  <cols>
    <col min="1" max="1" width="5.85546875" style="45" customWidth="1"/>
    <col min="2" max="2" width="7.5703125" style="28" customWidth="1"/>
    <col min="3" max="3" width="36.140625" style="28" customWidth="1"/>
    <col min="4" max="4" width="36.140625" style="51" bestFit="1" customWidth="1"/>
    <col min="5" max="5" width="12.85546875" style="26" customWidth="1" outlineLevel="1"/>
    <col min="6" max="8" width="12.85546875" style="51" customWidth="1" outlineLevel="1"/>
    <col min="9" max="9" width="12.85546875" style="25" customWidth="1" outlineLevel="1"/>
    <col min="10" max="11" width="12.85546875" style="51" customWidth="1" outlineLevel="1"/>
    <col min="12" max="14" width="12.85546875" style="51" customWidth="1"/>
    <col min="15" max="16" width="12.85546875" style="95" customWidth="1"/>
    <col min="17" max="18" width="15" style="51" bestFit="1" customWidth="1"/>
    <col min="19" max="19" width="12.85546875" style="33" customWidth="1"/>
    <col min="20" max="20" width="9.42578125" style="51" customWidth="1"/>
    <col min="21" max="21" width="12.42578125" style="98" customWidth="1"/>
    <col min="22" max="22" width="11.7109375" style="95" bestFit="1" customWidth="1"/>
    <col min="23" max="16384" width="8.85546875" style="95"/>
  </cols>
  <sheetData>
    <row r="1" spans="1:21">
      <c r="A1" s="6" t="s">
        <v>162</v>
      </c>
      <c r="D1" s="123" t="s">
        <v>160</v>
      </c>
      <c r="H1" s="58"/>
      <c r="O1" s="62"/>
    </row>
    <row r="2" spans="1:21">
      <c r="A2" s="45" t="s">
        <v>83</v>
      </c>
      <c r="D2" s="132" t="s">
        <v>161</v>
      </c>
      <c r="H2" s="58"/>
      <c r="I2" s="118"/>
      <c r="O2" s="62"/>
    </row>
    <row r="3" spans="1:21">
      <c r="A3" s="45" t="s">
        <v>176</v>
      </c>
      <c r="D3" s="151" t="s">
        <v>153</v>
      </c>
      <c r="H3" s="58"/>
      <c r="N3" s="8"/>
      <c r="O3" s="62"/>
    </row>
    <row r="4" spans="1:21">
      <c r="D4" s="141" t="s">
        <v>120</v>
      </c>
      <c r="I4" s="118"/>
      <c r="N4" s="8"/>
      <c r="O4" s="8"/>
    </row>
    <row r="5" spans="1:21">
      <c r="E5" s="48"/>
      <c r="F5" s="47"/>
      <c r="G5" s="47"/>
      <c r="H5" s="48"/>
      <c r="I5" s="47"/>
      <c r="J5" s="48"/>
      <c r="K5" s="47"/>
      <c r="L5" s="428"/>
      <c r="M5" s="428"/>
      <c r="N5" s="429"/>
      <c r="O5" s="428"/>
      <c r="P5" s="428"/>
    </row>
    <row r="6" spans="1:21" s="116" customFormat="1" ht="60">
      <c r="A6" s="101"/>
      <c r="B6" s="65" t="s">
        <v>13</v>
      </c>
      <c r="C6" s="65" t="s">
        <v>155</v>
      </c>
      <c r="D6" s="65" t="s">
        <v>97</v>
      </c>
      <c r="E6" s="65" t="s">
        <v>98</v>
      </c>
      <c r="F6" s="65" t="s">
        <v>9</v>
      </c>
      <c r="G6" s="65" t="s">
        <v>432</v>
      </c>
      <c r="H6" s="65" t="s">
        <v>30</v>
      </c>
      <c r="I6" s="66" t="s">
        <v>31</v>
      </c>
      <c r="J6" s="65" t="s">
        <v>8</v>
      </c>
      <c r="K6" s="65" t="s">
        <v>0</v>
      </c>
      <c r="L6" s="133" t="s">
        <v>158</v>
      </c>
      <c r="M6" s="103" t="s">
        <v>156</v>
      </c>
      <c r="N6" s="65" t="s">
        <v>33</v>
      </c>
      <c r="O6" s="133" t="s">
        <v>159</v>
      </c>
      <c r="P6" s="103" t="s">
        <v>157</v>
      </c>
      <c r="Q6" s="65" t="s">
        <v>32</v>
      </c>
      <c r="R6" s="65" t="s">
        <v>81</v>
      </c>
      <c r="S6" s="67" t="s">
        <v>34</v>
      </c>
      <c r="T6" s="114" t="s">
        <v>116</v>
      </c>
      <c r="U6" s="115"/>
    </row>
    <row r="7" spans="1:21">
      <c r="A7" s="436" t="s">
        <v>145</v>
      </c>
      <c r="B7" s="93">
        <v>16</v>
      </c>
      <c r="C7" s="58" t="s">
        <v>257</v>
      </c>
      <c r="D7" s="63" t="str">
        <f>VLOOKUP($C7,Mapping!$F$2:$J$37,5,FALSE)</f>
        <v>Oversized Can Extra</v>
      </c>
      <c r="E7" s="97">
        <f ca="1">SUMIFS(Mapping!O:O,Mapping!A:A,"Residential",Mapping!J:J,'DF Calculation'!D7)</f>
        <v>7141.0118284606424</v>
      </c>
      <c r="F7" s="97">
        <f>VLOOKUP($C7,Mapping!F:N,7,FALSE)</f>
        <v>34</v>
      </c>
      <c r="G7" s="98">
        <f>VLOOKUP($C7,Mapping!$F$2:$M$37,8,FALSE)</f>
        <v>1</v>
      </c>
      <c r="H7" s="97">
        <f ca="1">E7*F7</f>
        <v>242794.40216766184</v>
      </c>
      <c r="I7" s="19">
        <f t="shared" ref="I7:I25" ca="1" si="0">$D$44*H7</f>
        <v>189075.85946879251</v>
      </c>
      <c r="J7" s="64">
        <f ca="1">(References!$C$53*I7)</f>
        <v>636.24972090545918</v>
      </c>
      <c r="K7" s="64">
        <f ca="1">J7/References!$G$56</f>
        <v>650.96144966795498</v>
      </c>
      <c r="L7" s="124">
        <v>4.82</v>
      </c>
      <c r="M7" s="134">
        <v>4.8099999999999996</v>
      </c>
      <c r="N7" s="96">
        <f ca="1">IFERROR((K7/E7),0)*G7</f>
        <v>9.115815311683638E-2</v>
      </c>
      <c r="O7" s="124">
        <f t="shared" ref="O7:O25" ca="1" si="1">ROUND(N7+L7,2)</f>
        <v>4.91</v>
      </c>
      <c r="P7" s="134">
        <f ca="1">ROUND(N7+M7,2)</f>
        <v>4.9000000000000004</v>
      </c>
      <c r="Q7" s="64">
        <f ca="1">(E7/G7)*'DF Calculation'!L7</f>
        <v>34419.677013180299</v>
      </c>
      <c r="R7" s="64">
        <f ca="1">(E7/G7)*'DF Calculation'!O7</f>
        <v>35062.368077741754</v>
      </c>
      <c r="S7" s="64">
        <f ca="1">R7-Q7</f>
        <v>642.69106456145528</v>
      </c>
      <c r="T7" s="382">
        <f ca="1">(((F7*$D$44)*(References!$C$53/References!$G$56))*$G7)-N7</f>
        <v>0</v>
      </c>
      <c r="U7" s="119"/>
    </row>
    <row r="8" spans="1:21" ht="15" customHeight="1">
      <c r="A8" s="436"/>
      <c r="B8" s="20">
        <v>21</v>
      </c>
      <c r="C8" s="58" t="s">
        <v>190</v>
      </c>
      <c r="D8" s="63" t="str">
        <f>VLOOKUP($C8,Mapping!$F$2:$J$37,5,FALSE)</f>
        <v>1-35 gal Cart EOWG</v>
      </c>
      <c r="E8" s="97">
        <f ca="1">SUMIFS(Mapping!O:O,Mapping!A:A,"Residential",Mapping!J:J,'DF Calculation'!D8)</f>
        <v>60606.223210023534</v>
      </c>
      <c r="F8" s="97">
        <f>VLOOKUP(C8,Mapping!F:N,7,FALSE)</f>
        <v>37</v>
      </c>
      <c r="G8" s="98">
        <f>VLOOKUP($C8,Mapping!$F$2:$M$37,8,FALSE)</f>
        <v>2.1666666666666665</v>
      </c>
      <c r="H8" s="97">
        <f t="shared" ref="H8:H25" ca="1" si="2">E8*F8</f>
        <v>2242430.258770871</v>
      </c>
      <c r="I8" s="19">
        <f t="shared" ca="1" si="0"/>
        <v>1746289.9666984209</v>
      </c>
      <c r="J8" s="64">
        <f ca="1">(References!$C$53*I8)</f>
        <v>5876.3530524385114</v>
      </c>
      <c r="K8" s="64">
        <f ca="1">J8/References!$G$56</f>
        <v>6012.2294377312373</v>
      </c>
      <c r="L8" s="124">
        <v>11.61</v>
      </c>
      <c r="M8" s="134">
        <v>11.58</v>
      </c>
      <c r="N8" s="96">
        <f t="shared" ref="N8:N25" ca="1" si="3">IFERROR((K8/E8),0)*G8</f>
        <v>0.21493662573136421</v>
      </c>
      <c r="O8" s="124">
        <f t="shared" ca="1" si="1"/>
        <v>11.82</v>
      </c>
      <c r="P8" s="134">
        <f ca="1">ROUND(N8+M8,2)</f>
        <v>11.79</v>
      </c>
      <c r="Q8" s="64">
        <f ca="1">(E8/G8)*'DF Calculation'!L8</f>
        <v>324756.11606232612</v>
      </c>
      <c r="R8" s="64">
        <f ca="1">(E8/G8)*'DF Calculation'!O8</f>
        <v>330630.25769652845</v>
      </c>
      <c r="S8" s="64">
        <f t="shared" ref="S8" ca="1" si="4">R8-Q8</f>
        <v>5874.1416342023294</v>
      </c>
      <c r="T8" s="382">
        <f ca="1">(((F8*$D$44)*(References!$C$53/References!$G$56))*$G8)-N8</f>
        <v>0</v>
      </c>
      <c r="U8" s="119"/>
    </row>
    <row r="9" spans="1:21">
      <c r="A9" s="436"/>
      <c r="B9" s="93">
        <v>21</v>
      </c>
      <c r="C9" s="58" t="s">
        <v>192</v>
      </c>
      <c r="D9" s="63" t="str">
        <f>VLOOKUP($C9,Mapping!$F$2:$J$37,5,FALSE)</f>
        <v>1-48 gal Cart EOWG</v>
      </c>
      <c r="E9" s="97">
        <f ca="1">SUMIFS(Mapping!O:O,Mapping!A:A,"Residential",Mapping!J:J,'DF Calculation'!D9)</f>
        <v>19290.3453814885</v>
      </c>
      <c r="F9" s="97">
        <f>VLOOKUP(C9,Mapping!F:N,7,FALSE)</f>
        <v>48</v>
      </c>
      <c r="G9" s="98">
        <f>VLOOKUP($C9,Mapping!$F$2:$M$37,8,FALSE)</f>
        <v>2.1666666666666665</v>
      </c>
      <c r="H9" s="97">
        <f t="shared" ca="1" si="2"/>
        <v>925936.57831144799</v>
      </c>
      <c r="I9" s="19">
        <f t="shared" ca="1" si="0"/>
        <v>721072.03788386215</v>
      </c>
      <c r="J9" s="64">
        <f ca="1">(References!$C$53*I9)</f>
        <v>2426.4434610810863</v>
      </c>
      <c r="K9" s="64">
        <f ca="1">J9/References!$G$56</f>
        <v>2482.549070064545</v>
      </c>
      <c r="L9" s="124">
        <v>15.33</v>
      </c>
      <c r="M9" s="134">
        <v>15.29</v>
      </c>
      <c r="N9" s="96">
        <f t="shared" ca="1" si="3"/>
        <v>0.27883670365149948</v>
      </c>
      <c r="O9" s="124">
        <f t="shared" ca="1" si="1"/>
        <v>15.61</v>
      </c>
      <c r="P9" s="134">
        <f t="shared" ref="P9:P33" ca="1" si="5">ROUND(N9+M9,2)</f>
        <v>15.57</v>
      </c>
      <c r="Q9" s="64">
        <f ca="1">(E9/G9)*'DF Calculation'!L9</f>
        <v>136486.61293763941</v>
      </c>
      <c r="R9" s="64">
        <f ca="1">(E9/G9)*'DF Calculation'!O9</f>
        <v>138979.51911001638</v>
      </c>
      <c r="S9" s="64">
        <f t="shared" ref="S9:S25" ca="1" si="6">R9-Q9</f>
        <v>2492.9061723769701</v>
      </c>
      <c r="T9" s="382">
        <f ca="1">(((F9*$D$44)*(References!$C$53/References!$G$56))*$G9)-N9</f>
        <v>0</v>
      </c>
      <c r="U9" s="119"/>
    </row>
    <row r="10" spans="1:21">
      <c r="A10" s="436"/>
      <c r="B10" s="93">
        <v>21</v>
      </c>
      <c r="C10" s="58" t="s">
        <v>194</v>
      </c>
      <c r="D10" s="63" t="str">
        <f>VLOOKUP($C10,Mapping!$F$2:$J$37,5,FALSE)</f>
        <v>1-64 gal Cart EOWG</v>
      </c>
      <c r="E10" s="97">
        <f ca="1">SUMIFS(Mapping!O:O,Mapping!A:A,"Residential",Mapping!J:J,'DF Calculation'!D10)</f>
        <v>22432.249031688836</v>
      </c>
      <c r="F10" s="97">
        <f>VLOOKUP(C10,Mapping!F:N,7,FALSE)</f>
        <v>51</v>
      </c>
      <c r="G10" s="98">
        <f>VLOOKUP($C10,Mapping!$F$2:$M$37,8,FALSE)</f>
        <v>2.1666666666666665</v>
      </c>
      <c r="H10" s="97">
        <f t="shared" ca="1" si="2"/>
        <v>1144044.7006161306</v>
      </c>
      <c r="I10" s="19">
        <f t="shared" ca="1" si="0"/>
        <v>890923.48550251347</v>
      </c>
      <c r="J10" s="64">
        <f ca="1">(References!$C$53*I10)</f>
        <v>2998.002074890228</v>
      </c>
      <c r="K10" s="64">
        <f ca="1">J10/References!$G$56</f>
        <v>3067.3235879785429</v>
      </c>
      <c r="L10" s="124">
        <v>18.27</v>
      </c>
      <c r="M10" s="134">
        <v>18.22</v>
      </c>
      <c r="N10" s="96">
        <f t="shared" ca="1" si="3"/>
        <v>0.29626399762971822</v>
      </c>
      <c r="O10" s="124">
        <f t="shared" ca="1" si="1"/>
        <v>18.57</v>
      </c>
      <c r="P10" s="134">
        <f t="shared" ca="1" si="5"/>
        <v>18.52</v>
      </c>
      <c r="Q10" s="64">
        <f ca="1">(E10/G10)*'DF Calculation'!L10</f>
        <v>189155.62606567156</v>
      </c>
      <c r="R10" s="64">
        <f ca="1">(E10/G10)*'DF Calculation'!O10</f>
        <v>192261.62977775154</v>
      </c>
      <c r="S10" s="64">
        <f t="shared" ca="1" si="6"/>
        <v>3106.0037120799825</v>
      </c>
      <c r="T10" s="382">
        <f ca="1">(((F10*$D$44)*(References!$C$53/References!$G$56))*$G10)-N10</f>
        <v>0</v>
      </c>
      <c r="U10" s="119"/>
    </row>
    <row r="11" spans="1:21">
      <c r="A11" s="436"/>
      <c r="B11" s="93">
        <v>21</v>
      </c>
      <c r="C11" s="58" t="s">
        <v>196</v>
      </c>
      <c r="D11" s="63" t="str">
        <f>VLOOKUP($C11,Mapping!$F$2:$J$37,5,FALSE)</f>
        <v>1-96 gal Cart EOWG</v>
      </c>
      <c r="E11" s="97">
        <f ca="1">SUMIFS(Mapping!O:O,Mapping!A:A,"Residential",Mapping!J:J,'DF Calculation'!D11)</f>
        <v>11685.873648655777</v>
      </c>
      <c r="F11" s="97">
        <f>VLOOKUP(C11,Mapping!F:N,7,FALSE)</f>
        <v>77</v>
      </c>
      <c r="G11" s="98">
        <f>VLOOKUP($C11,Mapping!$F$2:$M$37,8,FALSE)</f>
        <v>2.1666666666666665</v>
      </c>
      <c r="H11" s="97">
        <f t="shared" ca="1" si="2"/>
        <v>899812.27094649489</v>
      </c>
      <c r="I11" s="19">
        <f t="shared" ca="1" si="0"/>
        <v>700727.7637821699</v>
      </c>
      <c r="J11" s="64">
        <f ca="1">(References!$C$53*I11)</f>
        <v>2357.9839615151868</v>
      </c>
      <c r="K11" s="64">
        <f ca="1">J11/References!$G$56</f>
        <v>2412.5066109220243</v>
      </c>
      <c r="L11" s="124">
        <v>22.94</v>
      </c>
      <c r="M11" s="134">
        <v>22.88</v>
      </c>
      <c r="N11" s="96">
        <f t="shared" ca="1" si="3"/>
        <v>0.44730054544094699</v>
      </c>
      <c r="O11" s="124">
        <f t="shared" ca="1" si="1"/>
        <v>23.39</v>
      </c>
      <c r="P11" s="134">
        <f t="shared" ca="1" si="5"/>
        <v>23.33</v>
      </c>
      <c r="Q11" s="64">
        <f ca="1">(E11/G11)*'DF Calculation'!L11</f>
        <v>123726.43453853704</v>
      </c>
      <c r="R11" s="64">
        <f ca="1">(E11/G11)*'DF Calculation'!O11</f>
        <v>126153.50060402708</v>
      </c>
      <c r="S11" s="64">
        <f t="shared" ca="1" si="6"/>
        <v>2427.0660654900421</v>
      </c>
      <c r="T11" s="382">
        <f ca="1">(((F11*$D$44)*(References!$C$53/References!$G$56))*$G11)-N11</f>
        <v>0</v>
      </c>
      <c r="U11" s="119"/>
    </row>
    <row r="12" spans="1:21">
      <c r="A12" s="436"/>
      <c r="B12" s="93">
        <v>21</v>
      </c>
      <c r="C12" s="58" t="s">
        <v>198</v>
      </c>
      <c r="D12" s="63" t="str">
        <f>VLOOKUP($C12,Mapping!$F$2:$J$37,5,FALSE)</f>
        <v>1-20 gal Mini Can WG</v>
      </c>
      <c r="E12" s="97">
        <f ca="1">SUMIFS(Mapping!O:O,Mapping!A:A,"Residential",Mapping!J:J,'DF Calculation'!D12)</f>
        <v>392.77048995537064</v>
      </c>
      <c r="F12" s="97">
        <f>VLOOKUP(C12,Mapping!F:N,7,FALSE)</f>
        <v>20</v>
      </c>
      <c r="G12" s="98">
        <f>VLOOKUP($C12,Mapping!$F$2:$M$37,8,FALSE)</f>
        <v>4.333333333333333</v>
      </c>
      <c r="H12" s="97">
        <f t="shared" ca="1" si="2"/>
        <v>7855.4097991074123</v>
      </c>
      <c r="I12" s="19">
        <f t="shared" ca="1" si="0"/>
        <v>6117.3912824405052</v>
      </c>
      <c r="J12" s="64">
        <f ca="1">(References!$C$53*I12)</f>
        <v>20.585327534976386</v>
      </c>
      <c r="K12" s="64">
        <f ca="1">J12/References!$G$56</f>
        <v>21.061313213603832</v>
      </c>
      <c r="L12" s="124">
        <v>14.25</v>
      </c>
      <c r="M12" s="134">
        <v>14.21</v>
      </c>
      <c r="N12" s="96">
        <f t="shared" ca="1" si="3"/>
        <v>0.23236391970958287</v>
      </c>
      <c r="O12" s="124">
        <f t="shared" ca="1" si="1"/>
        <v>14.48</v>
      </c>
      <c r="P12" s="134">
        <f t="shared" ca="1" si="5"/>
        <v>14.44</v>
      </c>
      <c r="Q12" s="64">
        <f ca="1">(E12/G12)*'DF Calculation'!L12</f>
        <v>1291.6106496609304</v>
      </c>
      <c r="R12" s="64">
        <f ca="1">(E12/G12)*'DF Calculation'!O12</f>
        <v>1312.4576987431772</v>
      </c>
      <c r="S12" s="64">
        <f t="shared" ca="1" si="6"/>
        <v>20.847049082246713</v>
      </c>
      <c r="T12" s="382">
        <f ca="1">(((F12*$D$44)*(References!$C$53/References!$G$56))*$G12)-N12</f>
        <v>0</v>
      </c>
      <c r="U12" s="119"/>
    </row>
    <row r="13" spans="1:21">
      <c r="A13" s="436"/>
      <c r="B13" s="93">
        <v>21</v>
      </c>
      <c r="C13" s="58" t="s">
        <v>200</v>
      </c>
      <c r="D13" s="63" t="str">
        <f>VLOOKUP($C13,Mapping!$F$2:$J$37,5,FALSE)</f>
        <v>1-35 gal Cart WG</v>
      </c>
      <c r="E13" s="97">
        <f ca="1">SUMIFS(Mapping!O:O,Mapping!A:A,"Residential",Mapping!J:J,'DF Calculation'!D13)</f>
        <v>179413.4874202559</v>
      </c>
      <c r="F13" s="97">
        <f>VLOOKUP(C13,Mapping!F:N,7,FALSE)</f>
        <v>37</v>
      </c>
      <c r="G13" s="98">
        <f>VLOOKUP($C13,Mapping!$F$2:$M$37,8,FALSE)</f>
        <v>4.333333333333333</v>
      </c>
      <c r="H13" s="97">
        <f t="shared" ca="1" si="2"/>
        <v>6638299.0345494682</v>
      </c>
      <c r="I13" s="19">
        <f t="shared" ca="1" si="0"/>
        <v>5169567.6842728732</v>
      </c>
      <c r="J13" s="64">
        <f ca="1">(References!$C$53*I13)</f>
        <v>17395.853735962402</v>
      </c>
      <c r="K13" s="64">
        <f ca="1">J13/References!$G$56</f>
        <v>17798.090583141398</v>
      </c>
      <c r="L13" s="124">
        <v>19.579999999999998</v>
      </c>
      <c r="M13" s="134">
        <v>19.53</v>
      </c>
      <c r="N13" s="96">
        <f t="shared" ca="1" si="3"/>
        <v>0.42987325146272842</v>
      </c>
      <c r="O13" s="124">
        <f t="shared" ca="1" si="1"/>
        <v>20.010000000000002</v>
      </c>
      <c r="P13" s="134">
        <f t="shared" ca="1" si="5"/>
        <v>19.96</v>
      </c>
      <c r="Q13" s="64">
        <f ca="1">(E13/G13)*'DF Calculation'!L13</f>
        <v>810672.94238967937</v>
      </c>
      <c r="R13" s="64">
        <f ca="1">(E13/G13)*'DF Calculation'!O13</f>
        <v>828476.28075676644</v>
      </c>
      <c r="S13" s="64">
        <f t="shared" ca="1" si="6"/>
        <v>17803.338367087068</v>
      </c>
      <c r="T13" s="382">
        <f ca="1">(((F13*$D$44)*(References!$C$53/References!$G$56))*$G13)-N13</f>
        <v>0</v>
      </c>
      <c r="U13" s="119"/>
    </row>
    <row r="14" spans="1:21">
      <c r="A14" s="436"/>
      <c r="B14" s="93">
        <v>21</v>
      </c>
      <c r="C14" s="58" t="s">
        <v>202</v>
      </c>
      <c r="D14" s="63" t="str">
        <f>VLOOKUP($C14,Mapping!$F$2:$J$37,5,FALSE)</f>
        <v>1-48 gal Cart WG</v>
      </c>
      <c r="E14" s="97">
        <f ca="1">SUMIFS(Mapping!O:O,Mapping!A:A,"Residential",Mapping!J:J,'DF Calculation'!D14)</f>
        <v>100016.27180501068</v>
      </c>
      <c r="F14" s="97">
        <f>VLOOKUP(C14,Mapping!F:N,7,FALSE)</f>
        <v>48</v>
      </c>
      <c r="G14" s="98">
        <f>VLOOKUP($C14,Mapping!$F$2:$M$37,8,FALSE)</f>
        <v>4.333333333333333</v>
      </c>
      <c r="H14" s="97">
        <f t="shared" ca="1" si="2"/>
        <v>4800781.0466405125</v>
      </c>
      <c r="I14" s="19">
        <f t="shared" ca="1" si="0"/>
        <v>3738602.6795140984</v>
      </c>
      <c r="J14" s="64">
        <f ca="1">(References!$C$53*I14)</f>
        <v>12580.584946698897</v>
      </c>
      <c r="K14" s="64">
        <f ca="1">J14/References!$G$56</f>
        <v>12871.48040382535</v>
      </c>
      <c r="L14" s="124">
        <v>24.88</v>
      </c>
      <c r="M14" s="134">
        <v>24.81</v>
      </c>
      <c r="N14" s="96">
        <f t="shared" ca="1" si="3"/>
        <v>0.55767340730299908</v>
      </c>
      <c r="O14" s="124">
        <f t="shared" ca="1" si="1"/>
        <v>25.44</v>
      </c>
      <c r="P14" s="134">
        <f t="shared" ca="1" si="5"/>
        <v>25.37</v>
      </c>
      <c r="Q14" s="64">
        <f ca="1">(E14/G14)*'DF Calculation'!L14</f>
        <v>574247.27134815371</v>
      </c>
      <c r="R14" s="64">
        <f ca="1">(E14/G14)*'DF Calculation'!O14</f>
        <v>587172.45108910894</v>
      </c>
      <c r="S14" s="64">
        <f t="shared" ca="1" si="6"/>
        <v>12925.179740955238</v>
      </c>
      <c r="T14" s="382">
        <f ca="1">(((F14*$D$44)*(References!$C$53/References!$G$56))*$G14)-N14</f>
        <v>0</v>
      </c>
      <c r="U14" s="119"/>
    </row>
    <row r="15" spans="1:21">
      <c r="A15" s="436"/>
      <c r="B15" s="93">
        <v>21</v>
      </c>
      <c r="C15" s="58" t="s">
        <v>204</v>
      </c>
      <c r="D15" s="63" t="str">
        <f>VLOOKUP($C15,Mapping!$F$2:$J$37,5,FALSE)</f>
        <v>1-64 gal Cart WG</v>
      </c>
      <c r="E15" s="97">
        <f ca="1">SUMIFS(Mapping!O:O,Mapping!A:A,"Residential",Mapping!J:J,'DF Calculation'!D15)</f>
        <v>95263.7407424837</v>
      </c>
      <c r="F15" s="97">
        <f>VLOOKUP(C15,Mapping!F:N,7,FALSE)</f>
        <v>51</v>
      </c>
      <c r="G15" s="98">
        <f>VLOOKUP($C15,Mapping!$F$2:$M$37,8,FALSE)</f>
        <v>4.333333333333333</v>
      </c>
      <c r="H15" s="97">
        <f t="shared" ca="1" si="2"/>
        <v>4858450.777866669</v>
      </c>
      <c r="I15" s="19">
        <f t="shared" ca="1" si="0"/>
        <v>3783512.9159098701</v>
      </c>
      <c r="J15" s="64">
        <f ca="1">(References!$C$53*I15)</f>
        <v>12731.710137682487</v>
      </c>
      <c r="K15" s="64">
        <f ca="1">J15/References!$G$56</f>
        <v>13026.099997628899</v>
      </c>
      <c r="L15" s="124">
        <v>30.32</v>
      </c>
      <c r="M15" s="134">
        <v>30.24</v>
      </c>
      <c r="N15" s="96">
        <f t="shared" ca="1" si="3"/>
        <v>0.59252799525943645</v>
      </c>
      <c r="O15" s="124">
        <f t="shared" ca="1" si="1"/>
        <v>30.91</v>
      </c>
      <c r="P15" s="134">
        <f t="shared" ca="1" si="5"/>
        <v>30.83</v>
      </c>
      <c r="Q15" s="64">
        <f ca="1">(E15/G15)*'DF Calculation'!L15</f>
        <v>666553.06599510135</v>
      </c>
      <c r="R15" s="64">
        <f ca="1">(E15/G15)*'DF Calculation'!O15</f>
        <v>679523.59069619339</v>
      </c>
      <c r="S15" s="64">
        <f t="shared" ca="1" si="6"/>
        <v>12970.524701092043</v>
      </c>
      <c r="T15" s="382">
        <f ca="1">(((F15*$D$44)*(References!$C$53/References!$G$56))*$G15)-N15</f>
        <v>0</v>
      </c>
      <c r="U15" s="119"/>
    </row>
    <row r="16" spans="1:21">
      <c r="A16" s="436"/>
      <c r="B16" s="93">
        <v>21</v>
      </c>
      <c r="C16" s="58" t="s">
        <v>206</v>
      </c>
      <c r="D16" s="63" t="str">
        <f>VLOOKUP($C16,Mapping!$F$2:$J$37,5,FALSE)</f>
        <v>1-96 gal Cart WG</v>
      </c>
      <c r="E16" s="97">
        <f ca="1">SUMIFS(Mapping!O:O,Mapping!A:A,"Residential",Mapping!J:J,'DF Calculation'!D16)</f>
        <v>54209.344409000849</v>
      </c>
      <c r="F16" s="97">
        <f>VLOOKUP(C16,Mapping!F:N,7,FALSE)</f>
        <v>77</v>
      </c>
      <c r="G16" s="98">
        <f>VLOOKUP($C16,Mapping!$F$2:$M$37,8,FALSE)</f>
        <v>4.333333333333333</v>
      </c>
      <c r="H16" s="97">
        <f t="shared" ca="1" si="2"/>
        <v>4174119.5194930653</v>
      </c>
      <c r="I16" s="19">
        <f t="shared" ca="1" si="0"/>
        <v>3250590.7410855978</v>
      </c>
      <c r="J16" s="64">
        <f ca="1">(References!$C$53*I16)</f>
        <v>10938.400373290073</v>
      </c>
      <c r="K16" s="64">
        <f ca="1">J16/References!$G$56</f>
        <v>11191.324302527186</v>
      </c>
      <c r="L16" s="124">
        <v>37.94</v>
      </c>
      <c r="M16" s="134">
        <v>37.840000000000003</v>
      </c>
      <c r="N16" s="96">
        <f t="shared" ca="1" si="3"/>
        <v>0.8946010908818941</v>
      </c>
      <c r="O16" s="124">
        <f t="shared" ca="1" si="1"/>
        <v>38.83</v>
      </c>
      <c r="P16" s="134">
        <f t="shared" ca="1" si="5"/>
        <v>38.729999999999997</v>
      </c>
      <c r="Q16" s="64">
        <f ca="1">(E16/G16)*'DF Calculation'!L16</f>
        <v>474623.66004865203</v>
      </c>
      <c r="R16" s="64">
        <f ca="1">(E16/G16)*'DF Calculation'!O16</f>
        <v>485757.42540034681</v>
      </c>
      <c r="S16" s="64">
        <f t="shared" ca="1" si="6"/>
        <v>11133.765351694776</v>
      </c>
      <c r="T16" s="382">
        <f ca="1">(((F16*$D$44)*(References!$C$53/References!$G$56))*$G16)-N16</f>
        <v>0</v>
      </c>
      <c r="U16" s="119"/>
    </row>
    <row r="17" spans="1:21">
      <c r="A17" s="436"/>
      <c r="B17" s="93">
        <v>21</v>
      </c>
      <c r="C17" s="58" t="s">
        <v>208</v>
      </c>
      <c r="D17" s="63" t="str">
        <f>VLOOKUP($C17,Mapping!$F$2:$J$37,5,FALSE)</f>
        <v>1-35 gal Cart MG</v>
      </c>
      <c r="E17" s="97">
        <f ca="1">SUMIFS(Mapping!O:O,Mapping!A:A,"Residential",Mapping!J:J,'DF Calculation'!D17)</f>
        <v>3317.9500954770992</v>
      </c>
      <c r="F17" s="97">
        <f>VLOOKUP(C17,Mapping!F:N,7,FALSE)</f>
        <v>37</v>
      </c>
      <c r="G17" s="98">
        <f>VLOOKUP($C17,Mapping!$F$2:$M$37,8,FALSE)</f>
        <v>1</v>
      </c>
      <c r="H17" s="97">
        <f t="shared" ca="1" si="2"/>
        <v>122764.15353265268</v>
      </c>
      <c r="I17" s="19">
        <f t="shared" ca="1" si="0"/>
        <v>95602.44237062856</v>
      </c>
      <c r="J17" s="64">
        <f ca="1">(References!$C$53*I17)</f>
        <v>321.70699869928308</v>
      </c>
      <c r="K17" s="64">
        <f ca="1">J17/References!$G$56</f>
        <v>329.14569132318707</v>
      </c>
      <c r="L17" s="124">
        <v>6.87</v>
      </c>
      <c r="M17" s="134">
        <v>6.85</v>
      </c>
      <c r="N17" s="96">
        <f t="shared" ca="1" si="3"/>
        <v>9.9201519568321933E-2</v>
      </c>
      <c r="O17" s="124">
        <f t="shared" ca="1" si="1"/>
        <v>6.97</v>
      </c>
      <c r="P17" s="134">
        <f t="shared" ca="1" si="5"/>
        <v>6.95</v>
      </c>
      <c r="Q17" s="64">
        <f ca="1">(E17/G17)*'DF Calculation'!L17</f>
        <v>22794.317155927671</v>
      </c>
      <c r="R17" s="64">
        <f ca="1">(E17/G17)*'DF Calculation'!O17</f>
        <v>23126.112165475381</v>
      </c>
      <c r="S17" s="64">
        <f t="shared" ca="1" si="6"/>
        <v>331.79500954770992</v>
      </c>
      <c r="T17" s="382">
        <f ca="1">(((F17*$D$44)*(References!$C$53/References!$G$56))*$G17)-N17</f>
        <v>0</v>
      </c>
      <c r="U17" s="119"/>
    </row>
    <row r="18" spans="1:21">
      <c r="A18" s="436"/>
      <c r="B18" s="93">
        <v>21</v>
      </c>
      <c r="C18" s="58" t="s">
        <v>210</v>
      </c>
      <c r="D18" s="63" t="str">
        <f>VLOOKUP($C18,Mapping!$F$2:$J$37,5,FALSE)</f>
        <v>1-48 gal Cart MG</v>
      </c>
      <c r="E18" s="97">
        <f ca="1">SUMIFS(Mapping!O:O,Mapping!A:A,"Residential",Mapping!J:J,'DF Calculation'!D18)</f>
        <v>552.70453178199818</v>
      </c>
      <c r="F18" s="97">
        <f>VLOOKUP(C18,Mapping!F:N,7,FALSE)</f>
        <v>48</v>
      </c>
      <c r="G18" s="98">
        <f>VLOOKUP($C18,Mapping!$F$2:$M$37,8,FALSE)</f>
        <v>1</v>
      </c>
      <c r="H18" s="97">
        <f t="shared" ca="1" si="2"/>
        <v>26529.817525535913</v>
      </c>
      <c r="I18" s="19">
        <f t="shared" ca="1" si="0"/>
        <v>20660.064669559524</v>
      </c>
      <c r="J18" s="64">
        <f ca="1">(References!$C$53*I18)</f>
        <v>69.522150616301161</v>
      </c>
      <c r="K18" s="64">
        <f ca="1">J18/References!$G$56</f>
        <v>71.129681416309765</v>
      </c>
      <c r="L18" s="124">
        <v>8.61</v>
      </c>
      <c r="M18" s="134">
        <v>8.58</v>
      </c>
      <c r="N18" s="96">
        <f t="shared" ca="1" si="3"/>
        <v>0.128693863223769</v>
      </c>
      <c r="O18" s="124">
        <f t="shared" ca="1" si="1"/>
        <v>8.74</v>
      </c>
      <c r="P18" s="134">
        <f t="shared" ca="1" si="5"/>
        <v>8.7100000000000009</v>
      </c>
      <c r="Q18" s="64">
        <f ca="1">(E18/G18)*'DF Calculation'!L18</f>
        <v>4758.7860186430044</v>
      </c>
      <c r="R18" s="64">
        <f ca="1">(E18/G18)*'DF Calculation'!O18</f>
        <v>4830.6376077746645</v>
      </c>
      <c r="S18" s="64">
        <f t="shared" ca="1" si="6"/>
        <v>71.851589131660148</v>
      </c>
      <c r="T18" s="382">
        <f ca="1">(((F18*$D$44)*(References!$C$53/References!$G$56))*$G18)-N18</f>
        <v>0</v>
      </c>
      <c r="U18" s="119"/>
    </row>
    <row r="19" spans="1:21">
      <c r="A19" s="436"/>
      <c r="B19" s="93">
        <v>21</v>
      </c>
      <c r="C19" s="58" t="s">
        <v>212</v>
      </c>
      <c r="D19" s="63" t="str">
        <f>VLOOKUP($C19,Mapping!$F$2:$J$37,5,FALSE)</f>
        <v>1-64 gal Cart MG</v>
      </c>
      <c r="E19" s="97">
        <f ca="1">SUMIFS(Mapping!O:O,Mapping!A:A,"Residential",Mapping!J:J,'DF Calculation'!D19)</f>
        <v>565.7955315849423</v>
      </c>
      <c r="F19" s="97">
        <f>VLOOKUP(C19,Mapping!F:N,7,FALSE)</f>
        <v>51</v>
      </c>
      <c r="G19" s="98">
        <f>VLOOKUP($C19,Mapping!$F$2:$M$37,8,FALSE)</f>
        <v>1</v>
      </c>
      <c r="H19" s="97">
        <f t="shared" ca="1" si="2"/>
        <v>28855.572110832058</v>
      </c>
      <c r="I19" s="19">
        <f t="shared" ca="1" si="0"/>
        <v>22471.243359028191</v>
      </c>
      <c r="J19" s="64">
        <f ca="1">(References!$C$53*I19)</f>
        <v>75.616857465297684</v>
      </c>
      <c r="K19" s="64">
        <f ca="1">J19/References!$G$56</f>
        <v>77.365313551563005</v>
      </c>
      <c r="L19" s="124">
        <v>10.16</v>
      </c>
      <c r="M19" s="134">
        <v>10.130000000000001</v>
      </c>
      <c r="N19" s="96">
        <f t="shared" ca="1" si="3"/>
        <v>0.13673722967525456</v>
      </c>
      <c r="O19" s="124">
        <f t="shared" ca="1" si="1"/>
        <v>10.3</v>
      </c>
      <c r="P19" s="134">
        <f t="shared" ca="1" si="5"/>
        <v>10.27</v>
      </c>
      <c r="Q19" s="64">
        <f ca="1">(E19/G19)*'DF Calculation'!L19</f>
        <v>5748.4826009030139</v>
      </c>
      <c r="R19" s="64">
        <f ca="1">(E19/G19)*'DF Calculation'!O19</f>
        <v>5827.6939753249062</v>
      </c>
      <c r="S19" s="64">
        <f t="shared" ca="1" si="6"/>
        <v>79.211374421892288</v>
      </c>
      <c r="T19" s="382">
        <f ca="1">(((F19*$D$44)*(References!$C$53/References!$G$56))*$G19)-N19</f>
        <v>0</v>
      </c>
      <c r="U19" s="119"/>
    </row>
    <row r="20" spans="1:21">
      <c r="A20" s="436"/>
      <c r="B20" s="93">
        <v>21</v>
      </c>
      <c r="C20" s="58" t="s">
        <v>214</v>
      </c>
      <c r="D20" s="63" t="str">
        <f>VLOOKUP($C20,Mapping!$F$2:$J$37,5,FALSE)</f>
        <v>1-96 gal Cart MG</v>
      </c>
      <c r="E20" s="97">
        <f ca="1">SUMIFS(Mapping!O:O,Mapping!A:A,"Residential",Mapping!J:J,'DF Calculation'!D20)</f>
        <v>489.24425771235718</v>
      </c>
      <c r="F20" s="97">
        <f>VLOOKUP(C20,Mapping!F:N,7,FALSE)</f>
        <v>77</v>
      </c>
      <c r="G20" s="98">
        <f>VLOOKUP($C20,Mapping!$F$2:$M$37,8,FALSE)</f>
        <v>1</v>
      </c>
      <c r="H20" s="97">
        <f t="shared" ca="1" si="2"/>
        <v>37671.8078438515</v>
      </c>
      <c r="I20" s="19">
        <f t="shared" ca="1" si="0"/>
        <v>29336.876724615533</v>
      </c>
      <c r="J20" s="64">
        <f ca="1">(References!$C$53*I20)</f>
        <v>98.720057022167339</v>
      </c>
      <c r="K20" s="64">
        <f ca="1">J20/References!$G$56</f>
        <v>101.00271845934861</v>
      </c>
      <c r="L20" s="124">
        <v>12.54</v>
      </c>
      <c r="M20" s="134">
        <v>12.51</v>
      </c>
      <c r="N20" s="96">
        <f t="shared" ca="1" si="3"/>
        <v>0.20644640558812943</v>
      </c>
      <c r="O20" s="124">
        <f t="shared" ca="1" si="1"/>
        <v>12.75</v>
      </c>
      <c r="P20" s="134">
        <f t="shared" ca="1" si="5"/>
        <v>12.72</v>
      </c>
      <c r="Q20" s="64">
        <f ca="1">(E20/G20)*'DF Calculation'!L20</f>
        <v>6135.1229917129585</v>
      </c>
      <c r="R20" s="64">
        <f ca="1">(E20/G20)*'DF Calculation'!O20</f>
        <v>6237.8642858325538</v>
      </c>
      <c r="S20" s="64">
        <f t="shared" ca="1" si="6"/>
        <v>102.7412941195953</v>
      </c>
      <c r="T20" s="382">
        <f ca="1">(((F20*$D$44)*(References!$C$53/References!$G$56))*$G20)-N20</f>
        <v>0</v>
      </c>
      <c r="U20" s="119"/>
    </row>
    <row r="21" spans="1:21">
      <c r="A21" s="436"/>
      <c r="B21" s="93">
        <v>22</v>
      </c>
      <c r="C21" s="58" t="s">
        <v>216</v>
      </c>
      <c r="D21" s="63" t="str">
        <f>VLOOKUP($C21,Mapping!$F$2:$J$37,5,FALSE)</f>
        <v>Extra Pickup Extra</v>
      </c>
      <c r="E21" s="97">
        <f ca="1">SUMIFS(Mapping!O:O,Mapping!A:A,"Residential",Mapping!J:J,'DF Calculation'!D21)</f>
        <v>12457.662716722731</v>
      </c>
      <c r="F21" s="97">
        <f>VLOOKUP(C21,Mapping!F:N,7,FALSE)</f>
        <v>34</v>
      </c>
      <c r="G21" s="98">
        <f>VLOOKUP($C21,Mapping!$F$2:$M$37,8,FALSE)</f>
        <v>1</v>
      </c>
      <c r="H21" s="97">
        <f t="shared" ca="1" si="2"/>
        <v>423560.53236857284</v>
      </c>
      <c r="I21" s="19">
        <f t="shared" ca="1" si="0"/>
        <v>329847.2739884028</v>
      </c>
      <c r="J21" s="64">
        <f ca="1">(References!$C$53*I21)</f>
        <v>1109.9525693346729</v>
      </c>
      <c r="K21" s="64">
        <f ca="1">J21/References!$G$56</f>
        <v>1135.6175254089144</v>
      </c>
      <c r="L21" s="124">
        <v>4.82</v>
      </c>
      <c r="M21" s="134">
        <v>4.8099999999999996</v>
      </c>
      <c r="N21" s="96">
        <f t="shared" ca="1" si="3"/>
        <v>9.1158153116836366E-2</v>
      </c>
      <c r="O21" s="124">
        <f t="shared" ca="1" si="1"/>
        <v>4.91</v>
      </c>
      <c r="P21" s="134">
        <f t="shared" ca="1" si="5"/>
        <v>4.9000000000000004</v>
      </c>
      <c r="Q21" s="64">
        <f ca="1">(E21/G21)*'DF Calculation'!L21</f>
        <v>60045.934294603569</v>
      </c>
      <c r="R21" s="64">
        <f ca="1">(E21/G21)*'DF Calculation'!O21</f>
        <v>61167.123939108613</v>
      </c>
      <c r="S21" s="64">
        <f t="shared" ca="1" si="6"/>
        <v>1121.1896445050443</v>
      </c>
      <c r="T21" s="382">
        <f ca="1">(((F21*$D$44)*(References!$C$53/References!$G$56))*$G21)-N21</f>
        <v>0</v>
      </c>
      <c r="U21" s="119"/>
    </row>
    <row r="22" spans="1:21">
      <c r="A22" s="436"/>
      <c r="B22" s="93">
        <v>22</v>
      </c>
      <c r="C22" s="58" t="s">
        <v>220</v>
      </c>
      <c r="D22" s="63" t="str">
        <f>VLOOKUP($C22,Mapping!$F$2:$J$37,5,FALSE)</f>
        <v>1-35 gal Cart On Call Svc</v>
      </c>
      <c r="E22" s="97">
        <f ca="1">SUMIFS(Mapping!O:O,Mapping!A:A,"Residential",Mapping!J:J,'DF Calculation'!D22)</f>
        <v>5727.8582174158992</v>
      </c>
      <c r="F22" s="97">
        <f>VLOOKUP(C22,Mapping!F:N,7,FALSE)</f>
        <v>37</v>
      </c>
      <c r="G22" s="98">
        <f>VLOOKUP($C22,Mapping!$F$2:$M$37,8,FALSE)</f>
        <v>1</v>
      </c>
      <c r="H22" s="97">
        <f t="shared" ca="1" si="2"/>
        <v>211930.75404438828</v>
      </c>
      <c r="I22" s="19">
        <f t="shared" ca="1" si="0"/>
        <v>165040.82924095151</v>
      </c>
      <c r="J22" s="64">
        <f ca="1">(References!$C$53*I22)</f>
        <v>555.37064243726297</v>
      </c>
      <c r="K22" s="64">
        <f ca="1">J22/References!$G$56</f>
        <v>568.21223903955695</v>
      </c>
      <c r="L22" s="124">
        <v>6.87</v>
      </c>
      <c r="M22" s="134">
        <v>6.85</v>
      </c>
      <c r="N22" s="96">
        <f t="shared" ca="1" si="3"/>
        <v>9.9201519568321947E-2</v>
      </c>
      <c r="O22" s="124">
        <f t="shared" ca="1" si="1"/>
        <v>6.97</v>
      </c>
      <c r="P22" s="134">
        <f t="shared" ca="1" si="5"/>
        <v>6.95</v>
      </c>
      <c r="Q22" s="64">
        <f ca="1">(E22/G22)*'DF Calculation'!L22</f>
        <v>39350.38595364723</v>
      </c>
      <c r="R22" s="64">
        <f ca="1">(E22/G22)*'DF Calculation'!O22</f>
        <v>39923.171775388815</v>
      </c>
      <c r="S22" s="64">
        <f t="shared" ca="1" si="6"/>
        <v>572.7858217415851</v>
      </c>
      <c r="T22" s="382">
        <f ca="1">(((F22*$D$44)*(References!$C$53/References!$G$56))*$G22)-N22</f>
        <v>0</v>
      </c>
      <c r="U22" s="119"/>
    </row>
    <row r="23" spans="1:21">
      <c r="A23" s="436"/>
      <c r="B23" s="93">
        <v>22</v>
      </c>
      <c r="C23" s="58" t="s">
        <v>222</v>
      </c>
      <c r="D23" s="63" t="str">
        <f>VLOOKUP($C23,Mapping!$F$2:$J$37,5,FALSE)</f>
        <v>1-48 gal Cart On Call Svc</v>
      </c>
      <c r="E23" s="97">
        <f ca="1">SUMIFS(Mapping!O:O,Mapping!A:A,"Residential",Mapping!J:J,'DF Calculation'!D23)</f>
        <v>631.78050374842564</v>
      </c>
      <c r="F23" s="97">
        <f>VLOOKUP(C23,Mapping!F:N,7,FALSE)</f>
        <v>48</v>
      </c>
      <c r="G23" s="98">
        <f>VLOOKUP($C23,Mapping!$F$2:$M$37,8,FALSE)</f>
        <v>1</v>
      </c>
      <c r="H23" s="97">
        <f t="shared" ca="1" si="2"/>
        <v>30325.464179924431</v>
      </c>
      <c r="I23" s="19">
        <f t="shared" ca="1" si="0"/>
        <v>23615.920105315294</v>
      </c>
      <c r="J23" s="64">
        <f ca="1">(References!$C$53*I23)</f>
        <v>79.468751950391095</v>
      </c>
      <c r="K23" s="64">
        <f ca="1">J23/References!$G$56</f>
        <v>81.306273736843764</v>
      </c>
      <c r="L23" s="124">
        <v>8.6</v>
      </c>
      <c r="M23" s="134">
        <v>8.58</v>
      </c>
      <c r="N23" s="96">
        <f t="shared" ca="1" si="3"/>
        <v>0.128693863223769</v>
      </c>
      <c r="O23" s="124">
        <f t="shared" ca="1" si="1"/>
        <v>8.73</v>
      </c>
      <c r="P23" s="134">
        <f t="shared" ca="1" si="5"/>
        <v>8.7100000000000009</v>
      </c>
      <c r="Q23" s="64">
        <f ca="1">(E23/G23)*'DF Calculation'!L23</f>
        <v>5433.31233223646</v>
      </c>
      <c r="R23" s="64">
        <f ca="1">(E23/G23)*'DF Calculation'!O23</f>
        <v>5515.4437977237558</v>
      </c>
      <c r="S23" s="64">
        <f t="shared" ca="1" si="6"/>
        <v>82.131465487295827</v>
      </c>
      <c r="T23" s="382">
        <f ca="1">(((F23*$D$44)*(References!$C$53/References!$G$56))*$G23)-N23</f>
        <v>0</v>
      </c>
      <c r="U23" s="119"/>
    </row>
    <row r="24" spans="1:21">
      <c r="A24" s="436"/>
      <c r="B24" s="93">
        <v>22</v>
      </c>
      <c r="C24" s="58" t="s">
        <v>224</v>
      </c>
      <c r="D24" s="63" t="str">
        <f>VLOOKUP($C24,Mapping!$F$2:$J$37,5,FALSE)</f>
        <v>1-64 gal Cart On Call Svc</v>
      </c>
      <c r="E24" s="97">
        <f ca="1">SUMIFS(Mapping!O:O,Mapping!A:A,"Residential",Mapping!J:J,'DF Calculation'!D24)</f>
        <v>564.44380896226414</v>
      </c>
      <c r="F24" s="97">
        <f>VLOOKUP(C24,Mapping!F:N,7,FALSE)</f>
        <v>51</v>
      </c>
      <c r="G24" s="98">
        <f>VLOOKUP($C24,Mapping!$F$2:$M$37,8,FALSE)</f>
        <v>1</v>
      </c>
      <c r="H24" s="97">
        <f t="shared" ca="1" si="2"/>
        <v>28786.634257075471</v>
      </c>
      <c r="I24" s="19">
        <f t="shared" ca="1" si="0"/>
        <v>22417.55808526327</v>
      </c>
      <c r="J24" s="64">
        <f ca="1">(References!$C$53*I24)</f>
        <v>75.436203834815046</v>
      </c>
      <c r="K24" s="64">
        <f ca="1">J24/References!$G$56</f>
        <v>77.180482744848618</v>
      </c>
      <c r="L24" s="124">
        <v>10.16</v>
      </c>
      <c r="M24" s="134">
        <v>10.130000000000001</v>
      </c>
      <c r="N24" s="96">
        <f t="shared" ca="1" si="3"/>
        <v>0.13673722967525456</v>
      </c>
      <c r="O24" s="124">
        <f t="shared" ca="1" si="1"/>
        <v>10.3</v>
      </c>
      <c r="P24" s="134">
        <f t="shared" ca="1" si="5"/>
        <v>10.27</v>
      </c>
      <c r="Q24" s="64">
        <f ca="1">(E24/G24)*'DF Calculation'!L24</f>
        <v>5734.7490990566039</v>
      </c>
      <c r="R24" s="64">
        <f ca="1">(E24/G24)*'DF Calculation'!O24</f>
        <v>5813.771232311321</v>
      </c>
      <c r="S24" s="64">
        <f t="shared" ca="1" si="6"/>
        <v>79.022133254717119</v>
      </c>
      <c r="T24" s="382">
        <f ca="1">(((F24*$D$44)*(References!$C$53/References!$G$56))*$G24)-N24</f>
        <v>0</v>
      </c>
      <c r="U24" s="119"/>
    </row>
    <row r="25" spans="1:21">
      <c r="A25" s="436"/>
      <c r="B25" s="93">
        <v>22</v>
      </c>
      <c r="C25" s="58" t="s">
        <v>226</v>
      </c>
      <c r="D25" s="63" t="str">
        <f>VLOOKUP($C25,Mapping!$F$2:$J$37,5,FALSE)</f>
        <v>1-96 gal Cart On Call Svc</v>
      </c>
      <c r="E25" s="97">
        <f ca="1">SUMIFS(Mapping!O:O,Mapping!A:A,"Residential",Mapping!J:J,'DF Calculation'!D25)</f>
        <v>1103.5160712770676</v>
      </c>
      <c r="F25" s="97">
        <f>VLOOKUP(C25,Mapping!F:N,7,FALSE)</f>
        <v>77</v>
      </c>
      <c r="G25" s="98">
        <f>VLOOKUP($C25,Mapping!$F$2:$M$37,8,FALSE)</f>
        <v>1</v>
      </c>
      <c r="H25" s="97">
        <f t="shared" ca="1" si="2"/>
        <v>84970.737488334198</v>
      </c>
      <c r="I25" s="19">
        <f t="shared" ca="1" si="0"/>
        <v>66170.863400753398</v>
      </c>
      <c r="J25" s="64">
        <f ca="1">(References!$C$53*I25)</f>
        <v>222.66826388670486</v>
      </c>
      <c r="K25" s="64">
        <f ca="1">J25/References!$G$56</f>
        <v>227.81692642388464</v>
      </c>
      <c r="L25" s="124">
        <v>12.54</v>
      </c>
      <c r="M25" s="134">
        <v>12.51</v>
      </c>
      <c r="N25" s="96">
        <f t="shared" ca="1" si="3"/>
        <v>0.20644640558812943</v>
      </c>
      <c r="O25" s="124">
        <f t="shared" ca="1" si="1"/>
        <v>12.75</v>
      </c>
      <c r="P25" s="134">
        <f t="shared" ca="1" si="5"/>
        <v>12.72</v>
      </c>
      <c r="Q25" s="64">
        <f ca="1">(E25/G25)*'DF Calculation'!L25</f>
        <v>13838.091533814426</v>
      </c>
      <c r="R25" s="64">
        <f ca="1">(E25/G25)*'DF Calculation'!O25</f>
        <v>14069.829908782611</v>
      </c>
      <c r="S25" s="64">
        <f t="shared" ca="1" si="6"/>
        <v>231.73837496818487</v>
      </c>
      <c r="T25" s="382">
        <f ca="1">(((F25*$D$44)*(References!$C$53/References!$G$56))*$G25)-N25</f>
        <v>0</v>
      </c>
      <c r="U25" s="119"/>
    </row>
    <row r="26" spans="1:21">
      <c r="A26" s="75"/>
      <c r="B26" s="42"/>
      <c r="C26" s="57"/>
      <c r="D26" s="43" t="s">
        <v>14</v>
      </c>
      <c r="E26" s="41">
        <f ca="1">SUM(E7:E25)</f>
        <v>575862.27370170655</v>
      </c>
      <c r="F26" s="44"/>
      <c r="G26" s="89"/>
      <c r="H26" s="41">
        <f t="shared" ref="H26:I26" ca="1" si="7">SUM(H7:H25)</f>
        <v>26929919.472512599</v>
      </c>
      <c r="I26" s="41">
        <f t="shared" ca="1" si="7"/>
        <v>20971643.597345158</v>
      </c>
      <c r="J26" s="152">
        <f ca="1">SUM(J7:J25)</f>
        <v>70570.629287246207</v>
      </c>
      <c r="K26" s="152">
        <f ca="1">SUM(K7:K25)</f>
        <v>72202.40360880518</v>
      </c>
      <c r="L26" s="41"/>
      <c r="M26" s="99"/>
      <c r="N26" s="41"/>
      <c r="O26" s="79"/>
      <c r="P26" s="90"/>
      <c r="Q26" s="152">
        <f ca="1">SUM(Q7:Q25)</f>
        <v>3499772.1990291476</v>
      </c>
      <c r="R26" s="152">
        <f t="shared" ref="R26" ca="1" si="8">SUM(R7:R25)</f>
        <v>3571841.1295949467</v>
      </c>
      <c r="S26" s="152">
        <f ca="1">SUM(S7:S25)</f>
        <v>72068.930565799878</v>
      </c>
      <c r="T26" s="40">
        <f ca="1">S26/Q26</f>
        <v>2.0592463299694799E-2</v>
      </c>
      <c r="U26" s="112"/>
    </row>
    <row r="27" spans="1:21" ht="15" customHeight="1">
      <c r="A27" s="437" t="s">
        <v>12</v>
      </c>
      <c r="B27" s="93">
        <v>28</v>
      </c>
      <c r="C27" s="58" t="s">
        <v>335</v>
      </c>
      <c r="D27" s="63" t="str">
        <f>VLOOKUP($C27,Mapping!$F$2:$J$37,5,FALSE)</f>
        <v>1-4 yards Loose</v>
      </c>
      <c r="E27" s="97">
        <f ca="1">SUMIFS(Mapping!O:O,Mapping!A:A,"Commercial",Mapping!F:F,'DF Calculation'!C27)</f>
        <v>6.3694219456631771</v>
      </c>
      <c r="F27" s="97">
        <f>VLOOKUP(C27,Mapping!F:N,7,FALSE)</f>
        <v>125</v>
      </c>
      <c r="G27" s="98">
        <f>References!$B$12</f>
        <v>1</v>
      </c>
      <c r="H27" s="97">
        <f t="shared" ref="H27:H33" ca="1" si="9">E27*F27</f>
        <v>796.17774320789715</v>
      </c>
      <c r="I27" s="19">
        <f t="shared" ref="I27:I33" ca="1" si="10">$D$44*H27</f>
        <v>620.02249534156317</v>
      </c>
      <c r="J27" s="64">
        <f ca="1">(References!$C$53*I27)</f>
        <v>2.0864066979491236</v>
      </c>
      <c r="K27" s="64">
        <f ca="1">J27/References!$G$56</f>
        <v>2.1346497830459623</v>
      </c>
      <c r="L27" s="124">
        <v>29.53</v>
      </c>
      <c r="M27" s="134">
        <v>29.45</v>
      </c>
      <c r="N27" s="96">
        <f t="shared" ref="N27:N33" ca="1" si="11">IFERROR((K27/E27),0)</f>
        <v>0.33514026881189846</v>
      </c>
      <c r="O27" s="124">
        <f t="shared" ref="O27:O33" ca="1" si="12">ROUND(N27+L27,2)</f>
        <v>29.87</v>
      </c>
      <c r="P27" s="134">
        <f t="shared" ca="1" si="5"/>
        <v>29.79</v>
      </c>
      <c r="Q27" s="64">
        <f t="shared" ref="Q27:Q33" ca="1" si="13">E27*L27</f>
        <v>188.08903005543362</v>
      </c>
      <c r="R27" s="64">
        <f t="shared" ref="R27:R33" ca="1" si="14">E27*O27</f>
        <v>190.2546335169591</v>
      </c>
      <c r="S27" s="64">
        <f t="shared" ref="S27:S33" ca="1" si="15">R27-Q27</f>
        <v>2.1656034615254782</v>
      </c>
      <c r="T27" s="382">
        <f ca="1">(((F27*$D$44)*(References!$C$53/References!$G$56))*$G27)-N27</f>
        <v>0</v>
      </c>
      <c r="U27" s="97"/>
    </row>
    <row r="28" spans="1:21" ht="15" customHeight="1">
      <c r="A28" s="437"/>
      <c r="B28" s="93">
        <v>28</v>
      </c>
      <c r="C28" s="58" t="s">
        <v>337</v>
      </c>
      <c r="D28" s="63" t="str">
        <f>VLOOKUP($C28,Mapping!$F$2:$J$37,5,FALSE)</f>
        <v>Additional Loose</v>
      </c>
      <c r="E28" s="97">
        <f ca="1">SUMIFS(Mapping!O:O,Mapping!A:A,"Commercial",Mapping!F:F,'DF Calculation'!C28)</f>
        <v>9</v>
      </c>
      <c r="F28" s="97">
        <f>VLOOKUP(C28,Mapping!F:N,7,FALSE)</f>
        <v>125</v>
      </c>
      <c r="G28" s="98">
        <f>References!$B$12</f>
        <v>1</v>
      </c>
      <c r="H28" s="97">
        <f t="shared" ca="1" si="9"/>
        <v>1125</v>
      </c>
      <c r="I28" s="19">
        <f t="shared" ca="1" si="10"/>
        <v>876.09244695643474</v>
      </c>
      <c r="J28" s="64">
        <f ca="1">(References!$C$53*I28)</f>
        <v>2.9480948886307456</v>
      </c>
      <c r="K28" s="64">
        <f ca="1">J28/References!$G$56</f>
        <v>3.0162624193070857</v>
      </c>
      <c r="L28" s="124">
        <v>29.53</v>
      </c>
      <c r="M28" s="134">
        <v>29.45</v>
      </c>
      <c r="N28" s="96">
        <f t="shared" ca="1" si="11"/>
        <v>0.3351402688118984</v>
      </c>
      <c r="O28" s="124">
        <f t="shared" ca="1" si="12"/>
        <v>29.87</v>
      </c>
      <c r="P28" s="134">
        <f t="shared" ca="1" si="5"/>
        <v>29.79</v>
      </c>
      <c r="Q28" s="64">
        <f t="shared" ca="1" si="13"/>
        <v>265.77</v>
      </c>
      <c r="R28" s="64">
        <f t="shared" ca="1" si="14"/>
        <v>268.83</v>
      </c>
      <c r="S28" s="64">
        <f t="shared" ca="1" si="15"/>
        <v>3.0600000000000023</v>
      </c>
      <c r="T28" s="382">
        <f ca="1">(((F28*$D$44)*(References!$C$53/References!$G$56))*$G28)-N28</f>
        <v>0</v>
      </c>
      <c r="U28" s="97"/>
    </row>
    <row r="29" spans="1:21">
      <c r="A29" s="437"/>
      <c r="B29" s="93">
        <v>36</v>
      </c>
      <c r="C29" s="58" t="s">
        <v>315</v>
      </c>
      <c r="D29" s="63" t="str">
        <f>VLOOKUP($C29,Mapping!$F$2:$J$37,5,FALSE)</f>
        <v>Commercial Can Additional</v>
      </c>
      <c r="E29" s="97">
        <f ca="1">SUMIFS(Mapping!O:O,Mapping!A:A,"Commercial",Mapping!F:F,'DF Calculation'!C29)</f>
        <v>1063.7684210526315</v>
      </c>
      <c r="F29" s="97">
        <f>VLOOKUP(C29,Mapping!F:N,7,FALSE)</f>
        <v>29</v>
      </c>
      <c r="G29" s="98">
        <f>References!$B$12</f>
        <v>1</v>
      </c>
      <c r="H29" s="97">
        <f t="shared" ca="1" si="9"/>
        <v>30849.284210526315</v>
      </c>
      <c r="I29" s="19">
        <f t="shared" ca="1" si="10"/>
        <v>24023.844347426228</v>
      </c>
      <c r="J29" s="64">
        <f ca="1">(References!$C$53*I29)</f>
        <v>80.841437421306495</v>
      </c>
      <c r="K29" s="64">
        <f ca="1">J29/References!$G$56</f>
        <v>82.710699223763541</v>
      </c>
      <c r="L29" s="124">
        <v>5.0199999999999996</v>
      </c>
      <c r="M29" s="134">
        <v>5.01</v>
      </c>
      <c r="N29" s="96">
        <f t="shared" ca="1" si="11"/>
        <v>7.7752542364360439E-2</v>
      </c>
      <c r="O29" s="124">
        <f t="shared" ca="1" si="12"/>
        <v>5.0999999999999996</v>
      </c>
      <c r="P29" s="134">
        <f t="shared" ca="1" si="5"/>
        <v>5.09</v>
      </c>
      <c r="Q29" s="64">
        <f t="shared" ca="1" si="13"/>
        <v>5340.1174736842095</v>
      </c>
      <c r="R29" s="64">
        <f t="shared" ca="1" si="14"/>
        <v>5425.2189473684202</v>
      </c>
      <c r="S29" s="64">
        <f t="shared" ca="1" si="15"/>
        <v>85.10147368421076</v>
      </c>
      <c r="T29" s="382">
        <f ca="1">(((F29*$D$44)*(References!$C$53/References!$G$56))*$G29)-N29</f>
        <v>0</v>
      </c>
      <c r="U29" s="92"/>
    </row>
    <row r="30" spans="1:21">
      <c r="A30" s="437"/>
      <c r="B30" s="93">
        <v>35</v>
      </c>
      <c r="C30" s="58" t="s">
        <v>290</v>
      </c>
      <c r="D30" s="63" t="str">
        <f>VLOOKUP($C30,Mapping!$F$2:$J$37,5,FALSE)</f>
        <v>1 yard Permanent</v>
      </c>
      <c r="E30" s="97">
        <f ca="1">SUMIFS(Mapping!O:O,Mapping!A:A,"Commercial",Mapping!F:F,'DF Calculation'!C30)</f>
        <v>857.62146100426719</v>
      </c>
      <c r="F30" s="97">
        <f>VLOOKUP(C30,Mapping!F:N,7,FALSE)</f>
        <v>175</v>
      </c>
      <c r="G30" s="98">
        <f>References!$B$12</f>
        <v>1</v>
      </c>
      <c r="H30" s="97">
        <f t="shared" ca="1" si="9"/>
        <v>150083.75567574677</v>
      </c>
      <c r="I30" s="19">
        <f t="shared" ca="1" si="10"/>
        <v>116877.55089633484</v>
      </c>
      <c r="J30" s="64">
        <f ca="1">(References!$C$53*I30)</f>
        <v>393.29880264371093</v>
      </c>
      <c r="K30" s="64">
        <f ca="1">J30/References!$G$56</f>
        <v>402.39288177175251</v>
      </c>
      <c r="L30" s="124">
        <v>18.54</v>
      </c>
      <c r="M30" s="134">
        <v>18.489999999999998</v>
      </c>
      <c r="N30" s="96">
        <f t="shared" ca="1" si="11"/>
        <v>0.46919637633665789</v>
      </c>
      <c r="O30" s="124">
        <f t="shared" ca="1" si="12"/>
        <v>19.010000000000002</v>
      </c>
      <c r="P30" s="134">
        <f t="shared" ca="1" si="5"/>
        <v>18.96</v>
      </c>
      <c r="Q30" s="64">
        <f t="shared" ca="1" si="13"/>
        <v>15900.301887019114</v>
      </c>
      <c r="R30" s="64">
        <f t="shared" ca="1" si="14"/>
        <v>16303.383973691121</v>
      </c>
      <c r="S30" s="64">
        <f t="shared" ca="1" si="15"/>
        <v>403.08208667200779</v>
      </c>
      <c r="T30" s="382">
        <f ca="1">(((F30*$D$44)*(References!$C$53/References!$G$56))*$G30)-N30</f>
        <v>0</v>
      </c>
      <c r="U30" s="97"/>
    </row>
    <row r="31" spans="1:21">
      <c r="A31" s="437"/>
      <c r="B31" s="93">
        <v>35</v>
      </c>
      <c r="C31" s="58" t="s">
        <v>295</v>
      </c>
      <c r="D31" s="63" t="str">
        <f>VLOOKUP($C31,Mapping!$F$2:$J$37,5,FALSE)</f>
        <v>1.5 yard Permanent</v>
      </c>
      <c r="E31" s="97">
        <f ca="1">SUMIFS(Mapping!O:O,Mapping!A:A,"Commercial",Mapping!F:F,'DF Calculation'!C31)</f>
        <v>12229.632274819582</v>
      </c>
      <c r="F31" s="97">
        <f>VLOOKUP(C31,Mapping!F:N,7,FALSE)</f>
        <v>250</v>
      </c>
      <c r="G31" s="98">
        <f>References!$B$12</f>
        <v>1</v>
      </c>
      <c r="H31" s="97">
        <f t="shared" ca="1" si="9"/>
        <v>3057408.0687048952</v>
      </c>
      <c r="I31" s="19">
        <f t="shared" ca="1" si="10"/>
        <v>2380952.9922275725</v>
      </c>
      <c r="J31" s="64">
        <f ca="1">(References!$C$53*I31)</f>
        <v>8012.0258664953799</v>
      </c>
      <c r="K31" s="64">
        <f ca="1">J31/References!$G$56</f>
        <v>8197.2844961074061</v>
      </c>
      <c r="L31" s="124">
        <v>20.64</v>
      </c>
      <c r="M31" s="134">
        <v>20.58</v>
      </c>
      <c r="N31" s="96">
        <f t="shared" ca="1" si="11"/>
        <v>0.6702805376237968</v>
      </c>
      <c r="O31" s="124">
        <f t="shared" ca="1" si="12"/>
        <v>21.31</v>
      </c>
      <c r="P31" s="134">
        <f t="shared" ca="1" si="5"/>
        <v>21.25</v>
      </c>
      <c r="Q31" s="64">
        <f t="shared" ca="1" si="13"/>
        <v>252419.61015227617</v>
      </c>
      <c r="R31" s="64">
        <f t="shared" ca="1" si="14"/>
        <v>260613.46377640526</v>
      </c>
      <c r="S31" s="64">
        <f t="shared" ca="1" si="15"/>
        <v>8193.8536241290858</v>
      </c>
      <c r="T31" s="382">
        <f ca="1">(((F31*$D$44)*(References!$C$53/References!$G$56))*$G31)-N31</f>
        <v>0</v>
      </c>
      <c r="U31" s="97"/>
    </row>
    <row r="32" spans="1:21">
      <c r="A32" s="437"/>
      <c r="B32" s="93">
        <v>35</v>
      </c>
      <c r="C32" s="58" t="s">
        <v>301</v>
      </c>
      <c r="D32" s="63" t="str">
        <f>VLOOKUP($C32,Mapping!$F$2:$J$37,5,FALSE)</f>
        <v>2 yard Permanent</v>
      </c>
      <c r="E32" s="97">
        <f ca="1">SUMIFS(Mapping!O:O,Mapping!A:A,"Commercial",Mapping!F:F,'DF Calculation'!C32)</f>
        <v>29667.607854441805</v>
      </c>
      <c r="F32" s="97">
        <f>VLOOKUP(C32,Mapping!F:N,7,FALSE)</f>
        <v>324</v>
      </c>
      <c r="G32" s="98">
        <f>References!$B$12</f>
        <v>1</v>
      </c>
      <c r="H32" s="97">
        <f t="shared" ca="1" si="9"/>
        <v>9612304.9448391441</v>
      </c>
      <c r="I32" s="19">
        <f t="shared" ca="1" si="10"/>
        <v>7485571.342236056</v>
      </c>
      <c r="J32" s="64">
        <f ca="1">(References!$C$53*I32)</f>
        <v>25189.3218451914</v>
      </c>
      <c r="K32" s="64">
        <f ca="1">J32/References!$G$56</f>
        <v>25771.763704922651</v>
      </c>
      <c r="L32" s="124">
        <v>27.28</v>
      </c>
      <c r="M32" s="134">
        <v>27.21</v>
      </c>
      <c r="N32" s="96">
        <f t="shared" ca="1" si="11"/>
        <v>0.86868357676044072</v>
      </c>
      <c r="O32" s="124">
        <f t="shared" ca="1" si="12"/>
        <v>28.15</v>
      </c>
      <c r="P32" s="134">
        <f t="shared" ca="1" si="5"/>
        <v>28.08</v>
      </c>
      <c r="Q32" s="64">
        <f t="shared" ca="1" si="13"/>
        <v>809332.34226917243</v>
      </c>
      <c r="R32" s="64">
        <f t="shared" ca="1" si="14"/>
        <v>835143.16110253672</v>
      </c>
      <c r="S32" s="64">
        <f t="shared" ca="1" si="15"/>
        <v>25810.81883336429</v>
      </c>
      <c r="T32" s="382">
        <f ca="1">(((F32*$D$44)*(References!$C$53/References!$G$56))*$G32)-N32</f>
        <v>0</v>
      </c>
      <c r="U32" s="97"/>
    </row>
    <row r="33" spans="1:22">
      <c r="A33" s="437"/>
      <c r="B33" s="93">
        <v>35</v>
      </c>
      <c r="C33" s="58" t="s">
        <v>333</v>
      </c>
      <c r="D33" s="63" t="str">
        <f>VLOOKUP($C33,Mapping!$F$2:$J$37,5,FALSE)</f>
        <v>Commercial Extra</v>
      </c>
      <c r="E33" s="97">
        <f ca="1">SUMIFS(Mapping!O:O,Mapping!A:A,"Commercial",Mapping!F:F,'DF Calculation'!C33)</f>
        <v>2329.8352007683179</v>
      </c>
      <c r="F33" s="97">
        <f>VLOOKUP(C33,Mapping!F:N,7,FALSE)</f>
        <v>125</v>
      </c>
      <c r="G33" s="98">
        <f>References!$B$12</f>
        <v>1</v>
      </c>
      <c r="H33" s="97">
        <f t="shared" ca="1" si="9"/>
        <v>291229.40009603975</v>
      </c>
      <c r="I33" s="19">
        <f t="shared" ca="1" si="10"/>
        <v>226794.55800515023</v>
      </c>
      <c r="J33" s="64">
        <f ca="1">(References!$C$53*I33)</f>
        <v>763.17502741522958</v>
      </c>
      <c r="K33" s="64">
        <f ca="1">J33/References!$G$56</f>
        <v>780.82159547291747</v>
      </c>
      <c r="L33" s="124">
        <v>17.079999999999998</v>
      </c>
      <c r="M33" s="134">
        <v>17.03</v>
      </c>
      <c r="N33" s="96">
        <f t="shared" ca="1" si="11"/>
        <v>0.33514026881189846</v>
      </c>
      <c r="O33" s="124">
        <f t="shared" ca="1" si="12"/>
        <v>17.420000000000002</v>
      </c>
      <c r="P33" s="134">
        <f t="shared" ca="1" si="5"/>
        <v>17.37</v>
      </c>
      <c r="Q33" s="64">
        <f t="shared" ca="1" si="13"/>
        <v>39793.585229122866</v>
      </c>
      <c r="R33" s="64">
        <f t="shared" ca="1" si="14"/>
        <v>40585.729197384106</v>
      </c>
      <c r="S33" s="64">
        <f t="shared" ca="1" si="15"/>
        <v>792.14396826123993</v>
      </c>
      <c r="T33" s="382">
        <f ca="1">(((F33*$D$44)*(References!$C$53/References!$G$56))*$G33)-N33</f>
        <v>0</v>
      </c>
      <c r="U33" s="97"/>
    </row>
    <row r="34" spans="1:22">
      <c r="A34" s="76"/>
      <c r="B34" s="86"/>
      <c r="C34" s="86"/>
      <c r="D34" s="87" t="s">
        <v>14</v>
      </c>
      <c r="E34" s="90">
        <f ca="1">SUM(E27:E33)</f>
        <v>46163.834634032268</v>
      </c>
      <c r="F34" s="89"/>
      <c r="G34" s="89"/>
      <c r="H34" s="90">
        <f ca="1">SUM(H27:H33)</f>
        <v>13143796.631269561</v>
      </c>
      <c r="I34" s="90">
        <f ca="1">SUM(I27:I33)</f>
        <v>10235716.402654838</v>
      </c>
      <c r="J34" s="422">
        <f t="shared" ref="J34:K34" ca="1" si="16">SUM(J27:J33)</f>
        <v>34443.697480753603</v>
      </c>
      <c r="K34" s="422">
        <f t="shared" ca="1" si="16"/>
        <v>35240.124289700841</v>
      </c>
      <c r="L34" s="88"/>
      <c r="M34" s="99"/>
      <c r="N34" s="88"/>
      <c r="O34" s="99"/>
      <c r="P34" s="99"/>
      <c r="Q34" s="422">
        <f t="shared" ref="Q34:R34" ca="1" si="17">SUM(Q27:Q33)</f>
        <v>1123239.8160413301</v>
      </c>
      <c r="R34" s="422">
        <f t="shared" ca="1" si="17"/>
        <v>1158530.0416309026</v>
      </c>
      <c r="S34" s="422">
        <f ca="1">SUM(S27:S33)</f>
        <v>35290.225589572357</v>
      </c>
      <c r="T34" s="40">
        <f ca="1">S34/Q34</f>
        <v>3.1418246651856434E-2</v>
      </c>
    </row>
    <row r="35" spans="1:22">
      <c r="A35" s="76"/>
      <c r="B35" s="53"/>
      <c r="C35" s="53"/>
      <c r="D35" s="21" t="s">
        <v>1</v>
      </c>
      <c r="E35" s="22">
        <f ca="1">E34+E26</f>
        <v>622026.10833573877</v>
      </c>
      <c r="F35" s="23"/>
      <c r="G35" s="23"/>
      <c r="H35" s="94">
        <f ca="1">H34+H26</f>
        <v>40073716.103782162</v>
      </c>
      <c r="I35" s="94">
        <f ca="1">I34+I26</f>
        <v>31207359.999999996</v>
      </c>
      <c r="J35" s="153">
        <f ca="1">J34+J26</f>
        <v>105014.32676799981</v>
      </c>
      <c r="K35" s="153">
        <f ca="1">K34+K26</f>
        <v>107442.52789850603</v>
      </c>
      <c r="L35" s="22"/>
      <c r="M35" s="94"/>
      <c r="N35" s="22"/>
      <c r="O35" s="94"/>
      <c r="P35" s="94"/>
      <c r="Q35" s="153">
        <f ca="1">Q34+Q26</f>
        <v>4623012.0150704775</v>
      </c>
      <c r="R35" s="153">
        <f ca="1">R34+R26</f>
        <v>4730371.1712258495</v>
      </c>
      <c r="S35" s="153">
        <f ca="1">S34+S26</f>
        <v>107359.15615537224</v>
      </c>
      <c r="T35" s="40">
        <f ca="1">S35/Q35</f>
        <v>2.3222772470716919E-2</v>
      </c>
    </row>
    <row r="36" spans="1:22" ht="18.75" customHeight="1">
      <c r="D36" s="356" t="s">
        <v>154</v>
      </c>
      <c r="E36" s="144">
        <f ca="1">E35-Mapping!R4</f>
        <v>0</v>
      </c>
      <c r="H36" s="33"/>
      <c r="J36" s="24"/>
      <c r="K36" s="15"/>
      <c r="T36" s="95"/>
    </row>
    <row r="37" spans="1:22">
      <c r="E37" s="35"/>
      <c r="J37" s="24"/>
      <c r="Q37" s="15"/>
      <c r="R37" s="15"/>
    </row>
    <row r="38" spans="1:22">
      <c r="A38" s="77"/>
      <c r="B38" s="20"/>
      <c r="C38" s="20"/>
      <c r="D38" s="31"/>
      <c r="E38" s="33"/>
      <c r="F38" s="32"/>
      <c r="G38" s="32"/>
      <c r="H38" s="32"/>
      <c r="I38" s="19"/>
      <c r="J38" s="61"/>
      <c r="K38" s="61"/>
      <c r="L38" s="61"/>
      <c r="M38" s="96"/>
      <c r="N38" s="61"/>
      <c r="O38" s="96"/>
      <c r="P38" s="96"/>
      <c r="Q38" s="62"/>
      <c r="R38" s="62"/>
      <c r="S38" s="54"/>
    </row>
    <row r="39" spans="1:22" ht="15" customHeight="1">
      <c r="B39" s="433" t="s">
        <v>77</v>
      </c>
      <c r="C39" s="434"/>
      <c r="D39" s="435"/>
      <c r="E39" s="29"/>
      <c r="H39" s="37"/>
      <c r="I39" s="52"/>
      <c r="J39" s="433" t="s">
        <v>117</v>
      </c>
      <c r="K39" s="434"/>
      <c r="L39" s="435"/>
      <c r="M39" s="337"/>
      <c r="Q39" s="61"/>
      <c r="R39" s="61"/>
      <c r="S39" s="34"/>
      <c r="T39" s="62"/>
      <c r="V39" s="95" t="s">
        <v>147</v>
      </c>
    </row>
    <row r="40" spans="1:22" s="106" customFormat="1" ht="25.5" customHeight="1">
      <c r="A40" s="104"/>
      <c r="B40" s="105"/>
      <c r="C40" s="105"/>
      <c r="D40" s="73" t="s">
        <v>14</v>
      </c>
      <c r="E40" s="104"/>
      <c r="F40" s="105"/>
      <c r="G40" s="105"/>
      <c r="I40" s="107"/>
      <c r="J40" s="111" t="s">
        <v>118</v>
      </c>
      <c r="K40" s="110" t="s">
        <v>8</v>
      </c>
      <c r="L40" s="110" t="s">
        <v>81</v>
      </c>
      <c r="M40" s="366"/>
      <c r="N40" s="105"/>
      <c r="Q40" s="108"/>
      <c r="R40" s="108"/>
      <c r="S40" s="109"/>
      <c r="U40" s="125" t="s">
        <v>85</v>
      </c>
    </row>
    <row r="41" spans="1:22">
      <c r="B41" s="51" t="s">
        <v>28</v>
      </c>
      <c r="C41" s="51"/>
      <c r="D41" s="140">
        <f>SUM('Disposal Schedule'!L7:L8)</f>
        <v>15603.68</v>
      </c>
      <c r="E41" s="358" t="s">
        <v>501</v>
      </c>
      <c r="F41" s="17"/>
      <c r="G41" s="17"/>
      <c r="H41" s="30"/>
      <c r="I41" s="81" t="s">
        <v>85</v>
      </c>
      <c r="J41" s="64">
        <f ca="1">Q26</f>
        <v>3499772.1990291476</v>
      </c>
      <c r="K41" s="80">
        <f ca="1">(L41-J41)/J41</f>
        <v>2.059246329969458E-2</v>
      </c>
      <c r="L41" s="64">
        <f ca="1">R26</f>
        <v>3571841.1295949467</v>
      </c>
      <c r="M41" s="64"/>
      <c r="Q41" s="61"/>
      <c r="R41" s="61"/>
      <c r="S41" s="34"/>
      <c r="T41" s="62"/>
      <c r="U41" s="125" t="s">
        <v>119</v>
      </c>
      <c r="V41" s="106"/>
    </row>
    <row r="42" spans="1:22">
      <c r="B42" s="51" t="s">
        <v>29</v>
      </c>
      <c r="C42" s="51"/>
      <c r="D42" s="357">
        <f>D41*References!$G$19</f>
        <v>31207360</v>
      </c>
      <c r="E42" s="11"/>
      <c r="F42" s="11"/>
      <c r="G42" s="11"/>
      <c r="H42" s="38"/>
      <c r="I42" s="81"/>
      <c r="J42" s="64"/>
      <c r="K42" s="80"/>
      <c r="L42" s="64"/>
      <c r="M42" s="64"/>
      <c r="Q42" s="61"/>
      <c r="R42" s="61"/>
      <c r="S42" s="34"/>
      <c r="T42" s="62"/>
      <c r="U42" s="125" t="s">
        <v>146</v>
      </c>
      <c r="V42" s="106"/>
    </row>
    <row r="43" spans="1:22">
      <c r="B43" s="51" t="s">
        <v>3</v>
      </c>
      <c r="C43" s="51"/>
      <c r="D43" s="81">
        <f ca="1">E35</f>
        <v>622026.10833573877</v>
      </c>
      <c r="E43" s="25"/>
      <c r="F43" s="25"/>
      <c r="G43" s="25"/>
      <c r="H43" s="39"/>
      <c r="I43" s="81" t="s">
        <v>119</v>
      </c>
      <c r="J43" s="64">
        <f ca="1">Q34</f>
        <v>1123239.8160413301</v>
      </c>
      <c r="K43" s="80">
        <f t="shared" ref="K43" ca="1" si="18">(L43-J43)/J43</f>
        <v>3.1418246651856517E-2</v>
      </c>
      <c r="L43" s="64">
        <f ca="1">R34</f>
        <v>1158530.0416309026</v>
      </c>
      <c r="M43" s="64"/>
      <c r="Q43" s="61"/>
      <c r="R43" s="61"/>
      <c r="S43" s="34"/>
      <c r="T43" s="62"/>
      <c r="U43" s="125"/>
      <c r="V43" s="351" t="s">
        <v>149</v>
      </c>
    </row>
    <row r="44" spans="1:22">
      <c r="B44" s="55" t="s">
        <v>10</v>
      </c>
      <c r="C44" s="55"/>
      <c r="D44" s="386">
        <f ca="1">D42/$H$35</f>
        <v>0.77874884173905312</v>
      </c>
      <c r="E44" s="10"/>
      <c r="F44" s="10"/>
      <c r="G44" s="10"/>
      <c r="H44" s="40"/>
      <c r="I44" s="81" t="s">
        <v>14</v>
      </c>
      <c r="J44" s="82">
        <f ca="1">SUM(J41:J43)</f>
        <v>4623012.0150704775</v>
      </c>
      <c r="K44" s="40">
        <f ca="1">(L44-J44)/J44</f>
        <v>2.3222772470716878E-2</v>
      </c>
      <c r="L44" s="82">
        <f ca="1">SUM(L41:L43)</f>
        <v>4730371.1712258495</v>
      </c>
      <c r="M44" s="367">
        <f ca="1">L44-J44</f>
        <v>107359.15615537204</v>
      </c>
      <c r="N44" s="423">
        <f ca="1">+M44-S35</f>
        <v>-2.0372681319713593E-10</v>
      </c>
      <c r="O44" s="91"/>
      <c r="P44" s="91"/>
      <c r="Q44" s="61"/>
      <c r="R44" s="61"/>
      <c r="S44" s="34"/>
      <c r="T44" s="62"/>
    </row>
    <row r="45" spans="1:22">
      <c r="D45" s="95"/>
      <c r="F45" s="16"/>
      <c r="G45" s="16"/>
      <c r="H45" s="7"/>
      <c r="I45" s="52"/>
      <c r="J45" s="56"/>
      <c r="L45" s="15"/>
      <c r="M45" s="15"/>
      <c r="O45" s="64"/>
      <c r="P45" s="64"/>
      <c r="Q45" s="61"/>
      <c r="R45" s="61"/>
      <c r="S45" s="34"/>
      <c r="T45" s="62"/>
    </row>
    <row r="46" spans="1:22" ht="15" customHeight="1">
      <c r="E46" s="9"/>
      <c r="F46" s="16"/>
      <c r="G46" s="16"/>
      <c r="H46" s="7"/>
      <c r="I46" s="81" t="s">
        <v>82</v>
      </c>
      <c r="J46" s="140">
        <f>'Disposal Schedule'!L9</f>
        <v>7452.34</v>
      </c>
      <c r="K46" s="358" t="s">
        <v>501</v>
      </c>
      <c r="Q46" s="61"/>
      <c r="R46" s="61"/>
      <c r="S46" s="34"/>
      <c r="T46" s="62"/>
    </row>
    <row r="47" spans="1:22">
      <c r="E47" s="9"/>
      <c r="F47" s="16"/>
      <c r="G47" s="16"/>
      <c r="H47" s="8"/>
      <c r="J47" s="14"/>
      <c r="L47" s="15"/>
      <c r="M47" s="15"/>
      <c r="O47" s="64"/>
      <c r="P47" s="64"/>
      <c r="Q47" s="61"/>
      <c r="R47" s="61"/>
      <c r="S47" s="34"/>
      <c r="T47" s="62"/>
    </row>
    <row r="48" spans="1:22">
      <c r="E48" s="51"/>
      <c r="I48" s="81" t="s">
        <v>122</v>
      </c>
      <c r="J48" s="362">
        <f>J46*References!$B$53</f>
        <v>50154.993433999953</v>
      </c>
      <c r="Q48" s="61"/>
      <c r="R48" s="61"/>
      <c r="S48" s="34"/>
      <c r="T48" s="62"/>
    </row>
    <row r="49" spans="1:21" ht="15.75">
      <c r="B49" s="117" t="s">
        <v>125</v>
      </c>
      <c r="E49" s="51"/>
      <c r="I49" s="51"/>
      <c r="L49" s="428"/>
      <c r="M49" s="428"/>
      <c r="N49" s="95"/>
      <c r="O49" s="428"/>
      <c r="P49" s="428"/>
      <c r="Q49" s="96"/>
      <c r="R49" s="61"/>
      <c r="S49" s="34"/>
      <c r="T49" s="62"/>
    </row>
    <row r="50" spans="1:21" ht="60">
      <c r="A50" s="101"/>
      <c r="B50" s="65" t="s">
        <v>13</v>
      </c>
      <c r="C50" s="65" t="s">
        <v>84</v>
      </c>
      <c r="D50" s="65" t="s">
        <v>97</v>
      </c>
      <c r="E50" s="65" t="s">
        <v>98</v>
      </c>
      <c r="F50" s="65" t="s">
        <v>9</v>
      </c>
      <c r="G50" s="65" t="s">
        <v>432</v>
      </c>
      <c r="H50" s="65" t="s">
        <v>30</v>
      </c>
      <c r="I50" s="66" t="s">
        <v>31</v>
      </c>
      <c r="J50" s="65" t="s">
        <v>8</v>
      </c>
      <c r="K50" s="65" t="s">
        <v>0</v>
      </c>
      <c r="L50" s="133" t="s">
        <v>158</v>
      </c>
      <c r="M50" s="103" t="s">
        <v>156</v>
      </c>
      <c r="N50" s="65" t="s">
        <v>33</v>
      </c>
      <c r="O50" s="133" t="s">
        <v>159</v>
      </c>
      <c r="P50" s="103" t="s">
        <v>157</v>
      </c>
      <c r="Q50" s="65" t="s">
        <v>32</v>
      </c>
      <c r="R50" s="65" t="s">
        <v>81</v>
      </c>
      <c r="S50" s="67" t="s">
        <v>34</v>
      </c>
      <c r="T50" s="62"/>
    </row>
    <row r="51" spans="1:21">
      <c r="A51" s="437" t="s">
        <v>12</v>
      </c>
      <c r="B51" s="175">
        <v>28</v>
      </c>
      <c r="C51" s="174" t="s">
        <v>479</v>
      </c>
      <c r="D51" s="174" t="s">
        <v>479</v>
      </c>
      <c r="E51" s="97">
        <f>References!$B$12*12</f>
        <v>12</v>
      </c>
      <c r="F51" s="97">
        <f>+References!$B$46</f>
        <v>125</v>
      </c>
      <c r="G51" s="98">
        <f>References!$B$12</f>
        <v>1</v>
      </c>
      <c r="H51" s="97">
        <f t="shared" ref="H51:H71" si="19">E51*F51</f>
        <v>1500</v>
      </c>
      <c r="I51" s="19">
        <f t="shared" ref="I51:I71" ca="1" si="20">$D$44*H51</f>
        <v>1168.1232626085796</v>
      </c>
      <c r="J51" s="64">
        <f ca="1">(References!$C$53*I51)</f>
        <v>3.930793184840994</v>
      </c>
      <c r="K51" s="64">
        <f ca="1">J51/References!$G$56</f>
        <v>4.0216832257427804</v>
      </c>
      <c r="L51" s="124">
        <v>29.53</v>
      </c>
      <c r="M51" s="134">
        <v>29.45</v>
      </c>
      <c r="N51" s="96">
        <f t="shared" ref="N51:N71" ca="1" si="21">IFERROR((K51/E51),0)</f>
        <v>0.33514026881189835</v>
      </c>
      <c r="O51" s="124">
        <f t="shared" ref="O51:O71" ca="1" si="22">ROUND(N51+L51,2)</f>
        <v>29.87</v>
      </c>
      <c r="P51" s="134">
        <f t="shared" ref="P51:P71" ca="1" si="23">ROUND(N51+M51,2)</f>
        <v>29.79</v>
      </c>
      <c r="Q51" s="379"/>
      <c r="R51" s="379"/>
      <c r="S51" s="379"/>
      <c r="T51" s="382">
        <f ca="1">(((F51*$D$44)*(References!$C$53/References!$G$56)))-N51</f>
        <v>0</v>
      </c>
      <c r="U51" s="97"/>
    </row>
    <row r="52" spans="1:21">
      <c r="A52" s="437"/>
      <c r="B52" s="175">
        <v>28</v>
      </c>
      <c r="C52" s="174" t="s">
        <v>480</v>
      </c>
      <c r="D52" s="174" t="s">
        <v>480</v>
      </c>
      <c r="E52" s="97">
        <f>References!$B$12*12</f>
        <v>12</v>
      </c>
      <c r="F52" s="97">
        <f>+References!$B$46</f>
        <v>125</v>
      </c>
      <c r="G52" s="98">
        <f>References!$B$12</f>
        <v>1</v>
      </c>
      <c r="H52" s="97">
        <f t="shared" si="19"/>
        <v>1500</v>
      </c>
      <c r="I52" s="19">
        <f t="shared" ca="1" si="20"/>
        <v>1168.1232626085796</v>
      </c>
      <c r="J52" s="64">
        <f ca="1">(References!$C$53*I52)</f>
        <v>3.930793184840994</v>
      </c>
      <c r="K52" s="64">
        <f ca="1">J52/References!$G$56</f>
        <v>4.0216832257427804</v>
      </c>
      <c r="L52" s="124">
        <v>29.53</v>
      </c>
      <c r="M52" s="134">
        <v>29.45</v>
      </c>
      <c r="N52" s="96">
        <f t="shared" ca="1" si="21"/>
        <v>0.33514026881189835</v>
      </c>
      <c r="O52" s="124">
        <f t="shared" ca="1" si="22"/>
        <v>29.87</v>
      </c>
      <c r="P52" s="134">
        <f t="shared" ca="1" si="23"/>
        <v>29.79</v>
      </c>
      <c r="Q52" s="379"/>
      <c r="R52" s="379"/>
      <c r="S52" s="379"/>
      <c r="T52" s="382">
        <f ca="1">(((F52*$D$44)*(References!$C$53/References!$G$56)))-N52</f>
        <v>0</v>
      </c>
      <c r="U52" s="97"/>
    </row>
    <row r="53" spans="1:21">
      <c r="A53" s="437"/>
      <c r="B53" s="175">
        <v>28</v>
      </c>
      <c r="C53" s="174" t="s">
        <v>505</v>
      </c>
      <c r="D53" s="174" t="s">
        <v>505</v>
      </c>
      <c r="E53" s="97">
        <f>References!$B$12*12</f>
        <v>12</v>
      </c>
      <c r="F53" s="97">
        <f>+References!$B$46</f>
        <v>125</v>
      </c>
      <c r="G53" s="98">
        <f>References!$B$12</f>
        <v>1</v>
      </c>
      <c r="H53" s="97">
        <f t="shared" ref="H53:H54" si="24">E53*F53</f>
        <v>1500</v>
      </c>
      <c r="I53" s="19">
        <f t="shared" ref="I53:I54" ca="1" si="25">$D$44*H53</f>
        <v>1168.1232626085796</v>
      </c>
      <c r="J53" s="64">
        <f ca="1">(References!$C$53*I53)</f>
        <v>3.930793184840994</v>
      </c>
      <c r="K53" s="64">
        <f ca="1">J53/References!$G$56</f>
        <v>4.0216832257427804</v>
      </c>
      <c r="L53" s="124">
        <v>33.479999999999997</v>
      </c>
      <c r="M53" s="134">
        <v>33.39</v>
      </c>
      <c r="N53" s="96">
        <f t="shared" ca="1" si="21"/>
        <v>0.33514026881189835</v>
      </c>
      <c r="O53" s="124">
        <f t="shared" ref="O53:O57" ca="1" si="26">ROUND(N53+L53,2)</f>
        <v>33.82</v>
      </c>
      <c r="P53" s="134">
        <f t="shared" ref="P53:P57" ca="1" si="27">ROUND(N53+M53,2)</f>
        <v>33.729999999999997</v>
      </c>
      <c r="Q53" s="379"/>
      <c r="R53" s="379"/>
      <c r="S53" s="379"/>
      <c r="T53" s="382">
        <f ca="1">(((F53*$D$44)*(References!$C$53/References!$G$56)))-N53</f>
        <v>0</v>
      </c>
      <c r="U53" s="97"/>
    </row>
    <row r="54" spans="1:21">
      <c r="A54" s="437"/>
      <c r="B54" s="175">
        <v>28</v>
      </c>
      <c r="C54" s="174" t="s">
        <v>506</v>
      </c>
      <c r="D54" s="174" t="s">
        <v>506</v>
      </c>
      <c r="E54" s="97">
        <f>References!$B$12*12</f>
        <v>12</v>
      </c>
      <c r="F54" s="97">
        <f>+References!$B$46</f>
        <v>125</v>
      </c>
      <c r="G54" s="98">
        <f>References!$B$12</f>
        <v>1</v>
      </c>
      <c r="H54" s="97">
        <f t="shared" si="24"/>
        <v>1500</v>
      </c>
      <c r="I54" s="19">
        <f t="shared" ca="1" si="25"/>
        <v>1168.1232626085796</v>
      </c>
      <c r="J54" s="64">
        <f ca="1">(References!$C$53*I54)</f>
        <v>3.930793184840994</v>
      </c>
      <c r="K54" s="64">
        <f ca="1">J54/References!$G$56</f>
        <v>4.0216832257427804</v>
      </c>
      <c r="L54" s="124">
        <v>33.479999999999997</v>
      </c>
      <c r="M54" s="134">
        <v>33.39</v>
      </c>
      <c r="N54" s="96">
        <f t="shared" ca="1" si="21"/>
        <v>0.33514026881189835</v>
      </c>
      <c r="O54" s="124">
        <f t="shared" ca="1" si="26"/>
        <v>33.82</v>
      </c>
      <c r="P54" s="134">
        <f t="shared" ca="1" si="27"/>
        <v>33.729999999999997</v>
      </c>
      <c r="Q54" s="379"/>
      <c r="R54" s="379"/>
      <c r="S54" s="379"/>
      <c r="T54" s="382">
        <f ca="1">(((F54*$D$44)*(References!$C$53/References!$G$56)))-N54</f>
        <v>0</v>
      </c>
      <c r="U54" s="97"/>
    </row>
    <row r="55" spans="1:21">
      <c r="A55" s="437"/>
      <c r="B55" s="175">
        <v>32</v>
      </c>
      <c r="C55" s="174" t="s">
        <v>507</v>
      </c>
      <c r="D55" s="174" t="s">
        <v>507</v>
      </c>
      <c r="E55" s="97">
        <f>References!$B$12*12</f>
        <v>12</v>
      </c>
      <c r="F55" s="97">
        <f>+References!$B$46</f>
        <v>125</v>
      </c>
      <c r="G55" s="98">
        <f>References!$B$12</f>
        <v>1</v>
      </c>
      <c r="H55" s="97">
        <f t="shared" ref="H55" si="28">E55*F55</f>
        <v>1500</v>
      </c>
      <c r="I55" s="19">
        <f t="shared" ref="I55" ca="1" si="29">$D$44*H55</f>
        <v>1168.1232626085796</v>
      </c>
      <c r="J55" s="64">
        <f ca="1">(References!$C$53*I55)</f>
        <v>3.930793184840994</v>
      </c>
      <c r="K55" s="64">
        <f ca="1">J55/References!$G$56</f>
        <v>4.0216832257427804</v>
      </c>
      <c r="L55" s="124">
        <v>17.079999999999998</v>
      </c>
      <c r="M55" s="134">
        <v>17.03</v>
      </c>
      <c r="N55" s="96">
        <f t="shared" ref="N55" ca="1" si="30">IFERROR((K55/E55),0)</f>
        <v>0.33514026881189835</v>
      </c>
      <c r="O55" s="124">
        <f t="shared" ref="O55" ca="1" si="31">ROUND(N55+L55,2)</f>
        <v>17.420000000000002</v>
      </c>
      <c r="P55" s="134">
        <f t="shared" ref="P55" ca="1" si="32">ROUND(N55+M55,2)</f>
        <v>17.37</v>
      </c>
      <c r="Q55" s="379"/>
      <c r="R55" s="379"/>
      <c r="S55" s="379"/>
      <c r="T55" s="382"/>
      <c r="U55" s="97"/>
    </row>
    <row r="56" spans="1:21">
      <c r="A56" s="437"/>
      <c r="B56" s="175">
        <v>32</v>
      </c>
      <c r="C56" s="174" t="s">
        <v>508</v>
      </c>
      <c r="D56" s="174" t="s">
        <v>508</v>
      </c>
      <c r="E56" s="97">
        <f>References!$B$12*12</f>
        <v>12</v>
      </c>
      <c r="F56" s="97">
        <f>+References!$B$46</f>
        <v>125</v>
      </c>
      <c r="G56" s="98">
        <f>References!$B$12</f>
        <v>1</v>
      </c>
      <c r="H56" s="97">
        <f t="shared" ref="H56" si="33">E56*F56</f>
        <v>1500</v>
      </c>
      <c r="I56" s="19">
        <f t="shared" ref="I56" ca="1" si="34">$D$44*H56</f>
        <v>1168.1232626085796</v>
      </c>
      <c r="J56" s="64">
        <f ca="1">(References!$C$53*I56)</f>
        <v>3.930793184840994</v>
      </c>
      <c r="K56" s="64">
        <f ca="1">J56/References!$G$56</f>
        <v>4.0216832257427804</v>
      </c>
      <c r="L56" s="124">
        <v>17.079999999999998</v>
      </c>
      <c r="M56" s="134">
        <v>17.03</v>
      </c>
      <c r="N56" s="96">
        <f t="shared" ref="N56" ca="1" si="35">IFERROR((K56/E56),0)</f>
        <v>0.33514026881189835</v>
      </c>
      <c r="O56" s="124">
        <f t="shared" ref="O56" ca="1" si="36">ROUND(N56+L56,2)</f>
        <v>17.420000000000002</v>
      </c>
      <c r="P56" s="134">
        <f t="shared" ref="P56" ca="1" si="37">ROUND(N56+M56,2)</f>
        <v>17.37</v>
      </c>
      <c r="Q56" s="379"/>
      <c r="R56" s="379"/>
      <c r="S56" s="379"/>
      <c r="T56" s="382"/>
      <c r="U56" s="97"/>
    </row>
    <row r="57" spans="1:21">
      <c r="A57" s="437"/>
      <c r="B57" s="175">
        <v>35</v>
      </c>
      <c r="C57" s="174" t="s">
        <v>502</v>
      </c>
      <c r="D57" s="174" t="s">
        <v>502</v>
      </c>
      <c r="E57" s="97">
        <f>References!$B$12*12</f>
        <v>12</v>
      </c>
      <c r="F57" s="97">
        <f>References!$B$31</f>
        <v>175</v>
      </c>
      <c r="G57" s="98">
        <f>References!$B$12</f>
        <v>1</v>
      </c>
      <c r="H57" s="97">
        <f t="shared" si="19"/>
        <v>2100</v>
      </c>
      <c r="I57" s="19">
        <f t="shared" ca="1" si="20"/>
        <v>1635.3725676520116</v>
      </c>
      <c r="J57" s="64">
        <f ca="1">(References!$C$53*I57)</f>
        <v>5.5031104587773925</v>
      </c>
      <c r="K57" s="64">
        <f ca="1">J57/References!$G$56</f>
        <v>5.6303565160398934</v>
      </c>
      <c r="L57" s="124">
        <v>18.54</v>
      </c>
      <c r="M57" s="134">
        <v>18.489999999999998</v>
      </c>
      <c r="N57" s="96">
        <f t="shared" ca="1" si="21"/>
        <v>0.46919637633665778</v>
      </c>
      <c r="O57" s="124">
        <f t="shared" ca="1" si="26"/>
        <v>19.010000000000002</v>
      </c>
      <c r="P57" s="134">
        <f t="shared" ca="1" si="27"/>
        <v>18.96</v>
      </c>
      <c r="Q57" s="379"/>
      <c r="R57" s="379"/>
      <c r="S57" s="379"/>
      <c r="T57" s="382">
        <f ca="1">(((F57*$D$44)*(References!$C$53/References!$G$56)))-N57</f>
        <v>0</v>
      </c>
      <c r="U57" s="97"/>
    </row>
    <row r="58" spans="1:21">
      <c r="A58" s="437"/>
      <c r="B58" s="175">
        <v>35</v>
      </c>
      <c r="C58" s="174" t="s">
        <v>503</v>
      </c>
      <c r="D58" s="174" t="s">
        <v>503</v>
      </c>
      <c r="E58" s="97">
        <f>References!$B$12*12</f>
        <v>12</v>
      </c>
      <c r="F58" s="97">
        <f>References!$B$32</f>
        <v>250</v>
      </c>
      <c r="G58" s="98">
        <f>References!$B$12</f>
        <v>1</v>
      </c>
      <c r="H58" s="97">
        <f t="shared" si="19"/>
        <v>3000</v>
      </c>
      <c r="I58" s="19">
        <f t="shared" ca="1" si="20"/>
        <v>2336.2465252171592</v>
      </c>
      <c r="J58" s="64">
        <f ca="1">(References!$C$53*I58)</f>
        <v>7.8615863696819881</v>
      </c>
      <c r="K58" s="64">
        <f ca="1">J58/References!$G$56</f>
        <v>8.0433664514855607</v>
      </c>
      <c r="L58" s="124">
        <v>20.64</v>
      </c>
      <c r="M58" s="134">
        <v>20.58</v>
      </c>
      <c r="N58" s="96">
        <f t="shared" ca="1" si="21"/>
        <v>0.67028053762379669</v>
      </c>
      <c r="O58" s="124">
        <f t="shared" ca="1" si="22"/>
        <v>21.31</v>
      </c>
      <c r="P58" s="134">
        <f t="shared" ca="1" si="23"/>
        <v>21.25</v>
      </c>
      <c r="Q58" s="379"/>
      <c r="R58" s="379"/>
      <c r="S58" s="379"/>
      <c r="T58" s="382">
        <f ca="1">(((F58*$D$44)*(References!$C$53/References!$G$56)))-N58</f>
        <v>0</v>
      </c>
      <c r="U58" s="119"/>
    </row>
    <row r="59" spans="1:21">
      <c r="A59" s="437"/>
      <c r="B59" s="175">
        <v>35</v>
      </c>
      <c r="C59" s="174" t="s">
        <v>504</v>
      </c>
      <c r="D59" s="174" t="s">
        <v>504</v>
      </c>
      <c r="E59" s="97">
        <f>References!$B$12*12</f>
        <v>12</v>
      </c>
      <c r="F59" s="97">
        <f>References!$B$33</f>
        <v>324</v>
      </c>
      <c r="G59" s="98">
        <f>References!$B$12</f>
        <v>1</v>
      </c>
      <c r="H59" s="97">
        <f t="shared" si="19"/>
        <v>3888</v>
      </c>
      <c r="I59" s="19">
        <f t="shared" ca="1" si="20"/>
        <v>3027.7754966814387</v>
      </c>
      <c r="J59" s="64">
        <f ca="1">(References!$C$53*I59)</f>
        <v>10.188615935107858</v>
      </c>
      <c r="K59" s="64">
        <f ca="1">J59/References!$G$56</f>
        <v>10.424202921125289</v>
      </c>
      <c r="L59" s="124">
        <v>27.28</v>
      </c>
      <c r="M59" s="134">
        <v>27.21</v>
      </c>
      <c r="N59" s="96">
        <f t="shared" ca="1" si="21"/>
        <v>0.86868357676044072</v>
      </c>
      <c r="O59" s="124">
        <f t="shared" ca="1" si="22"/>
        <v>28.15</v>
      </c>
      <c r="P59" s="134">
        <f t="shared" ca="1" si="23"/>
        <v>28.08</v>
      </c>
      <c r="Q59" s="379"/>
      <c r="R59" s="379"/>
      <c r="S59" s="379"/>
      <c r="T59" s="382">
        <f ca="1">(((F59*$D$44)*(References!$C$53/References!$G$56)))-N59</f>
        <v>0</v>
      </c>
      <c r="U59" s="119"/>
    </row>
    <row r="60" spans="1:21">
      <c r="A60" s="437"/>
      <c r="B60" s="175">
        <v>36</v>
      </c>
      <c r="C60" s="174" t="s">
        <v>482</v>
      </c>
      <c r="D60" s="174" t="s">
        <v>482</v>
      </c>
      <c r="E60" s="97">
        <f>References!$B$12*12</f>
        <v>12</v>
      </c>
      <c r="F60" s="97">
        <f>References!$B$23</f>
        <v>37</v>
      </c>
      <c r="G60" s="98">
        <f>References!$B$12</f>
        <v>1</v>
      </c>
      <c r="H60" s="97">
        <f t="shared" si="19"/>
        <v>444</v>
      </c>
      <c r="I60" s="19">
        <f t="shared" ca="1" si="20"/>
        <v>345.76448573213958</v>
      </c>
      <c r="J60" s="64">
        <f ca="1">(References!$C$53*I60)</f>
        <v>1.1635147827129344</v>
      </c>
      <c r="K60" s="64">
        <f ca="1">J60/References!$G$56</f>
        <v>1.1904182348198633</v>
      </c>
      <c r="L60" s="124">
        <v>5.05</v>
      </c>
      <c r="M60" s="134">
        <v>5.04</v>
      </c>
      <c r="N60" s="96">
        <f t="shared" ca="1" si="21"/>
        <v>9.9201519568321947E-2</v>
      </c>
      <c r="O60" s="124">
        <f t="shared" ca="1" si="22"/>
        <v>5.15</v>
      </c>
      <c r="P60" s="134">
        <f t="shared" ca="1" si="23"/>
        <v>5.14</v>
      </c>
      <c r="Q60" s="379"/>
      <c r="R60" s="379"/>
      <c r="S60" s="379"/>
      <c r="T60" s="382">
        <f ca="1">(((F60*$D$44)*(References!$C$53/References!$G$56)))-N60</f>
        <v>0</v>
      </c>
      <c r="U60" s="119"/>
    </row>
    <row r="61" spans="1:21">
      <c r="A61" s="437"/>
      <c r="B61" s="175">
        <v>36</v>
      </c>
      <c r="C61" s="174" t="s">
        <v>483</v>
      </c>
      <c r="D61" s="174" t="s">
        <v>483</v>
      </c>
      <c r="E61" s="97">
        <f>References!$B$12*12</f>
        <v>12</v>
      </c>
      <c r="F61" s="97">
        <f>References!$B$23</f>
        <v>37</v>
      </c>
      <c r="G61" s="98">
        <f>References!$B$12</f>
        <v>1</v>
      </c>
      <c r="H61" s="97">
        <f t="shared" si="19"/>
        <v>444</v>
      </c>
      <c r="I61" s="19">
        <f t="shared" ca="1" si="20"/>
        <v>345.76448573213958</v>
      </c>
      <c r="J61" s="64">
        <f ca="1">(References!$C$53*I61)</f>
        <v>1.1635147827129344</v>
      </c>
      <c r="K61" s="64">
        <f ca="1">J61/References!$G$56</f>
        <v>1.1904182348198633</v>
      </c>
      <c r="L61" s="124">
        <v>15.72</v>
      </c>
      <c r="M61" s="134">
        <v>15.68</v>
      </c>
      <c r="N61" s="96">
        <f t="shared" ca="1" si="21"/>
        <v>9.9201519568321947E-2</v>
      </c>
      <c r="O61" s="124">
        <f t="shared" ca="1" si="22"/>
        <v>15.82</v>
      </c>
      <c r="P61" s="134">
        <f t="shared" ca="1" si="23"/>
        <v>15.78</v>
      </c>
      <c r="Q61" s="379"/>
      <c r="R61" s="379"/>
      <c r="S61" s="379"/>
      <c r="T61" s="382">
        <f ca="1">(((F61*$D$44)*(References!$C$53/References!$G$56)))-N61</f>
        <v>0</v>
      </c>
      <c r="U61" s="119"/>
    </row>
    <row r="62" spans="1:21">
      <c r="A62" s="437"/>
      <c r="B62" s="175">
        <v>36</v>
      </c>
      <c r="C62" s="174" t="s">
        <v>484</v>
      </c>
      <c r="D62" s="174" t="s">
        <v>484</v>
      </c>
      <c r="E62" s="97">
        <f>References!$B$12*12</f>
        <v>12</v>
      </c>
      <c r="F62" s="97">
        <f>References!$B$23</f>
        <v>37</v>
      </c>
      <c r="G62" s="98">
        <f>References!$B$12</f>
        <v>1</v>
      </c>
      <c r="H62" s="97">
        <f t="shared" si="19"/>
        <v>444</v>
      </c>
      <c r="I62" s="19">
        <f t="shared" ca="1" si="20"/>
        <v>345.76448573213958</v>
      </c>
      <c r="J62" s="64">
        <f ca="1">(References!$C$53*I62)</f>
        <v>1.1635147827129344</v>
      </c>
      <c r="K62" s="64">
        <f ca="1">J62/References!$G$56</f>
        <v>1.1904182348198633</v>
      </c>
      <c r="L62" s="124">
        <v>5.05</v>
      </c>
      <c r="M62" s="134">
        <v>5.04</v>
      </c>
      <c r="N62" s="96">
        <f t="shared" ca="1" si="21"/>
        <v>9.9201519568321947E-2</v>
      </c>
      <c r="O62" s="124">
        <f t="shared" ca="1" si="22"/>
        <v>5.15</v>
      </c>
      <c r="P62" s="134">
        <f t="shared" ca="1" si="23"/>
        <v>5.14</v>
      </c>
      <c r="Q62" s="379"/>
      <c r="R62" s="379"/>
      <c r="S62" s="379"/>
      <c r="T62" s="382">
        <f ca="1">(((F62*$D$44)*(References!$C$53/References!$G$56)))-N62</f>
        <v>0</v>
      </c>
      <c r="U62" s="119"/>
    </row>
    <row r="63" spans="1:21">
      <c r="A63" s="437"/>
      <c r="B63" s="175">
        <v>36</v>
      </c>
      <c r="C63" s="174" t="s">
        <v>485</v>
      </c>
      <c r="D63" s="174" t="s">
        <v>485</v>
      </c>
      <c r="E63" s="97">
        <f>References!$B$12*12</f>
        <v>12</v>
      </c>
      <c r="F63" s="97">
        <f>References!$B$24</f>
        <v>48</v>
      </c>
      <c r="G63" s="98">
        <f>References!$B$12</f>
        <v>1</v>
      </c>
      <c r="H63" s="97">
        <f t="shared" si="19"/>
        <v>576</v>
      </c>
      <c r="I63" s="19">
        <f t="shared" ca="1" si="20"/>
        <v>448.55933284169458</v>
      </c>
      <c r="J63" s="64">
        <f ca="1">(References!$C$53*I63)</f>
        <v>1.5094245829789419</v>
      </c>
      <c r="K63" s="64">
        <f ca="1">J63/References!$G$56</f>
        <v>1.5443263586852281</v>
      </c>
      <c r="L63" s="124">
        <v>5.97</v>
      </c>
      <c r="M63" s="134">
        <v>5.95</v>
      </c>
      <c r="N63" s="96">
        <f t="shared" ca="1" si="21"/>
        <v>0.128693863223769</v>
      </c>
      <c r="O63" s="124">
        <f t="shared" ca="1" si="22"/>
        <v>6.1</v>
      </c>
      <c r="P63" s="134">
        <f t="shared" ca="1" si="23"/>
        <v>6.08</v>
      </c>
      <c r="Q63" s="379"/>
      <c r="R63" s="379"/>
      <c r="S63" s="379"/>
      <c r="T63" s="382">
        <f ca="1">(((F63*$D$44)*(References!$C$53/References!$G$56)))-N63</f>
        <v>0</v>
      </c>
      <c r="U63" s="119"/>
    </row>
    <row r="64" spans="1:21">
      <c r="A64" s="437"/>
      <c r="B64" s="175">
        <v>36</v>
      </c>
      <c r="C64" s="174" t="s">
        <v>486</v>
      </c>
      <c r="D64" s="174" t="s">
        <v>486</v>
      </c>
      <c r="E64" s="97">
        <f>References!$B$12*12</f>
        <v>12</v>
      </c>
      <c r="F64" s="97">
        <f>References!$B$24</f>
        <v>48</v>
      </c>
      <c r="G64" s="98">
        <f>References!$B$12</f>
        <v>1</v>
      </c>
      <c r="H64" s="97">
        <f t="shared" si="19"/>
        <v>576</v>
      </c>
      <c r="I64" s="19">
        <f t="shared" ca="1" si="20"/>
        <v>448.55933284169458</v>
      </c>
      <c r="J64" s="64">
        <f ca="1">(References!$C$53*I64)</f>
        <v>1.5094245829789419</v>
      </c>
      <c r="K64" s="64">
        <f ca="1">J64/References!$G$56</f>
        <v>1.5443263586852281</v>
      </c>
      <c r="L64" s="124">
        <v>16.63</v>
      </c>
      <c r="M64" s="134">
        <v>16.59</v>
      </c>
      <c r="N64" s="96">
        <f t="shared" ca="1" si="21"/>
        <v>0.128693863223769</v>
      </c>
      <c r="O64" s="124">
        <f t="shared" ca="1" si="22"/>
        <v>16.760000000000002</v>
      </c>
      <c r="P64" s="134">
        <f t="shared" ca="1" si="23"/>
        <v>16.72</v>
      </c>
      <c r="Q64" s="379"/>
      <c r="R64" s="379"/>
      <c r="S64" s="379"/>
      <c r="T64" s="382">
        <f ca="1">(((F64*$D$44)*(References!$C$53/References!$G$56)))-N64</f>
        <v>0</v>
      </c>
      <c r="U64" s="119"/>
    </row>
    <row r="65" spans="1:87">
      <c r="A65" s="437"/>
      <c r="B65" s="175">
        <v>36</v>
      </c>
      <c r="C65" s="174" t="s">
        <v>487</v>
      </c>
      <c r="D65" s="174" t="s">
        <v>487</v>
      </c>
      <c r="E65" s="97">
        <f>References!$B$12*12</f>
        <v>12</v>
      </c>
      <c r="F65" s="97">
        <f>References!$B$24</f>
        <v>48</v>
      </c>
      <c r="G65" s="98">
        <f>References!$B$12</f>
        <v>1</v>
      </c>
      <c r="H65" s="97">
        <f t="shared" si="19"/>
        <v>576</v>
      </c>
      <c r="I65" s="19">
        <f t="shared" ca="1" si="20"/>
        <v>448.55933284169458</v>
      </c>
      <c r="J65" s="64">
        <f ca="1">(References!$C$53*I65)</f>
        <v>1.5094245829789419</v>
      </c>
      <c r="K65" s="64">
        <f ca="1">J65/References!$G$56</f>
        <v>1.5443263586852281</v>
      </c>
      <c r="L65" s="124">
        <v>5.97</v>
      </c>
      <c r="M65" s="134">
        <v>5.95</v>
      </c>
      <c r="N65" s="96">
        <f t="shared" ca="1" si="21"/>
        <v>0.128693863223769</v>
      </c>
      <c r="O65" s="124">
        <f t="shared" ca="1" si="22"/>
        <v>6.1</v>
      </c>
      <c r="P65" s="134">
        <f t="shared" ca="1" si="23"/>
        <v>6.08</v>
      </c>
      <c r="Q65" s="379"/>
      <c r="R65" s="379"/>
      <c r="S65" s="379"/>
      <c r="T65" s="382">
        <f ca="1">(((F65*$D$44)*(References!$C$53/References!$G$56)))-N65</f>
        <v>0</v>
      </c>
      <c r="U65" s="119"/>
    </row>
    <row r="66" spans="1:87">
      <c r="A66" s="437"/>
      <c r="B66" s="175">
        <v>36</v>
      </c>
      <c r="C66" s="174" t="s">
        <v>488</v>
      </c>
      <c r="D66" s="174" t="s">
        <v>488</v>
      </c>
      <c r="E66" s="97">
        <f>References!$B$12*12</f>
        <v>12</v>
      </c>
      <c r="F66" s="97">
        <f>References!$B$25</f>
        <v>51</v>
      </c>
      <c r="G66" s="98">
        <f>References!$B$12</f>
        <v>1</v>
      </c>
      <c r="H66" s="97">
        <f t="shared" si="19"/>
        <v>612</v>
      </c>
      <c r="I66" s="19">
        <f t="shared" ca="1" si="20"/>
        <v>476.59429114430048</v>
      </c>
      <c r="J66" s="64">
        <f ca="1">(References!$C$53*I66)</f>
        <v>1.6037636194151257</v>
      </c>
      <c r="K66" s="64">
        <f ca="1">J66/References!$G$56</f>
        <v>1.6408467561030546</v>
      </c>
      <c r="L66" s="124">
        <v>7.05</v>
      </c>
      <c r="M66" s="134">
        <v>7.03</v>
      </c>
      <c r="N66" s="96">
        <f t="shared" ca="1" si="21"/>
        <v>0.13673722967525456</v>
      </c>
      <c r="O66" s="124">
        <f t="shared" ca="1" si="22"/>
        <v>7.19</v>
      </c>
      <c r="P66" s="134">
        <f t="shared" ca="1" si="23"/>
        <v>7.17</v>
      </c>
      <c r="Q66" s="379"/>
      <c r="R66" s="379"/>
      <c r="S66" s="379"/>
      <c r="T66" s="382">
        <f ca="1">(((F66*$D$44)*(References!$C$53/References!$G$56)))-N66</f>
        <v>0</v>
      </c>
      <c r="U66" s="119"/>
    </row>
    <row r="67" spans="1:87">
      <c r="A67" s="437"/>
      <c r="B67" s="175">
        <v>36</v>
      </c>
      <c r="C67" s="174" t="s">
        <v>489</v>
      </c>
      <c r="D67" s="174" t="s">
        <v>489</v>
      </c>
      <c r="E67" s="97">
        <f>References!$B$12*12</f>
        <v>12</v>
      </c>
      <c r="F67" s="97">
        <f>References!$B$25</f>
        <v>51</v>
      </c>
      <c r="G67" s="98">
        <f>References!$B$12</f>
        <v>1</v>
      </c>
      <c r="H67" s="97">
        <f t="shared" si="19"/>
        <v>612</v>
      </c>
      <c r="I67" s="19">
        <f t="shared" ca="1" si="20"/>
        <v>476.59429114430048</v>
      </c>
      <c r="J67" s="64">
        <f ca="1">(References!$C$53*I67)</f>
        <v>1.6037636194151257</v>
      </c>
      <c r="K67" s="64">
        <f ca="1">J67/References!$G$56</f>
        <v>1.6408467561030546</v>
      </c>
      <c r="L67" s="124">
        <v>17.73</v>
      </c>
      <c r="M67" s="134">
        <v>17.68</v>
      </c>
      <c r="N67" s="96">
        <f t="shared" ca="1" si="21"/>
        <v>0.13673722967525456</v>
      </c>
      <c r="O67" s="124">
        <f t="shared" ca="1" si="22"/>
        <v>17.87</v>
      </c>
      <c r="P67" s="134">
        <f t="shared" ca="1" si="23"/>
        <v>17.82</v>
      </c>
      <c r="Q67" s="379"/>
      <c r="R67" s="379"/>
      <c r="S67" s="379"/>
      <c r="T67" s="382">
        <f ca="1">(((F67*$D$44)*(References!$C$53/References!$G$56)))-N67</f>
        <v>0</v>
      </c>
      <c r="U67" s="119"/>
    </row>
    <row r="68" spans="1:87">
      <c r="A68" s="437"/>
      <c r="B68" s="175">
        <v>36</v>
      </c>
      <c r="C68" s="174" t="s">
        <v>490</v>
      </c>
      <c r="D68" s="174" t="s">
        <v>490</v>
      </c>
      <c r="E68" s="97">
        <f>References!$B$12*12</f>
        <v>12</v>
      </c>
      <c r="F68" s="97">
        <f>References!$B$25</f>
        <v>51</v>
      </c>
      <c r="G68" s="98">
        <f>References!$B$12</f>
        <v>1</v>
      </c>
      <c r="H68" s="97">
        <f t="shared" si="19"/>
        <v>612</v>
      </c>
      <c r="I68" s="19">
        <f t="shared" ca="1" si="20"/>
        <v>476.59429114430048</v>
      </c>
      <c r="J68" s="64">
        <f ca="1">(References!$C$53*I68)</f>
        <v>1.6037636194151257</v>
      </c>
      <c r="K68" s="64">
        <f ca="1">J68/References!$G$56</f>
        <v>1.6408467561030546</v>
      </c>
      <c r="L68" s="124">
        <v>7.05</v>
      </c>
      <c r="M68" s="134">
        <v>7.03</v>
      </c>
      <c r="N68" s="96">
        <f t="shared" ca="1" si="21"/>
        <v>0.13673722967525456</v>
      </c>
      <c r="O68" s="124">
        <f t="shared" ca="1" si="22"/>
        <v>7.19</v>
      </c>
      <c r="P68" s="134">
        <f t="shared" ca="1" si="23"/>
        <v>7.17</v>
      </c>
      <c r="Q68" s="379"/>
      <c r="R68" s="379"/>
      <c r="S68" s="379"/>
      <c r="T68" s="382">
        <f ca="1">(((F68*$D$44)*(References!$C$53/References!$G$56)))-N68</f>
        <v>0</v>
      </c>
      <c r="U68" s="119"/>
    </row>
    <row r="69" spans="1:87">
      <c r="A69" s="437"/>
      <c r="B69" s="175">
        <v>36</v>
      </c>
      <c r="C69" s="174" t="s">
        <v>491</v>
      </c>
      <c r="D69" s="174" t="s">
        <v>491</v>
      </c>
      <c r="E69" s="97">
        <f>References!$B$12*12</f>
        <v>12</v>
      </c>
      <c r="F69" s="97">
        <f>References!$B$26</f>
        <v>77</v>
      </c>
      <c r="G69" s="98">
        <f>References!$B$12</f>
        <v>1</v>
      </c>
      <c r="H69" s="97">
        <f t="shared" si="19"/>
        <v>924</v>
      </c>
      <c r="I69" s="19">
        <f t="shared" ca="1" si="20"/>
        <v>719.56392976688505</v>
      </c>
      <c r="J69" s="64">
        <f ca="1">(References!$C$53*I69)</f>
        <v>2.4213686018620524</v>
      </c>
      <c r="K69" s="64">
        <f ca="1">J69/References!$G$56</f>
        <v>2.4773568670575528</v>
      </c>
      <c r="L69" s="124">
        <v>8.85</v>
      </c>
      <c r="M69" s="134">
        <v>8.83</v>
      </c>
      <c r="N69" s="96">
        <f t="shared" ca="1" si="21"/>
        <v>0.20644640558812941</v>
      </c>
      <c r="O69" s="124">
        <f t="shared" ca="1" si="22"/>
        <v>9.06</v>
      </c>
      <c r="P69" s="134">
        <f t="shared" ca="1" si="23"/>
        <v>9.0399999999999991</v>
      </c>
      <c r="Q69" s="379"/>
      <c r="R69" s="379"/>
      <c r="S69" s="379"/>
      <c r="T69" s="382">
        <f ca="1">(((F69*$D$44)*(References!$C$53/References!$G$56)))-N69</f>
        <v>0</v>
      </c>
      <c r="U69" s="119"/>
    </row>
    <row r="70" spans="1:87">
      <c r="A70" s="437"/>
      <c r="B70" s="175">
        <v>36</v>
      </c>
      <c r="C70" s="174" t="s">
        <v>492</v>
      </c>
      <c r="D70" s="174" t="s">
        <v>492</v>
      </c>
      <c r="E70" s="97">
        <f>References!$B$12*12</f>
        <v>12</v>
      </c>
      <c r="F70" s="97">
        <f>References!$B$26</f>
        <v>77</v>
      </c>
      <c r="G70" s="98">
        <f>References!$B$12</f>
        <v>1</v>
      </c>
      <c r="H70" s="97">
        <f t="shared" si="19"/>
        <v>924</v>
      </c>
      <c r="I70" s="19">
        <f t="shared" ca="1" si="20"/>
        <v>719.56392976688505</v>
      </c>
      <c r="J70" s="64">
        <f ca="1">(References!$C$53*I70)</f>
        <v>2.4213686018620524</v>
      </c>
      <c r="K70" s="64">
        <f ca="1">J70/References!$G$56</f>
        <v>2.4773568670575528</v>
      </c>
      <c r="L70" s="124">
        <v>19.52</v>
      </c>
      <c r="M70" s="134">
        <v>19.47</v>
      </c>
      <c r="N70" s="96">
        <f t="shared" ca="1" si="21"/>
        <v>0.20644640558812941</v>
      </c>
      <c r="O70" s="124">
        <f t="shared" ca="1" si="22"/>
        <v>19.73</v>
      </c>
      <c r="P70" s="134">
        <f t="shared" ca="1" si="23"/>
        <v>19.68</v>
      </c>
      <c r="Q70" s="379"/>
      <c r="R70" s="379"/>
      <c r="S70" s="379"/>
      <c r="T70" s="382">
        <f ca="1">(((F70*$D$44)*(References!$C$53/References!$G$56)))-N70</f>
        <v>0</v>
      </c>
      <c r="U70" s="119"/>
    </row>
    <row r="71" spans="1:87" s="122" customFormat="1">
      <c r="A71" s="437"/>
      <c r="B71" s="175">
        <v>36</v>
      </c>
      <c r="C71" s="174" t="s">
        <v>493</v>
      </c>
      <c r="D71" s="174" t="s">
        <v>493</v>
      </c>
      <c r="E71" s="97">
        <f>References!$B$12*12</f>
        <v>12</v>
      </c>
      <c r="F71" s="97">
        <f>References!$B$26</f>
        <v>77</v>
      </c>
      <c r="G71" s="98">
        <f>References!$B$12</f>
        <v>1</v>
      </c>
      <c r="H71" s="97">
        <f t="shared" si="19"/>
        <v>924</v>
      </c>
      <c r="I71" s="19">
        <f t="shared" ca="1" si="20"/>
        <v>719.56392976688505</v>
      </c>
      <c r="J71" s="64">
        <f ca="1">(References!$C$53*I71)</f>
        <v>2.4213686018620524</v>
      </c>
      <c r="K71" s="64">
        <f ca="1">J71/References!$G$56</f>
        <v>2.4773568670575528</v>
      </c>
      <c r="L71" s="124">
        <v>8.85</v>
      </c>
      <c r="M71" s="134">
        <v>8.83</v>
      </c>
      <c r="N71" s="96">
        <f t="shared" ca="1" si="21"/>
        <v>0.20644640558812941</v>
      </c>
      <c r="O71" s="124">
        <f t="shared" ca="1" si="22"/>
        <v>9.06</v>
      </c>
      <c r="P71" s="134">
        <f t="shared" ca="1" si="23"/>
        <v>9.0399999999999991</v>
      </c>
      <c r="Q71" s="379"/>
      <c r="R71" s="379"/>
      <c r="S71" s="379"/>
      <c r="T71" s="382">
        <f ca="1">(((F71*$D$44)*(References!$C$53/References!$G$56)))-N71</f>
        <v>0</v>
      </c>
      <c r="U71" s="119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</row>
    <row r="72" spans="1:87" s="122" customFormat="1">
      <c r="A72" s="427"/>
      <c r="B72" s="175">
        <v>36</v>
      </c>
      <c r="C72" s="174" t="s">
        <v>509</v>
      </c>
      <c r="D72" s="174" t="s">
        <v>509</v>
      </c>
      <c r="E72" s="97">
        <f>References!$B$10*12</f>
        <v>52</v>
      </c>
      <c r="F72" s="97">
        <f>References!B30</f>
        <v>29</v>
      </c>
      <c r="G72" s="98">
        <f>+References!$B$10</f>
        <v>4.333333333333333</v>
      </c>
      <c r="H72" s="97">
        <f t="shared" ref="H72" si="38">E72*F72</f>
        <v>1508</v>
      </c>
      <c r="I72" s="19">
        <f t="shared" ref="I72" ca="1" si="39">$D$44*H72</f>
        <v>1174.3532533424921</v>
      </c>
      <c r="J72" s="64">
        <f ca="1">(References!$C$53*I72)</f>
        <v>3.9517574151601464</v>
      </c>
      <c r="K72" s="64">
        <f ca="1">J72/References!$G$56</f>
        <v>4.0431322029467429</v>
      </c>
      <c r="L72" s="124">
        <v>20.16</v>
      </c>
      <c r="M72" s="134">
        <v>20.100000000000001</v>
      </c>
      <c r="N72" s="96">
        <f ca="1">IFERROR((K72/E72),0)*G72</f>
        <v>0.33692768357889519</v>
      </c>
      <c r="O72" s="124">
        <f t="shared" ref="O72" ca="1" si="40">ROUND(N72+L72,2)</f>
        <v>20.5</v>
      </c>
      <c r="P72" s="134">
        <f t="shared" ref="P72" ca="1" si="41">ROUND(N72+M72,2)</f>
        <v>20.440000000000001</v>
      </c>
      <c r="Q72" s="379"/>
      <c r="R72" s="379"/>
      <c r="S72" s="379"/>
      <c r="T72" s="382"/>
      <c r="U72" s="119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</row>
    <row r="73" spans="1:87" s="122" customFormat="1">
      <c r="A73" s="427"/>
      <c r="B73" s="175">
        <v>36</v>
      </c>
      <c r="C73" s="174" t="s">
        <v>510</v>
      </c>
      <c r="D73" s="174" t="s">
        <v>510</v>
      </c>
      <c r="E73" s="97">
        <f>References!$B$10*12</f>
        <v>52</v>
      </c>
      <c r="F73" s="97">
        <f>References!$B$23</f>
        <v>37</v>
      </c>
      <c r="G73" s="98">
        <f>+References!$B$10</f>
        <v>4.333333333333333</v>
      </c>
      <c r="H73" s="97">
        <f t="shared" ref="H73:H76" si="42">E73*F73</f>
        <v>1924</v>
      </c>
      <c r="I73" s="19">
        <f t="shared" ref="I73:I76" ca="1" si="43">$D$44*H73</f>
        <v>1498.3127715059381</v>
      </c>
      <c r="J73" s="64">
        <f ca="1">(References!$C$53*I73)</f>
        <v>5.0418973917560486</v>
      </c>
      <c r="K73" s="64">
        <f ca="1">J73/References!$G$56</f>
        <v>5.1584790175527404</v>
      </c>
      <c r="L73" s="124">
        <v>21.69</v>
      </c>
      <c r="M73" s="134">
        <v>21.63</v>
      </c>
      <c r="N73" s="96">
        <f ca="1">N60*4.33</f>
        <v>0.42954257973083404</v>
      </c>
      <c r="O73" s="124">
        <f t="shared" ref="O73:O76" ca="1" si="44">ROUND(N73+L73,2)</f>
        <v>22.12</v>
      </c>
      <c r="P73" s="134">
        <f t="shared" ref="P73:P76" ca="1" si="45">ROUND(N73+M73,2)</f>
        <v>22.06</v>
      </c>
      <c r="Q73" s="379"/>
      <c r="R73" s="379"/>
      <c r="S73" s="379"/>
      <c r="T73" s="382"/>
      <c r="U73" s="119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</row>
    <row r="74" spans="1:87" s="122" customFormat="1">
      <c r="A74" s="427"/>
      <c r="B74" s="175">
        <v>36</v>
      </c>
      <c r="C74" s="174" t="s">
        <v>511</v>
      </c>
      <c r="D74" s="174" t="s">
        <v>511</v>
      </c>
      <c r="E74" s="97">
        <f>References!$B$10*12</f>
        <v>52</v>
      </c>
      <c r="F74" s="97">
        <f>References!$B$24</f>
        <v>48</v>
      </c>
      <c r="G74" s="98">
        <f>+References!$B$10</f>
        <v>4.333333333333333</v>
      </c>
      <c r="H74" s="97">
        <f t="shared" si="42"/>
        <v>2496</v>
      </c>
      <c r="I74" s="19">
        <f t="shared" ca="1" si="43"/>
        <v>1943.7571089806765</v>
      </c>
      <c r="J74" s="64">
        <f ca="1">(References!$C$53*I74)</f>
        <v>6.5408398595754145</v>
      </c>
      <c r="K74" s="64">
        <f ca="1">J74/References!$G$56</f>
        <v>6.6920808876359876</v>
      </c>
      <c r="L74" s="124">
        <v>25.62</v>
      </c>
      <c r="M74" s="134">
        <v>25.55</v>
      </c>
      <c r="N74" s="96">
        <f ca="1">N63*4.33</f>
        <v>0.5572444277589198</v>
      </c>
      <c r="O74" s="124">
        <f t="shared" ca="1" si="44"/>
        <v>26.18</v>
      </c>
      <c r="P74" s="134">
        <f t="shared" ca="1" si="45"/>
        <v>26.11</v>
      </c>
      <c r="Q74" s="379"/>
      <c r="R74" s="379"/>
      <c r="S74" s="379"/>
      <c r="T74" s="382"/>
      <c r="U74" s="119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</row>
    <row r="75" spans="1:87" s="122" customFormat="1">
      <c r="A75" s="427"/>
      <c r="B75" s="175">
        <v>36</v>
      </c>
      <c r="C75" s="174" t="s">
        <v>512</v>
      </c>
      <c r="D75" s="174" t="s">
        <v>512</v>
      </c>
      <c r="E75" s="97">
        <f>References!$B$10*12</f>
        <v>52</v>
      </c>
      <c r="F75" s="97">
        <f>References!$B$25</f>
        <v>51</v>
      </c>
      <c r="G75" s="98">
        <f>+References!$B$10</f>
        <v>4.333333333333333</v>
      </c>
      <c r="H75" s="97">
        <f t="shared" si="42"/>
        <v>2652</v>
      </c>
      <c r="I75" s="19">
        <f t="shared" ca="1" si="43"/>
        <v>2065.2419282919691</v>
      </c>
      <c r="J75" s="64">
        <f ca="1">(References!$C$53*I75)</f>
        <v>6.9496423507988787</v>
      </c>
      <c r="K75" s="64">
        <f ca="1">J75/References!$G$56</f>
        <v>7.1103359431132374</v>
      </c>
      <c r="L75" s="124">
        <v>30.22</v>
      </c>
      <c r="M75" s="134">
        <v>30.14</v>
      </c>
      <c r="N75" s="96">
        <f ca="1">N66*4.33</f>
        <v>0.59207220449385223</v>
      </c>
      <c r="O75" s="124">
        <f t="shared" ca="1" si="44"/>
        <v>30.81</v>
      </c>
      <c r="P75" s="134">
        <f t="shared" ca="1" si="45"/>
        <v>30.73</v>
      </c>
      <c r="Q75" s="379"/>
      <c r="R75" s="379"/>
      <c r="S75" s="379"/>
      <c r="T75" s="382"/>
      <c r="U75" s="119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</row>
    <row r="76" spans="1:87" s="122" customFormat="1" ht="15.75" thickBot="1">
      <c r="A76" s="427"/>
      <c r="B76" s="175">
        <v>36</v>
      </c>
      <c r="C76" s="174" t="s">
        <v>513</v>
      </c>
      <c r="D76" s="174" t="s">
        <v>513</v>
      </c>
      <c r="E76" s="97">
        <f>References!$B$10*12</f>
        <v>52</v>
      </c>
      <c r="F76" s="97">
        <f>References!$B$26</f>
        <v>77</v>
      </c>
      <c r="G76" s="98">
        <f>+References!$B$10</f>
        <v>4.333333333333333</v>
      </c>
      <c r="H76" s="97">
        <f t="shared" si="42"/>
        <v>4004</v>
      </c>
      <c r="I76" s="19">
        <f t="shared" ca="1" si="43"/>
        <v>3118.1103623231688</v>
      </c>
      <c r="J76" s="64">
        <f ca="1">(References!$C$53*I76)</f>
        <v>10.492597274735562</v>
      </c>
      <c r="K76" s="64">
        <f ca="1">J76/References!$G$56</f>
        <v>10.735213090582732</v>
      </c>
      <c r="L76" s="124">
        <v>37.94</v>
      </c>
      <c r="M76" s="134">
        <v>37.840000000000003</v>
      </c>
      <c r="N76" s="96">
        <f ca="1">N69*4.33</f>
        <v>0.89391293619660039</v>
      </c>
      <c r="O76" s="124">
        <f t="shared" ca="1" si="44"/>
        <v>38.83</v>
      </c>
      <c r="P76" s="134">
        <f t="shared" ca="1" si="45"/>
        <v>38.729999999999997</v>
      </c>
      <c r="Q76" s="379"/>
      <c r="R76" s="379"/>
      <c r="S76" s="379"/>
      <c r="T76" s="382"/>
      <c r="U76" s="119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</row>
    <row r="77" spans="1:87">
      <c r="A77" s="102"/>
      <c r="B77" s="42"/>
      <c r="C77" s="57"/>
      <c r="D77" s="43" t="s">
        <v>14</v>
      </c>
      <c r="E77" s="41">
        <f>SUM(E51:E76)</f>
        <v>512</v>
      </c>
      <c r="F77" s="44"/>
      <c r="G77" s="89"/>
      <c r="H77" s="41">
        <f>SUM(H51:H76)</f>
        <v>38240</v>
      </c>
      <c r="I77" s="41">
        <f ca="1">SUM(I51:I76)</f>
        <v>29779.355708101397</v>
      </c>
      <c r="J77" s="41">
        <f ca="1">SUM(J51:J76)</f>
        <v>100.20902092554644</v>
      </c>
      <c r="K77" s="41">
        <f ca="1">SUM(K51:K76)</f>
        <v>102.52611103493594</v>
      </c>
      <c r="L77" s="41"/>
      <c r="M77" s="99"/>
      <c r="N77" s="41"/>
      <c r="O77" s="79"/>
      <c r="P77" s="90"/>
      <c r="Q77" s="41"/>
      <c r="R77" s="41">
        <f>SUM(R51:R71)</f>
        <v>0</v>
      </c>
      <c r="S77" s="41">
        <f>SUM(S51:S71)</f>
        <v>0</v>
      </c>
      <c r="T77" s="40"/>
      <c r="U77" s="97"/>
    </row>
    <row r="78" spans="1:87">
      <c r="D78" s="60"/>
      <c r="E78" s="113"/>
      <c r="Q78" s="61"/>
      <c r="R78" s="61"/>
      <c r="S78" s="34"/>
      <c r="T78" s="62"/>
    </row>
    <row r="79" spans="1:87">
      <c r="D79" s="60"/>
      <c r="E79" s="60"/>
      <c r="Q79" s="61"/>
      <c r="R79" s="61"/>
      <c r="S79" s="34"/>
      <c r="T79" s="62"/>
    </row>
    <row r="80" spans="1:87">
      <c r="D80" s="60"/>
      <c r="E80" s="60"/>
      <c r="Q80" s="61"/>
      <c r="R80" s="61"/>
      <c r="S80" s="34"/>
      <c r="T80" s="62"/>
    </row>
    <row r="81" spans="4:20">
      <c r="D81" s="60"/>
      <c r="E81" s="60"/>
      <c r="Q81" s="61"/>
      <c r="R81" s="61"/>
      <c r="S81" s="34"/>
      <c r="T81" s="62"/>
    </row>
    <row r="82" spans="4:20">
      <c r="D82" s="60"/>
      <c r="E82" s="60"/>
      <c r="Q82" s="61"/>
      <c r="R82" s="61"/>
      <c r="S82" s="34"/>
      <c r="T82" s="62"/>
    </row>
    <row r="83" spans="4:20">
      <c r="Q83" s="61"/>
      <c r="R83" s="61"/>
      <c r="S83" s="34"/>
      <c r="T83" s="62"/>
    </row>
    <row r="84" spans="4:20">
      <c r="Q84" s="61"/>
      <c r="R84" s="61"/>
      <c r="S84" s="34"/>
      <c r="T84" s="62"/>
    </row>
    <row r="85" spans="4:20">
      <c r="R85" s="78"/>
      <c r="S85" s="34"/>
      <c r="T85" s="62"/>
    </row>
    <row r="86" spans="4:20">
      <c r="Q86" s="61"/>
      <c r="R86" s="78"/>
      <c r="S86" s="46"/>
      <c r="T86" s="62"/>
    </row>
    <row r="87" spans="4:20">
      <c r="S87" s="46"/>
      <c r="T87" s="62"/>
    </row>
    <row r="88" spans="4:20">
      <c r="Q88" s="26"/>
      <c r="S88" s="46"/>
      <c r="T88" s="62"/>
    </row>
    <row r="89" spans="4:20">
      <c r="Q89" s="26"/>
      <c r="S89" s="46"/>
      <c r="T89" s="62"/>
    </row>
    <row r="90" spans="4:20">
      <c r="S90" s="46"/>
      <c r="T90" s="62"/>
    </row>
    <row r="91" spans="4:20">
      <c r="Q91" s="26"/>
    </row>
    <row r="92" spans="4:20">
      <c r="Q92" s="13"/>
    </row>
    <row r="93" spans="4:20">
      <c r="Q93" s="27"/>
    </row>
    <row r="94" spans="4:20">
      <c r="Q94" s="27"/>
    </row>
    <row r="95" spans="4:20">
      <c r="Q95" s="27"/>
    </row>
  </sheetData>
  <autoFilter ref="A6:T36"/>
  <sortState ref="B27:T33">
    <sortCondition ref="B27:B33"/>
  </sortState>
  <mergeCells count="5">
    <mergeCell ref="J39:L39"/>
    <mergeCell ref="A7:A25"/>
    <mergeCell ref="A27:A33"/>
    <mergeCell ref="A51:A71"/>
    <mergeCell ref="B39:D39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9"/>
  <sheetViews>
    <sheetView view="pageBreakPreview" topLeftCell="F1" zoomScale="90" zoomScaleNormal="100" zoomScaleSheetLayoutView="90" workbookViewId="0">
      <pane ySplit="1" topLeftCell="A14" activePane="bottomLeft" state="frozen"/>
      <selection activeCell="O52" sqref="O52"/>
      <selection pane="bottomLeft" activeCell="O52" sqref="O52"/>
    </sheetView>
  </sheetViews>
  <sheetFormatPr defaultRowHeight="15"/>
  <cols>
    <col min="1" max="1" width="13.140625" style="69" bestFit="1" customWidth="1"/>
    <col min="2" max="2" width="15.7109375" style="69" bestFit="1" customWidth="1"/>
    <col min="3" max="3" width="9.7109375" style="355" customWidth="1"/>
    <col min="4" max="4" width="10.42578125" style="355" customWidth="1"/>
    <col min="5" max="5" width="26.5703125" style="69" bestFit="1" customWidth="1"/>
    <col min="6" max="6" width="28.5703125" style="69" bestFit="1" customWidth="1"/>
    <col min="7" max="7" width="16.85546875" style="69" bestFit="1" customWidth="1"/>
    <col min="8" max="8" width="13" style="49" bestFit="1" customWidth="1"/>
    <col min="9" max="9" width="12.140625" style="69" bestFit="1" customWidth="1"/>
    <col min="10" max="10" width="27" style="69" bestFit="1" customWidth="1"/>
    <col min="11" max="11" width="9.140625" style="50" bestFit="1" customWidth="1"/>
    <col min="12" max="12" width="12.85546875" style="50" bestFit="1" customWidth="1"/>
    <col min="13" max="13" width="18.7109375" style="50" customWidth="1"/>
    <col min="14" max="14" width="29.140625" style="70" bestFit="1" customWidth="1"/>
    <col min="15" max="15" width="25.7109375" style="70" customWidth="1"/>
    <col min="16" max="16" width="4" style="70" customWidth="1"/>
    <col min="17" max="17" width="40" style="59" bestFit="1" customWidth="1"/>
    <col min="18" max="18" width="15.42578125" style="59" bestFit="1" customWidth="1"/>
    <col min="19" max="19" width="11" style="59" customWidth="1"/>
    <col min="20" max="20" width="12.42578125" style="59" bestFit="1" customWidth="1"/>
    <col min="21" max="16384" width="9.140625" style="59"/>
  </cols>
  <sheetData>
    <row r="1" spans="1:21" s="74" customFormat="1" ht="35.25" customHeight="1">
      <c r="A1" s="68" t="s">
        <v>86</v>
      </c>
      <c r="B1" s="68" t="s">
        <v>463</v>
      </c>
      <c r="C1" s="68" t="s">
        <v>435</v>
      </c>
      <c r="D1" s="68" t="s">
        <v>474</v>
      </c>
      <c r="E1" s="68" t="s">
        <v>87</v>
      </c>
      <c r="F1" s="68" t="s">
        <v>93</v>
      </c>
      <c r="G1" s="68" t="s">
        <v>88</v>
      </c>
      <c r="H1" s="71" t="s">
        <v>89</v>
      </c>
      <c r="I1" s="68" t="s">
        <v>94</v>
      </c>
      <c r="J1" s="68" t="s">
        <v>126</v>
      </c>
      <c r="K1" s="72" t="s">
        <v>92</v>
      </c>
      <c r="L1" s="68" t="s">
        <v>91</v>
      </c>
      <c r="M1" s="68" t="s">
        <v>90</v>
      </c>
      <c r="N1" s="73" t="s">
        <v>95</v>
      </c>
      <c r="O1" s="73" t="s">
        <v>96</v>
      </c>
      <c r="P1" s="100"/>
      <c r="Q1" s="83"/>
      <c r="R1" s="181"/>
      <c r="S1" s="83"/>
      <c r="T1" s="85"/>
      <c r="U1" s="84"/>
    </row>
    <row r="2" spans="1:21" s="161" customFormat="1">
      <c r="A2" s="154" t="s">
        <v>145</v>
      </c>
      <c r="B2" s="154" t="s">
        <v>457</v>
      </c>
      <c r="C2" s="353">
        <v>21</v>
      </c>
      <c r="D2" s="353" t="s">
        <v>189</v>
      </c>
      <c r="E2" s="154" t="s">
        <v>190</v>
      </c>
      <c r="F2" s="154" t="s">
        <v>190</v>
      </c>
      <c r="G2" s="154" t="s">
        <v>441</v>
      </c>
      <c r="H2" s="155" t="s">
        <v>437</v>
      </c>
      <c r="I2" s="155" t="s">
        <v>459</v>
      </c>
      <c r="J2" s="156" t="str">
        <f>CONCATENATE($G2," ",$I2)</f>
        <v>1-35 gal Cart EOWG</v>
      </c>
      <c r="K2" s="157" t="s">
        <v>446</v>
      </c>
      <c r="L2" s="157">
        <f>References!$B$23</f>
        <v>37</v>
      </c>
      <c r="M2" s="158">
        <f>References!$B$11</f>
        <v>2.1666666666666665</v>
      </c>
      <c r="N2" s="159">
        <f ca="1">(SUMIF('Mason Co. Regulated - Price Out'!$C$10:$D$148,Mapping!$D2,'Mason Co. Regulated - Price Out'!$AI$10:$AI$148)+SUMIF('Mason Co. Regulated - Price Out'!$C$10:$D$148,Mapping!$D2,'Mason Co. Regulated - Price Out'!$AJ$10:$AJ$148))*12</f>
        <v>27972.103020010865</v>
      </c>
      <c r="O2" s="159">
        <f ca="1">IF(N2&lt;0.99,M2*12,M2*N2)</f>
        <v>60606.223210023534</v>
      </c>
      <c r="P2" s="160"/>
    </row>
    <row r="3" spans="1:21" s="161" customFormat="1">
      <c r="A3" s="154" t="s">
        <v>145</v>
      </c>
      <c r="B3" s="154" t="s">
        <v>457</v>
      </c>
      <c r="C3" s="353">
        <v>21</v>
      </c>
      <c r="D3" s="353" t="s">
        <v>191</v>
      </c>
      <c r="E3" s="154" t="s">
        <v>192</v>
      </c>
      <c r="F3" s="154" t="s">
        <v>192</v>
      </c>
      <c r="G3" s="154" t="s">
        <v>442</v>
      </c>
      <c r="H3" s="155" t="s">
        <v>437</v>
      </c>
      <c r="I3" s="155" t="s">
        <v>459</v>
      </c>
      <c r="J3" s="156" t="str">
        <f t="shared" ref="J3:J37" si="0">CONCATENATE($G3," ",$I3)</f>
        <v>1-48 gal Cart EOWG</v>
      </c>
      <c r="K3" s="157" t="s">
        <v>447</v>
      </c>
      <c r="L3" s="157">
        <f>References!$B$24</f>
        <v>48</v>
      </c>
      <c r="M3" s="158">
        <f>References!$B$11</f>
        <v>2.1666666666666665</v>
      </c>
      <c r="N3" s="159">
        <f ca="1">(SUMIF('Mason Co. Regulated - Price Out'!$C$10:$D$148,Mapping!$D3,'Mason Co. Regulated - Price Out'!$AI$10:$AI$148)+SUMIF('Mason Co. Regulated - Price Out'!$C$10:$D$148,Mapping!$D3,'Mason Co. Regulated - Price Out'!$AJ$10:$AJ$148))*12</f>
        <v>8903.2363299177705</v>
      </c>
      <c r="O3" s="159">
        <f t="shared" ref="O3:O39" ca="1" si="1">IF(N3&lt;0.99,M3*12,M3*N3)</f>
        <v>19290.3453814885</v>
      </c>
      <c r="P3" s="160"/>
    </row>
    <row r="4" spans="1:21" s="161" customFormat="1" ht="15.75" thickBot="1">
      <c r="A4" s="154" t="s">
        <v>145</v>
      </c>
      <c r="B4" s="154" t="s">
        <v>457</v>
      </c>
      <c r="C4" s="353">
        <v>21</v>
      </c>
      <c r="D4" s="353" t="s">
        <v>193</v>
      </c>
      <c r="E4" s="154" t="s">
        <v>194</v>
      </c>
      <c r="F4" s="154" t="s">
        <v>194</v>
      </c>
      <c r="G4" s="154" t="s">
        <v>443</v>
      </c>
      <c r="H4" s="155" t="s">
        <v>437</v>
      </c>
      <c r="I4" s="155" t="s">
        <v>459</v>
      </c>
      <c r="J4" s="156" t="str">
        <f t="shared" si="0"/>
        <v>1-64 gal Cart EOWG</v>
      </c>
      <c r="K4" s="157" t="s">
        <v>448</v>
      </c>
      <c r="L4" s="157">
        <f>References!$B$25</f>
        <v>51</v>
      </c>
      <c r="M4" s="158">
        <f>References!$B$11</f>
        <v>2.1666666666666665</v>
      </c>
      <c r="N4" s="159">
        <f ca="1">(SUMIF('Mason Co. Regulated - Price Out'!$C$10:$D$148,Mapping!$D4,'Mason Co. Regulated - Price Out'!$AI$10:$AI$148)+SUMIF('Mason Co. Regulated - Price Out'!$C$10:$D$148,Mapping!$D4,'Mason Co. Regulated - Price Out'!$AJ$10:$AJ$148))*12</f>
        <v>10353.345706933309</v>
      </c>
      <c r="O4" s="159">
        <f t="shared" ca="1" si="1"/>
        <v>22432.249031688836</v>
      </c>
      <c r="P4" s="160"/>
      <c r="Q4" s="142" t="s">
        <v>476</v>
      </c>
      <c r="R4" s="143">
        <f ca="1">SUM(O2:O39)</f>
        <v>622026.10833573889</v>
      </c>
    </row>
    <row r="5" spans="1:21" s="161" customFormat="1" ht="15.75" thickTop="1">
      <c r="A5" s="154" t="s">
        <v>145</v>
      </c>
      <c r="B5" s="154" t="s">
        <v>457</v>
      </c>
      <c r="C5" s="353">
        <v>21</v>
      </c>
      <c r="D5" s="353" t="s">
        <v>195</v>
      </c>
      <c r="E5" s="154" t="s">
        <v>196</v>
      </c>
      <c r="F5" s="154" t="s">
        <v>196</v>
      </c>
      <c r="G5" s="154" t="s">
        <v>444</v>
      </c>
      <c r="H5" s="155" t="s">
        <v>437</v>
      </c>
      <c r="I5" s="155" t="s">
        <v>459</v>
      </c>
      <c r="J5" s="156" t="str">
        <f t="shared" si="0"/>
        <v>1-96 gal Cart EOWG</v>
      </c>
      <c r="K5" s="157" t="s">
        <v>449</v>
      </c>
      <c r="L5" s="157">
        <f>References!$B$26</f>
        <v>77</v>
      </c>
      <c r="M5" s="158">
        <f>References!$B$11</f>
        <v>2.1666666666666665</v>
      </c>
      <c r="N5" s="159">
        <f ca="1">(SUMIF('Mason Co. Regulated - Price Out'!$C$10:$D$148,Mapping!$D5,'Mason Co. Regulated - Price Out'!$AI$10:$AI$148)+SUMIF('Mason Co. Regulated - Price Out'!$C$10:$D$148,Mapping!$D5,'Mason Co. Regulated - Price Out'!$AJ$10:$AJ$148))*12</f>
        <v>5393.4801455334364</v>
      </c>
      <c r="O5" s="159">
        <f t="shared" ca="1" si="1"/>
        <v>11685.873648655777</v>
      </c>
      <c r="P5" s="160"/>
      <c r="S5" s="167"/>
    </row>
    <row r="6" spans="1:21" s="161" customFormat="1">
      <c r="A6" s="154" t="s">
        <v>145</v>
      </c>
      <c r="B6" s="154" t="s">
        <v>457</v>
      </c>
      <c r="C6" s="353">
        <v>21</v>
      </c>
      <c r="D6" s="353" t="s">
        <v>197</v>
      </c>
      <c r="E6" s="154" t="s">
        <v>198</v>
      </c>
      <c r="F6" s="154" t="s">
        <v>198</v>
      </c>
      <c r="G6" s="154" t="s">
        <v>445</v>
      </c>
      <c r="H6" s="155" t="s">
        <v>451</v>
      </c>
      <c r="I6" s="155" t="s">
        <v>458</v>
      </c>
      <c r="J6" s="156" t="str">
        <f t="shared" si="0"/>
        <v>1-20 gal Mini Can WG</v>
      </c>
      <c r="K6" s="157" t="s">
        <v>450</v>
      </c>
      <c r="L6" s="157">
        <f>References!$B$16</f>
        <v>20</v>
      </c>
      <c r="M6" s="158">
        <f>References!$B$10</f>
        <v>4.333333333333333</v>
      </c>
      <c r="N6" s="159">
        <f ca="1">(SUMIF('Mason Co. Regulated - Price Out'!$C$10:$D$148,Mapping!$D6,'Mason Co. Regulated - Price Out'!$AI$10:$AI$148)+SUMIF('Mason Co. Regulated - Price Out'!$C$10:$D$148,Mapping!$D6,'Mason Co. Regulated - Price Out'!$AJ$10:$AJ$148))*12</f>
        <v>90.639343835854774</v>
      </c>
      <c r="O6" s="159">
        <f t="shared" ca="1" si="1"/>
        <v>392.77048995537064</v>
      </c>
      <c r="P6" s="160"/>
      <c r="Q6" s="144" t="s">
        <v>475</v>
      </c>
      <c r="R6" s="357">
        <f ca="1">SUM(N2:N39)</f>
        <v>200591.91945672731</v>
      </c>
      <c r="S6" s="167"/>
    </row>
    <row r="7" spans="1:21" s="161" customFormat="1">
      <c r="A7" s="154" t="s">
        <v>145</v>
      </c>
      <c r="B7" s="154" t="s">
        <v>457</v>
      </c>
      <c r="C7" s="353">
        <v>21</v>
      </c>
      <c r="D7" s="353" t="s">
        <v>199</v>
      </c>
      <c r="E7" s="154" t="s">
        <v>200</v>
      </c>
      <c r="F7" s="154" t="s">
        <v>200</v>
      </c>
      <c r="G7" s="154" t="s">
        <v>441</v>
      </c>
      <c r="H7" s="155" t="s">
        <v>451</v>
      </c>
      <c r="I7" s="155" t="s">
        <v>458</v>
      </c>
      <c r="J7" s="156" t="str">
        <f t="shared" si="0"/>
        <v>1-35 gal Cart WG</v>
      </c>
      <c r="K7" s="157" t="s">
        <v>446</v>
      </c>
      <c r="L7" s="157">
        <f>References!$B$23</f>
        <v>37</v>
      </c>
      <c r="M7" s="158">
        <f>References!$B$10</f>
        <v>4.333333333333333</v>
      </c>
      <c r="N7" s="159">
        <f ca="1">(SUMIF('Mason Co. Regulated - Price Out'!$C$10:$D$148,Mapping!$D7,'Mason Co. Regulated - Price Out'!$AI$10:$AI$148)+SUMIF('Mason Co. Regulated - Price Out'!$C$10:$D$148,Mapping!$D7,'Mason Co. Regulated - Price Out'!$AJ$10:$AJ$148))*12</f>
        <v>41403.11248159752</v>
      </c>
      <c r="O7" s="159">
        <f t="shared" ca="1" si="1"/>
        <v>179413.4874202559</v>
      </c>
      <c r="P7" s="160"/>
      <c r="Q7" s="376" t="s">
        <v>477</v>
      </c>
      <c r="R7" s="421">
        <f>+SUM('Mason Co. Regulated - Price Out'!AI10:AJ28,'Mason Co. Regulated - Price Out'!AI43:AJ43,'Mason Co. Regulated - Price Out'!AI72:AJ83,'Mason Co. Regulated - Price Out'!AI89:AJ89,'Mason Co. Regulated - Price Out'!AI93:AJ94,'Mason Co. Regulated - Price Out'!AI98:AJ100)*12</f>
        <v>200591.91945672745</v>
      </c>
      <c r="S7" s="167"/>
    </row>
    <row r="8" spans="1:21" s="161" customFormat="1" ht="15.75" thickBot="1">
      <c r="A8" s="154" t="s">
        <v>145</v>
      </c>
      <c r="B8" s="154" t="s">
        <v>457</v>
      </c>
      <c r="C8" s="353">
        <v>21</v>
      </c>
      <c r="D8" s="353" t="s">
        <v>201</v>
      </c>
      <c r="E8" s="154" t="s">
        <v>202</v>
      </c>
      <c r="F8" s="154" t="s">
        <v>202</v>
      </c>
      <c r="G8" s="154" t="s">
        <v>442</v>
      </c>
      <c r="H8" s="155" t="s">
        <v>451</v>
      </c>
      <c r="I8" s="155" t="s">
        <v>458</v>
      </c>
      <c r="J8" s="156" t="str">
        <f t="shared" si="0"/>
        <v>1-48 gal Cart WG</v>
      </c>
      <c r="K8" s="157" t="s">
        <v>447</v>
      </c>
      <c r="L8" s="157">
        <f>References!$B$24</f>
        <v>48</v>
      </c>
      <c r="M8" s="158">
        <f>References!$B$10</f>
        <v>4.333333333333333</v>
      </c>
      <c r="N8" s="159">
        <f ca="1">(SUMIF('Mason Co. Regulated - Price Out'!$C$10:$D$148,Mapping!$D8,'Mason Co. Regulated - Price Out'!$AI$10:$AI$148)+SUMIF('Mason Co. Regulated - Price Out'!$C$10:$D$148,Mapping!$D8,'Mason Co. Regulated - Price Out'!$AJ$10:$AJ$148))*12</f>
        <v>23080.67810884862</v>
      </c>
      <c r="O8" s="159">
        <f t="shared" ca="1" si="1"/>
        <v>100016.27180501068</v>
      </c>
      <c r="P8" s="160"/>
      <c r="Q8" s="375" t="s">
        <v>116</v>
      </c>
      <c r="R8" s="377">
        <f ca="1">R6-R7</f>
        <v>0</v>
      </c>
      <c r="S8" s="178"/>
      <c r="T8" s="179"/>
    </row>
    <row r="9" spans="1:21" s="161" customFormat="1" ht="15.75" thickTop="1">
      <c r="A9" s="154" t="s">
        <v>145</v>
      </c>
      <c r="B9" s="154" t="s">
        <v>457</v>
      </c>
      <c r="C9" s="353">
        <v>21</v>
      </c>
      <c r="D9" s="353" t="s">
        <v>203</v>
      </c>
      <c r="E9" s="154" t="s">
        <v>204</v>
      </c>
      <c r="F9" s="154" t="s">
        <v>204</v>
      </c>
      <c r="G9" s="154" t="s">
        <v>443</v>
      </c>
      <c r="H9" s="155" t="s">
        <v>451</v>
      </c>
      <c r="I9" s="155" t="s">
        <v>458</v>
      </c>
      <c r="J9" s="156" t="str">
        <f t="shared" si="0"/>
        <v>1-64 gal Cart WG</v>
      </c>
      <c r="K9" s="157" t="s">
        <v>448</v>
      </c>
      <c r="L9" s="157">
        <f>References!$B$25</f>
        <v>51</v>
      </c>
      <c r="M9" s="158">
        <f>References!$B$10</f>
        <v>4.333333333333333</v>
      </c>
      <c r="N9" s="159">
        <f ca="1">(SUMIF('Mason Co. Regulated - Price Out'!$C$10:$D$148,Mapping!$D9,'Mason Co. Regulated - Price Out'!$AI$10:$AI$148)+SUMIF('Mason Co. Regulated - Price Out'!$C$10:$D$148,Mapping!$D9,'Mason Co. Regulated - Price Out'!$AJ$10:$AJ$148))*12</f>
        <v>21983.940171342394</v>
      </c>
      <c r="O9" s="159">
        <f t="shared" ca="1" si="1"/>
        <v>95263.7407424837</v>
      </c>
      <c r="P9" s="160"/>
      <c r="Q9" s="180"/>
      <c r="R9" s="178"/>
      <c r="S9" s="178"/>
      <c r="T9" s="179"/>
    </row>
    <row r="10" spans="1:21" s="161" customFormat="1">
      <c r="A10" s="154" t="s">
        <v>145</v>
      </c>
      <c r="B10" s="154" t="s">
        <v>457</v>
      </c>
      <c r="C10" s="353">
        <v>21</v>
      </c>
      <c r="D10" s="353" t="s">
        <v>205</v>
      </c>
      <c r="E10" s="154" t="s">
        <v>206</v>
      </c>
      <c r="F10" s="154" t="s">
        <v>206</v>
      </c>
      <c r="G10" s="154" t="s">
        <v>444</v>
      </c>
      <c r="H10" s="155" t="s">
        <v>451</v>
      </c>
      <c r="I10" s="155" t="s">
        <v>458</v>
      </c>
      <c r="J10" s="156" t="str">
        <f t="shared" si="0"/>
        <v>1-96 gal Cart WG</v>
      </c>
      <c r="K10" s="157" t="s">
        <v>449</v>
      </c>
      <c r="L10" s="157">
        <f>References!$B$26</f>
        <v>77</v>
      </c>
      <c r="M10" s="158">
        <f>References!$B$10</f>
        <v>4.333333333333333</v>
      </c>
      <c r="N10" s="159">
        <f ca="1">(SUMIF('Mason Co. Regulated - Price Out'!$C$10:$D$148,Mapping!$D10,'Mason Co. Regulated - Price Out'!$AI$10:$AI$148)+SUMIF('Mason Co. Regulated - Price Out'!$C$10:$D$148,Mapping!$D10,'Mason Co. Regulated - Price Out'!$AJ$10:$AJ$148))*12</f>
        <v>12509.848709769427</v>
      </c>
      <c r="O10" s="159">
        <f t="shared" ca="1" si="1"/>
        <v>54209.344409000849</v>
      </c>
      <c r="P10" s="160"/>
      <c r="Q10" s="378"/>
      <c r="R10" s="167"/>
      <c r="S10" s="167"/>
    </row>
    <row r="11" spans="1:21" s="161" customFormat="1">
      <c r="A11" s="154" t="s">
        <v>145</v>
      </c>
      <c r="B11" s="154" t="s">
        <v>457</v>
      </c>
      <c r="C11" s="353">
        <v>21</v>
      </c>
      <c r="D11" s="353" t="s">
        <v>207</v>
      </c>
      <c r="E11" s="154" t="s">
        <v>208</v>
      </c>
      <c r="F11" s="154" t="s">
        <v>208</v>
      </c>
      <c r="G11" s="154" t="s">
        <v>441</v>
      </c>
      <c r="H11" s="155" t="s">
        <v>124</v>
      </c>
      <c r="I11" s="155" t="s">
        <v>460</v>
      </c>
      <c r="J11" s="156" t="str">
        <f t="shared" si="0"/>
        <v>1-35 gal Cart MG</v>
      </c>
      <c r="K11" s="157" t="s">
        <v>446</v>
      </c>
      <c r="L11" s="157">
        <f>References!$B$23</f>
        <v>37</v>
      </c>
      <c r="M11" s="158">
        <f>References!$B$12</f>
        <v>1</v>
      </c>
      <c r="N11" s="159">
        <f ca="1">(SUMIF('Mason Co. Regulated - Price Out'!$C$10:$D$148,Mapping!$D11,'Mason Co. Regulated - Price Out'!$AI$10:$AI$148)+SUMIF('Mason Co. Regulated - Price Out'!$C$10:$D$148,Mapping!$D11,'Mason Co. Regulated - Price Out'!$AJ$10:$AJ$148))*12</f>
        <v>3317.9500954770992</v>
      </c>
      <c r="O11" s="159">
        <f t="shared" ca="1" si="1"/>
        <v>3317.9500954770992</v>
      </c>
      <c r="P11" s="160"/>
      <c r="R11" s="167"/>
      <c r="S11" s="167"/>
    </row>
    <row r="12" spans="1:21" s="161" customFormat="1">
      <c r="A12" s="154" t="s">
        <v>145</v>
      </c>
      <c r="B12" s="154" t="s">
        <v>457</v>
      </c>
      <c r="C12" s="353">
        <v>21</v>
      </c>
      <c r="D12" s="353" t="s">
        <v>209</v>
      </c>
      <c r="E12" s="154" t="s">
        <v>210</v>
      </c>
      <c r="F12" s="154" t="s">
        <v>210</v>
      </c>
      <c r="G12" s="154" t="s">
        <v>442</v>
      </c>
      <c r="H12" s="155" t="s">
        <v>124</v>
      </c>
      <c r="I12" s="155" t="s">
        <v>460</v>
      </c>
      <c r="J12" s="156" t="str">
        <f t="shared" si="0"/>
        <v>1-48 gal Cart MG</v>
      </c>
      <c r="K12" s="157" t="s">
        <v>447</v>
      </c>
      <c r="L12" s="157">
        <f>References!$B$24</f>
        <v>48</v>
      </c>
      <c r="M12" s="158">
        <f>References!$B$12</f>
        <v>1</v>
      </c>
      <c r="N12" s="159">
        <f ca="1">(SUMIF('Mason Co. Regulated - Price Out'!$C$10:$D$148,Mapping!$D12,'Mason Co. Regulated - Price Out'!$AI$10:$AI$148)+SUMIF('Mason Co. Regulated - Price Out'!$C$10:$D$148,Mapping!$D12,'Mason Co. Regulated - Price Out'!$AJ$10:$AJ$148))*12</f>
        <v>552.70453178199818</v>
      </c>
      <c r="O12" s="159">
        <f t="shared" ca="1" si="1"/>
        <v>552.70453178199818</v>
      </c>
      <c r="P12" s="160"/>
      <c r="R12" s="162" t="s">
        <v>123</v>
      </c>
      <c r="S12" s="162" t="s">
        <v>124</v>
      </c>
    </row>
    <row r="13" spans="1:21" s="161" customFormat="1">
      <c r="A13" s="154" t="s">
        <v>145</v>
      </c>
      <c r="B13" s="154" t="s">
        <v>457</v>
      </c>
      <c r="C13" s="353">
        <v>21</v>
      </c>
      <c r="D13" s="353" t="s">
        <v>211</v>
      </c>
      <c r="E13" s="154" t="s">
        <v>212</v>
      </c>
      <c r="F13" s="154" t="s">
        <v>212</v>
      </c>
      <c r="G13" s="154" t="s">
        <v>443</v>
      </c>
      <c r="H13" s="155" t="s">
        <v>124</v>
      </c>
      <c r="I13" s="155" t="s">
        <v>460</v>
      </c>
      <c r="J13" s="156" t="str">
        <f t="shared" si="0"/>
        <v>1-64 gal Cart MG</v>
      </c>
      <c r="K13" s="157" t="s">
        <v>448</v>
      </c>
      <c r="L13" s="157">
        <f>References!$B$25</f>
        <v>51</v>
      </c>
      <c r="M13" s="158">
        <f>References!$B$12</f>
        <v>1</v>
      </c>
      <c r="N13" s="159">
        <f ca="1">(SUMIF('Mason Co. Regulated - Price Out'!$C$10:$D$148,Mapping!$D13,'Mason Co. Regulated - Price Out'!$AI$10:$AI$148)+SUMIF('Mason Co. Regulated - Price Out'!$C$10:$D$148,Mapping!$D13,'Mason Co. Regulated - Price Out'!$AJ$10:$AJ$148))*12</f>
        <v>565.7955315849423</v>
      </c>
      <c r="O13" s="159">
        <f t="shared" ca="1" si="1"/>
        <v>565.7955315849423</v>
      </c>
      <c r="P13" s="160"/>
      <c r="Q13" s="163" t="s">
        <v>79</v>
      </c>
      <c r="R13" s="164">
        <f ca="1">SUMIF(A:A,Q13,N:N)</f>
        <v>184242.35158093259</v>
      </c>
      <c r="S13" s="164">
        <f t="shared" ref="S13" ca="1" si="2">R13/12</f>
        <v>15353.529298411049</v>
      </c>
    </row>
    <row r="14" spans="1:21" s="161" customFormat="1">
      <c r="A14" s="154" t="s">
        <v>145</v>
      </c>
      <c r="B14" s="154" t="s">
        <v>457</v>
      </c>
      <c r="C14" s="353">
        <v>21</v>
      </c>
      <c r="D14" s="353" t="s">
        <v>213</v>
      </c>
      <c r="E14" s="154" t="s">
        <v>214</v>
      </c>
      <c r="F14" s="154" t="s">
        <v>214</v>
      </c>
      <c r="G14" s="154" t="s">
        <v>444</v>
      </c>
      <c r="H14" s="155" t="s">
        <v>124</v>
      </c>
      <c r="I14" s="155" t="s">
        <v>460</v>
      </c>
      <c r="J14" s="156" t="str">
        <f t="shared" si="0"/>
        <v>1-96 gal Cart MG</v>
      </c>
      <c r="K14" s="157" t="s">
        <v>449</v>
      </c>
      <c r="L14" s="157">
        <f>References!$B$26</f>
        <v>77</v>
      </c>
      <c r="M14" s="158">
        <f>References!$B$12</f>
        <v>1</v>
      </c>
      <c r="N14" s="159">
        <f ca="1">(SUMIF('Mason Co. Regulated - Price Out'!$C$10:$D$148,Mapping!$D14,'Mason Co. Regulated - Price Out'!$AI$10:$AI$148)+SUMIF('Mason Co. Regulated - Price Out'!$C$10:$D$148,Mapping!$D14,'Mason Co. Regulated - Price Out'!$AJ$10:$AJ$148))*12</f>
        <v>489.24425771235718</v>
      </c>
      <c r="O14" s="159">
        <f t="shared" ca="1" si="1"/>
        <v>489.24425771235718</v>
      </c>
      <c r="P14" s="160"/>
      <c r="Q14" s="166" t="s">
        <v>80</v>
      </c>
      <c r="R14" s="164">
        <f ca="1">SUMIF(A:A,Q14,N:N)</f>
        <v>16349.567875794719</v>
      </c>
      <c r="S14" s="164">
        <f t="shared" ref="S14" ca="1" si="3">R14/12</f>
        <v>1362.4639896495598</v>
      </c>
    </row>
    <row r="15" spans="1:21" s="161" customFormat="1">
      <c r="A15" s="154" t="s">
        <v>145</v>
      </c>
      <c r="B15" s="154" t="s">
        <v>465</v>
      </c>
      <c r="C15" s="353">
        <v>22</v>
      </c>
      <c r="D15" s="353" t="s">
        <v>215</v>
      </c>
      <c r="E15" s="154" t="s">
        <v>216</v>
      </c>
      <c r="F15" s="154" t="s">
        <v>216</v>
      </c>
      <c r="G15" s="154" t="s">
        <v>434</v>
      </c>
      <c r="H15" s="155" t="s">
        <v>440</v>
      </c>
      <c r="I15" s="155" t="s">
        <v>438</v>
      </c>
      <c r="J15" s="156" t="str">
        <f t="shared" si="0"/>
        <v>Extra Pickup Extra</v>
      </c>
      <c r="K15" s="157" t="s">
        <v>446</v>
      </c>
      <c r="L15" s="157">
        <f>+References!$B$17</f>
        <v>34</v>
      </c>
      <c r="M15" s="158">
        <f>References!$B$12</f>
        <v>1</v>
      </c>
      <c r="N15" s="159">
        <f ca="1">(SUMIF('Mason Co. Regulated - Price Out'!$C$10:$D$148,Mapping!$D15,'Mason Co. Regulated - Price Out'!$AI$10:$AI$148)+SUMIF('Mason Co. Regulated - Price Out'!$C$10:$D$148,Mapping!$D15,'Mason Co. Regulated - Price Out'!$AJ$10:$AJ$148))*12</f>
        <v>2525.3129432505875</v>
      </c>
      <c r="O15" s="159">
        <f t="shared" ca="1" si="1"/>
        <v>2525.3129432505875</v>
      </c>
      <c r="P15" s="160"/>
      <c r="R15" s="167"/>
      <c r="S15" s="167"/>
    </row>
    <row r="16" spans="1:21" s="161" customFormat="1">
      <c r="A16" s="154" t="s">
        <v>145</v>
      </c>
      <c r="B16" s="154" t="s">
        <v>465</v>
      </c>
      <c r="C16" s="353">
        <v>22</v>
      </c>
      <c r="D16" s="353" t="s">
        <v>217</v>
      </c>
      <c r="E16" s="154" t="s">
        <v>218</v>
      </c>
      <c r="F16" s="154" t="s">
        <v>218</v>
      </c>
      <c r="G16" s="154" t="s">
        <v>434</v>
      </c>
      <c r="H16" s="155" t="s">
        <v>440</v>
      </c>
      <c r="I16" s="155" t="s">
        <v>438</v>
      </c>
      <c r="J16" s="156" t="str">
        <f t="shared" si="0"/>
        <v>Extra Pickup Extra</v>
      </c>
      <c r="K16" s="157" t="s">
        <v>446</v>
      </c>
      <c r="L16" s="157">
        <f>+References!$B$17</f>
        <v>34</v>
      </c>
      <c r="M16" s="158">
        <f>References!$B$12</f>
        <v>1</v>
      </c>
      <c r="N16" s="159">
        <f ca="1">(SUMIF('Mason Co. Regulated - Price Out'!$C$10:$D$148,Mapping!$D16,'Mason Co. Regulated - Price Out'!$AI$10:$AI$148)+SUMIF('Mason Co. Regulated - Price Out'!$C$10:$D$148,Mapping!$D16,'Mason Co. Regulated - Price Out'!$AJ$10:$AJ$148))*12</f>
        <v>9932.3497734721423</v>
      </c>
      <c r="O16" s="159">
        <f t="shared" ca="1" si="1"/>
        <v>9932.3497734721423</v>
      </c>
      <c r="P16" s="160"/>
      <c r="R16" s="167"/>
      <c r="S16" s="167"/>
    </row>
    <row r="17" spans="1:19" s="161" customFormat="1">
      <c r="A17" s="154" t="s">
        <v>145</v>
      </c>
      <c r="B17" s="154" t="s">
        <v>457</v>
      </c>
      <c r="C17" s="353">
        <v>22</v>
      </c>
      <c r="D17" s="353" t="s">
        <v>219</v>
      </c>
      <c r="E17" s="154" t="s">
        <v>220</v>
      </c>
      <c r="F17" s="154" t="s">
        <v>220</v>
      </c>
      <c r="G17" s="154" t="s">
        <v>441</v>
      </c>
      <c r="H17" s="155" t="s">
        <v>439</v>
      </c>
      <c r="I17" s="155" t="s">
        <v>439</v>
      </c>
      <c r="J17" s="156" t="str">
        <f t="shared" si="0"/>
        <v>1-35 gal Cart On Call Svc</v>
      </c>
      <c r="K17" s="157" t="s">
        <v>446</v>
      </c>
      <c r="L17" s="157">
        <f>References!$B$23</f>
        <v>37</v>
      </c>
      <c r="M17" s="158">
        <f>References!$B$12</f>
        <v>1</v>
      </c>
      <c r="N17" s="159">
        <f ca="1">(SUMIF('Mason Co. Regulated - Price Out'!$C$10:$D$148,Mapping!$D17,'Mason Co. Regulated - Price Out'!$AI$10:$AI$148)+SUMIF('Mason Co. Regulated - Price Out'!$C$10:$D$148,Mapping!$D17,'Mason Co. Regulated - Price Out'!$AJ$10:$AJ$148))*12</f>
        <v>5727.8582174158992</v>
      </c>
      <c r="O17" s="159">
        <f t="shared" ca="1" si="1"/>
        <v>5727.8582174158992</v>
      </c>
      <c r="P17" s="160"/>
      <c r="R17" s="167"/>
      <c r="S17" s="167"/>
    </row>
    <row r="18" spans="1:19" s="161" customFormat="1">
      <c r="A18" s="154" t="s">
        <v>145</v>
      </c>
      <c r="B18" s="154" t="s">
        <v>457</v>
      </c>
      <c r="C18" s="353">
        <v>22</v>
      </c>
      <c r="D18" s="353" t="s">
        <v>221</v>
      </c>
      <c r="E18" s="154" t="s">
        <v>222</v>
      </c>
      <c r="F18" s="154" t="s">
        <v>222</v>
      </c>
      <c r="G18" s="154" t="s">
        <v>442</v>
      </c>
      <c r="H18" s="155" t="s">
        <v>439</v>
      </c>
      <c r="I18" s="155" t="s">
        <v>439</v>
      </c>
      <c r="J18" s="156" t="str">
        <f t="shared" si="0"/>
        <v>1-48 gal Cart On Call Svc</v>
      </c>
      <c r="K18" s="157" t="s">
        <v>447</v>
      </c>
      <c r="L18" s="157">
        <f>References!$B$24</f>
        <v>48</v>
      </c>
      <c r="M18" s="158">
        <f>References!$B$12</f>
        <v>1</v>
      </c>
      <c r="N18" s="159">
        <f ca="1">(SUMIF('Mason Co. Regulated - Price Out'!$C$10:$D$148,Mapping!$D18,'Mason Co. Regulated - Price Out'!$AI$10:$AI$148)+SUMIF('Mason Co. Regulated - Price Out'!$C$10:$D$148,Mapping!$D18,'Mason Co. Regulated - Price Out'!$AJ$10:$AJ$148))*12</f>
        <v>631.78050374842564</v>
      </c>
      <c r="O18" s="159">
        <f t="shared" ca="1" si="1"/>
        <v>631.78050374842564</v>
      </c>
      <c r="P18" s="160"/>
      <c r="R18" s="167"/>
      <c r="S18" s="167"/>
    </row>
    <row r="19" spans="1:19" s="161" customFormat="1">
      <c r="A19" s="154" t="s">
        <v>145</v>
      </c>
      <c r="B19" s="154" t="s">
        <v>457</v>
      </c>
      <c r="C19" s="353">
        <v>22</v>
      </c>
      <c r="D19" s="353" t="s">
        <v>223</v>
      </c>
      <c r="E19" s="154" t="s">
        <v>224</v>
      </c>
      <c r="F19" s="154" t="s">
        <v>224</v>
      </c>
      <c r="G19" s="154" t="s">
        <v>443</v>
      </c>
      <c r="H19" s="155" t="s">
        <v>439</v>
      </c>
      <c r="I19" s="155" t="s">
        <v>439</v>
      </c>
      <c r="J19" s="156" t="str">
        <f t="shared" si="0"/>
        <v>1-64 gal Cart On Call Svc</v>
      </c>
      <c r="K19" s="157" t="s">
        <v>448</v>
      </c>
      <c r="L19" s="157">
        <f>References!$B$25</f>
        <v>51</v>
      </c>
      <c r="M19" s="158">
        <f>References!$B$12</f>
        <v>1</v>
      </c>
      <c r="N19" s="159">
        <f ca="1">(SUMIF('Mason Co. Regulated - Price Out'!$C$10:$D$148,Mapping!$D19,'Mason Co. Regulated - Price Out'!$AI$10:$AI$148)+SUMIF('Mason Co. Regulated - Price Out'!$C$10:$D$148,Mapping!$D19,'Mason Co. Regulated - Price Out'!$AJ$10:$AJ$148))*12</f>
        <v>564.44380896226414</v>
      </c>
      <c r="O19" s="159">
        <f t="shared" ca="1" si="1"/>
        <v>564.44380896226414</v>
      </c>
      <c r="P19" s="160"/>
      <c r="R19" s="167"/>
      <c r="S19" s="167"/>
    </row>
    <row r="20" spans="1:19" s="161" customFormat="1">
      <c r="A20" s="154" t="s">
        <v>145</v>
      </c>
      <c r="B20" s="154" t="s">
        <v>457</v>
      </c>
      <c r="C20" s="353">
        <v>22</v>
      </c>
      <c r="D20" s="353" t="s">
        <v>225</v>
      </c>
      <c r="E20" s="154" t="s">
        <v>226</v>
      </c>
      <c r="F20" s="154" t="s">
        <v>226</v>
      </c>
      <c r="G20" s="154" t="s">
        <v>444</v>
      </c>
      <c r="H20" s="155" t="s">
        <v>439</v>
      </c>
      <c r="I20" s="155" t="s">
        <v>439</v>
      </c>
      <c r="J20" s="156" t="str">
        <f t="shared" si="0"/>
        <v>1-96 gal Cart On Call Svc</v>
      </c>
      <c r="K20" s="157" t="s">
        <v>449</v>
      </c>
      <c r="L20" s="157">
        <f>References!$B$26</f>
        <v>77</v>
      </c>
      <c r="M20" s="158">
        <f>References!$B$12</f>
        <v>1</v>
      </c>
      <c r="N20" s="159">
        <f ca="1">(SUMIF('Mason Co. Regulated - Price Out'!$C$10:$D$148,Mapping!$D20,'Mason Co. Regulated - Price Out'!$AI$10:$AI$148)+SUMIF('Mason Co. Regulated - Price Out'!$C$10:$D$148,Mapping!$D20,'Mason Co. Regulated - Price Out'!$AJ$10:$AJ$148))*12</f>
        <v>1103.5160712770676</v>
      </c>
      <c r="O20" s="159">
        <f t="shared" ca="1" si="1"/>
        <v>1103.5160712770676</v>
      </c>
      <c r="P20" s="160"/>
      <c r="R20" s="167"/>
      <c r="S20" s="167"/>
    </row>
    <row r="21" spans="1:19" s="161" customFormat="1">
      <c r="A21" s="154" t="s">
        <v>145</v>
      </c>
      <c r="B21" s="154" t="s">
        <v>456</v>
      </c>
      <c r="C21" s="353">
        <v>16</v>
      </c>
      <c r="D21" s="353" t="s">
        <v>256</v>
      </c>
      <c r="E21" s="154" t="s">
        <v>257</v>
      </c>
      <c r="F21" s="154" t="s">
        <v>257</v>
      </c>
      <c r="G21" s="154" t="s">
        <v>436</v>
      </c>
      <c r="H21" s="155" t="s">
        <v>440</v>
      </c>
      <c r="I21" s="155" t="s">
        <v>438</v>
      </c>
      <c r="J21" s="156" t="str">
        <f t="shared" si="0"/>
        <v>Oversized Can Extra</v>
      </c>
      <c r="K21" s="157" t="s">
        <v>446</v>
      </c>
      <c r="L21" s="157">
        <f>+References!$B$17</f>
        <v>34</v>
      </c>
      <c r="M21" s="158">
        <f>References!$B$12</f>
        <v>1</v>
      </c>
      <c r="N21" s="159">
        <f ca="1">(SUMIF('Mason Co. Regulated - Price Out'!$C$10:$D$148,Mapping!$D21,'Mason Co. Regulated - Price Out'!$AI$10:$AI$148)+SUMIF('Mason Co. Regulated - Price Out'!$C$10:$D$148,Mapping!$D21,'Mason Co. Regulated - Price Out'!$AJ$10:$AJ$148))*12</f>
        <v>7141.0118284606424</v>
      </c>
      <c r="O21" s="159">
        <f t="shared" ca="1" si="1"/>
        <v>7141.0118284606424</v>
      </c>
      <c r="P21" s="160"/>
      <c r="R21" s="167"/>
      <c r="S21" s="167"/>
    </row>
    <row r="22" spans="1:19" s="161" customFormat="1">
      <c r="A22" s="168" t="s">
        <v>12</v>
      </c>
      <c r="B22" s="168" t="s">
        <v>462</v>
      </c>
      <c r="C22" s="354">
        <v>35</v>
      </c>
      <c r="D22" s="354" t="s">
        <v>286</v>
      </c>
      <c r="E22" s="168" t="s">
        <v>287</v>
      </c>
      <c r="F22" s="168" t="s">
        <v>290</v>
      </c>
      <c r="G22" s="168" t="s">
        <v>469</v>
      </c>
      <c r="H22" s="169" t="s">
        <v>440</v>
      </c>
      <c r="I22" s="165" t="s">
        <v>464</v>
      </c>
      <c r="J22" s="365" t="str">
        <f t="shared" si="0"/>
        <v>1 yard Permanent</v>
      </c>
      <c r="K22" s="165" t="s">
        <v>453</v>
      </c>
      <c r="L22" s="165">
        <f>References!$B$31</f>
        <v>175</v>
      </c>
      <c r="M22" s="392">
        <f>+References!$B$11</f>
        <v>2.1666666666666665</v>
      </c>
      <c r="N22" s="171">
        <f ca="1">(SUMIF('Mason Co. Regulated - Price Out'!$C$10:$D$148,Mapping!$D22,'Mason Co. Regulated - Price Out'!$AI$10:$AI$148)+SUMIF('Mason Co. Regulated - Price Out'!$C$10:$D$148,Mapping!$D22,'Mason Co. Regulated - Price Out'!$AJ$10:$AJ$148))*12</f>
        <v>232.49998986631419</v>
      </c>
      <c r="O22" s="171">
        <f t="shared" ca="1" si="1"/>
        <v>503.7499780436807</v>
      </c>
      <c r="P22" s="160"/>
    </row>
    <row r="23" spans="1:19" s="161" customFormat="1">
      <c r="A23" s="168" t="s">
        <v>12</v>
      </c>
      <c r="B23" s="168" t="s">
        <v>462</v>
      </c>
      <c r="C23" s="354">
        <v>35</v>
      </c>
      <c r="D23" s="354" t="s">
        <v>288</v>
      </c>
      <c r="E23" s="168" t="s">
        <v>287</v>
      </c>
      <c r="F23" s="168" t="s">
        <v>290</v>
      </c>
      <c r="G23" s="168" t="s">
        <v>469</v>
      </c>
      <c r="H23" s="169" t="s">
        <v>440</v>
      </c>
      <c r="I23" s="165" t="s">
        <v>464</v>
      </c>
      <c r="J23" s="365" t="str">
        <f t="shared" si="0"/>
        <v>1 yard Permanent</v>
      </c>
      <c r="K23" s="165" t="s">
        <v>453</v>
      </c>
      <c r="L23" s="165">
        <f>References!$B$31</f>
        <v>175</v>
      </c>
      <c r="M23" s="392">
        <f>+References!$B$11</f>
        <v>2.1666666666666665</v>
      </c>
      <c r="N23" s="171">
        <f ca="1">(SUMIF('Mason Co. Regulated - Price Out'!$C$10:$D$148,Mapping!$D23,'Mason Co. Regulated - Price Out'!$AI$10:$AI$148)+SUMIF('Mason Co. Regulated - Price Out'!$C$10:$D$148,Mapping!$D23,'Mason Co. Regulated - Price Out'!$AJ$10:$AJ$148))*12</f>
        <v>55.237373270294697</v>
      </c>
      <c r="O23" s="171">
        <f t="shared" ca="1" si="1"/>
        <v>119.68097541897184</v>
      </c>
      <c r="P23" s="160"/>
      <c r="S23" s="172"/>
    </row>
    <row r="24" spans="1:19" s="161" customFormat="1">
      <c r="A24" s="168" t="s">
        <v>12</v>
      </c>
      <c r="B24" s="168" t="s">
        <v>462</v>
      </c>
      <c r="C24" s="354">
        <v>35</v>
      </c>
      <c r="D24" s="354" t="s">
        <v>289</v>
      </c>
      <c r="E24" s="168" t="s">
        <v>290</v>
      </c>
      <c r="F24" s="168" t="s">
        <v>290</v>
      </c>
      <c r="G24" s="168" t="s">
        <v>469</v>
      </c>
      <c r="H24" s="169" t="s">
        <v>440</v>
      </c>
      <c r="I24" s="165" t="s">
        <v>464</v>
      </c>
      <c r="J24" s="365" t="str">
        <f t="shared" si="0"/>
        <v>1 yard Permanent</v>
      </c>
      <c r="K24" s="165" t="s">
        <v>453</v>
      </c>
      <c r="L24" s="165">
        <f>References!$B$31</f>
        <v>175</v>
      </c>
      <c r="M24" s="392">
        <f>+References!$B$10</f>
        <v>4.333333333333333</v>
      </c>
      <c r="N24" s="171">
        <f ca="1">(SUMIF('Mason Co. Regulated - Price Out'!$C$10:$D$148,Mapping!$D24,'Mason Co. Regulated - Price Out'!$AI$10:$AI$148)+SUMIF('Mason Co. Regulated - Price Out'!$C$10:$D$148,Mapping!$D24,'Mason Co. Regulated - Price Out'!$AJ$10:$AJ$148))*12</f>
        <v>18.994603722026344</v>
      </c>
      <c r="O24" s="171">
        <f t="shared" ca="1" si="1"/>
        <v>82.309949462114147</v>
      </c>
      <c r="P24" s="160"/>
      <c r="S24" s="172"/>
    </row>
    <row r="25" spans="1:19" s="161" customFormat="1">
      <c r="A25" s="168" t="s">
        <v>12</v>
      </c>
      <c r="B25" s="168" t="s">
        <v>462</v>
      </c>
      <c r="C25" s="354">
        <v>35</v>
      </c>
      <c r="D25" s="354" t="s">
        <v>291</v>
      </c>
      <c r="E25" s="168" t="s">
        <v>290</v>
      </c>
      <c r="F25" s="168" t="s">
        <v>290</v>
      </c>
      <c r="G25" s="168" t="s">
        <v>469</v>
      </c>
      <c r="H25" s="169" t="s">
        <v>440</v>
      </c>
      <c r="I25" s="165" t="s">
        <v>464</v>
      </c>
      <c r="J25" s="365" t="str">
        <f t="shared" si="0"/>
        <v>1 yard Permanent</v>
      </c>
      <c r="K25" s="165" t="s">
        <v>453</v>
      </c>
      <c r="L25" s="165">
        <f>References!$B$31</f>
        <v>175</v>
      </c>
      <c r="M25" s="392">
        <f>+References!$B$10</f>
        <v>4.333333333333333</v>
      </c>
      <c r="N25" s="171">
        <f ca="1">(SUMIF('Mason Co. Regulated - Price Out'!$C$10:$D$148,Mapping!$D25,'Mason Co. Regulated - Price Out'!$AI$10:$AI$148)+SUMIF('Mason Co. Regulated - Price Out'!$C$10:$D$148,Mapping!$D25,'Mason Co. Regulated - Price Out'!$AJ$10:$AJ$148))*12</f>
        <v>35.049359556807836</v>
      </c>
      <c r="O25" s="171">
        <f t="shared" ca="1" si="1"/>
        <v>151.88055807950062</v>
      </c>
      <c r="P25" s="160"/>
      <c r="S25" s="172"/>
    </row>
    <row r="26" spans="1:19" s="161" customFormat="1">
      <c r="A26" s="168" t="s">
        <v>12</v>
      </c>
      <c r="B26" s="168" t="s">
        <v>462</v>
      </c>
      <c r="C26" s="354">
        <v>35</v>
      </c>
      <c r="D26" s="354" t="s">
        <v>292</v>
      </c>
      <c r="E26" s="168" t="s">
        <v>293</v>
      </c>
      <c r="F26" s="168" t="s">
        <v>295</v>
      </c>
      <c r="G26" s="168" t="s">
        <v>470</v>
      </c>
      <c r="H26" s="169" t="s">
        <v>440</v>
      </c>
      <c r="I26" s="165" t="s">
        <v>464</v>
      </c>
      <c r="J26" s="365" t="str">
        <f t="shared" si="0"/>
        <v>1.5 yard Permanent</v>
      </c>
      <c r="K26" s="165" t="s">
        <v>454</v>
      </c>
      <c r="L26" s="165">
        <f>References!$B$32</f>
        <v>250</v>
      </c>
      <c r="M26" s="392">
        <f>+References!$B$11</f>
        <v>2.1666666666666665</v>
      </c>
      <c r="N26" s="171">
        <f ca="1">(SUMIF('Mason Co. Regulated - Price Out'!$C$10:$D$148,Mapping!$D26,'Mason Co. Regulated - Price Out'!$AI$10:$AI$148)+SUMIF('Mason Co. Regulated - Price Out'!$C$10:$D$148,Mapping!$D26,'Mason Co. Regulated - Price Out'!$AJ$10:$AJ$148))*12</f>
        <v>2328.8647648149458</v>
      </c>
      <c r="O26" s="171">
        <f t="shared" ca="1" si="1"/>
        <v>5045.8736570990486</v>
      </c>
      <c r="P26" s="160"/>
      <c r="S26" s="172"/>
    </row>
    <row r="27" spans="1:19" s="161" customFormat="1">
      <c r="A27" s="168" t="s">
        <v>12</v>
      </c>
      <c r="B27" s="168" t="s">
        <v>462</v>
      </c>
      <c r="C27" s="354">
        <v>35</v>
      </c>
      <c r="D27" s="354" t="s">
        <v>294</v>
      </c>
      <c r="E27" s="168" t="s">
        <v>295</v>
      </c>
      <c r="F27" s="168" t="s">
        <v>295</v>
      </c>
      <c r="G27" s="168" t="s">
        <v>470</v>
      </c>
      <c r="H27" s="169" t="s">
        <v>440</v>
      </c>
      <c r="I27" s="165" t="s">
        <v>464</v>
      </c>
      <c r="J27" s="365" t="str">
        <f t="shared" si="0"/>
        <v>1.5 yard Permanent</v>
      </c>
      <c r="K27" s="165" t="s">
        <v>454</v>
      </c>
      <c r="L27" s="165">
        <f>References!$B$32</f>
        <v>250</v>
      </c>
      <c r="M27" s="392">
        <f>+References!$B$10</f>
        <v>4.333333333333333</v>
      </c>
      <c r="N27" s="171">
        <f ca="1">(SUMIF('Mason Co. Regulated - Price Out'!$C$10:$D$148,Mapping!$D27,'Mason Co. Regulated - Price Out'!$AI$10:$AI$148)+SUMIF('Mason Co. Regulated - Price Out'!$C$10:$D$148,Mapping!$D27,'Mason Co. Regulated - Price Out'!$AJ$10:$AJ$148))*12</f>
        <v>743.04634559467218</v>
      </c>
      <c r="O27" s="171">
        <f t="shared" ca="1" si="1"/>
        <v>3219.8674975769127</v>
      </c>
      <c r="P27" s="160"/>
      <c r="S27" s="172"/>
    </row>
    <row r="28" spans="1:19" s="161" customFormat="1">
      <c r="A28" s="168" t="s">
        <v>12</v>
      </c>
      <c r="B28" s="168" t="s">
        <v>462</v>
      </c>
      <c r="C28" s="354">
        <v>35</v>
      </c>
      <c r="D28" s="354" t="s">
        <v>296</v>
      </c>
      <c r="E28" s="168" t="s">
        <v>293</v>
      </c>
      <c r="F28" s="168" t="s">
        <v>295</v>
      </c>
      <c r="G28" s="168" t="s">
        <v>470</v>
      </c>
      <c r="H28" s="169" t="s">
        <v>440</v>
      </c>
      <c r="I28" s="165" t="s">
        <v>464</v>
      </c>
      <c r="J28" s="365" t="str">
        <f t="shared" si="0"/>
        <v>1.5 yard Permanent</v>
      </c>
      <c r="K28" s="165" t="s">
        <v>454</v>
      </c>
      <c r="L28" s="165">
        <f>References!$B$32</f>
        <v>250</v>
      </c>
      <c r="M28" s="392">
        <f>+References!$B$11</f>
        <v>2.1666666666666665</v>
      </c>
      <c r="N28" s="171">
        <f ca="1">(SUMIF('Mason Co. Regulated - Price Out'!$C$10:$D$148,Mapping!$D28,'Mason Co. Regulated - Price Out'!$AI$10:$AI$148)+SUMIF('Mason Co. Regulated - Price Out'!$C$10:$D$148,Mapping!$D28,'Mason Co. Regulated - Price Out'!$AJ$10:$AJ$148))*12</f>
        <v>833.08359562189514</v>
      </c>
      <c r="O28" s="171">
        <f t="shared" ca="1" si="1"/>
        <v>1805.0144571807728</v>
      </c>
      <c r="P28" s="160"/>
      <c r="S28" s="172"/>
    </row>
    <row r="29" spans="1:19" s="161" customFormat="1">
      <c r="A29" s="168" t="s">
        <v>12</v>
      </c>
      <c r="B29" s="168" t="s">
        <v>462</v>
      </c>
      <c r="C29" s="354">
        <v>35</v>
      </c>
      <c r="D29" s="354" t="s">
        <v>297</v>
      </c>
      <c r="E29" s="168" t="s">
        <v>295</v>
      </c>
      <c r="F29" s="168" t="s">
        <v>295</v>
      </c>
      <c r="G29" s="168" t="s">
        <v>470</v>
      </c>
      <c r="H29" s="169" t="s">
        <v>440</v>
      </c>
      <c r="I29" s="165" t="s">
        <v>464</v>
      </c>
      <c r="J29" s="365" t="str">
        <f t="shared" si="0"/>
        <v>1.5 yard Permanent</v>
      </c>
      <c r="K29" s="165" t="s">
        <v>454</v>
      </c>
      <c r="L29" s="165">
        <f>References!$B$32</f>
        <v>250</v>
      </c>
      <c r="M29" s="392">
        <f>+References!$B$10</f>
        <v>4.333333333333333</v>
      </c>
      <c r="N29" s="171">
        <f ca="1">(SUMIF('Mason Co. Regulated - Price Out'!$C$10:$D$148,Mapping!$D29,'Mason Co. Regulated - Price Out'!$AI$10:$AI$148)+SUMIF('Mason Co. Regulated - Price Out'!$C$10:$D$148,Mapping!$D29,'Mason Co. Regulated - Price Out'!$AJ$10:$AJ$148))*12</f>
        <v>471.68723086417117</v>
      </c>
      <c r="O29" s="171">
        <f t="shared" ca="1" si="1"/>
        <v>2043.9780004114082</v>
      </c>
      <c r="P29" s="160"/>
      <c r="S29" s="172"/>
    </row>
    <row r="30" spans="1:19" s="161" customFormat="1">
      <c r="A30" s="168" t="s">
        <v>12</v>
      </c>
      <c r="B30" s="168" t="s">
        <v>462</v>
      </c>
      <c r="C30" s="354">
        <v>35</v>
      </c>
      <c r="D30" s="354" t="s">
        <v>298</v>
      </c>
      <c r="E30" s="168" t="s">
        <v>299</v>
      </c>
      <c r="F30" s="168" t="s">
        <v>301</v>
      </c>
      <c r="G30" s="168" t="s">
        <v>471</v>
      </c>
      <c r="H30" s="169" t="s">
        <v>440</v>
      </c>
      <c r="I30" s="165" t="s">
        <v>464</v>
      </c>
      <c r="J30" s="365" t="str">
        <f t="shared" si="0"/>
        <v>2 yard Permanent</v>
      </c>
      <c r="K30" s="165" t="s">
        <v>455</v>
      </c>
      <c r="L30" s="165">
        <f>References!$B$33</f>
        <v>324</v>
      </c>
      <c r="M30" s="392">
        <f>+References!$B$11</f>
        <v>2.1666666666666665</v>
      </c>
      <c r="N30" s="171">
        <f ca="1">(SUMIF('Mason Co. Regulated - Price Out'!$C$10:$D$148,Mapping!$D30,'Mason Co. Regulated - Price Out'!$AI$10:$AI$148)+SUMIF('Mason Co. Regulated - Price Out'!$C$10:$D$148,Mapping!$D30,'Mason Co. Regulated - Price Out'!$AJ$10:$AJ$148))*12</f>
        <v>1541.2664216922346</v>
      </c>
      <c r="O30" s="171">
        <f t="shared" ca="1" si="1"/>
        <v>3339.4105803331749</v>
      </c>
      <c r="P30" s="160"/>
      <c r="S30" s="172"/>
    </row>
    <row r="31" spans="1:19" s="161" customFormat="1">
      <c r="A31" s="168" t="s">
        <v>12</v>
      </c>
      <c r="B31" s="168" t="s">
        <v>462</v>
      </c>
      <c r="C31" s="354">
        <v>35</v>
      </c>
      <c r="D31" s="354" t="s">
        <v>300</v>
      </c>
      <c r="E31" s="168" t="s">
        <v>301</v>
      </c>
      <c r="F31" s="168" t="s">
        <v>301</v>
      </c>
      <c r="G31" s="168" t="s">
        <v>471</v>
      </c>
      <c r="H31" s="169" t="s">
        <v>440</v>
      </c>
      <c r="I31" s="165" t="s">
        <v>464</v>
      </c>
      <c r="J31" s="365" t="str">
        <f t="shared" si="0"/>
        <v>2 yard Permanent</v>
      </c>
      <c r="K31" s="165" t="s">
        <v>455</v>
      </c>
      <c r="L31" s="165">
        <f>References!$B$33</f>
        <v>324</v>
      </c>
      <c r="M31" s="392">
        <f>+References!$B$10</f>
        <v>4.333333333333333</v>
      </c>
      <c r="N31" s="171">
        <f ca="1">(SUMIF('Mason Co. Regulated - Price Out'!$C$10:$D$148,Mapping!$D31,'Mason Co. Regulated - Price Out'!$AI$10:$AI$148)+SUMIF('Mason Co. Regulated - Price Out'!$C$10:$D$148,Mapping!$D31,'Mason Co. Regulated - Price Out'!$AJ$10:$AJ$148))*12</f>
        <v>2248.9860808496505</v>
      </c>
      <c r="O31" s="171">
        <f t="shared" ca="1" si="1"/>
        <v>9745.6063503484856</v>
      </c>
      <c r="P31" s="160"/>
      <c r="S31" s="172"/>
    </row>
    <row r="32" spans="1:19" s="161" customFormat="1">
      <c r="A32" s="168" t="s">
        <v>12</v>
      </c>
      <c r="B32" s="168" t="s">
        <v>462</v>
      </c>
      <c r="C32" s="354">
        <v>35</v>
      </c>
      <c r="D32" s="354" t="s">
        <v>302</v>
      </c>
      <c r="E32" s="168" t="s">
        <v>301</v>
      </c>
      <c r="F32" s="168" t="s">
        <v>301</v>
      </c>
      <c r="G32" s="168" t="s">
        <v>471</v>
      </c>
      <c r="H32" s="169" t="s">
        <v>440</v>
      </c>
      <c r="I32" s="165" t="s">
        <v>464</v>
      </c>
      <c r="J32" s="365" t="str">
        <f t="shared" si="0"/>
        <v>2 yard Permanent</v>
      </c>
      <c r="K32" s="165" t="s">
        <v>455</v>
      </c>
      <c r="L32" s="165">
        <f>References!$B$33</f>
        <v>324</v>
      </c>
      <c r="M32" s="392">
        <f>+References!$B$10</f>
        <v>4.333333333333333</v>
      </c>
      <c r="N32" s="171">
        <f ca="1">(SUMIF('Mason Co. Regulated - Price Out'!$C$10:$D$148,Mapping!$D32,'Mason Co. Regulated - Price Out'!$AI$10:$AI$148)+SUMIF('Mason Co. Regulated - Price Out'!$C$10:$D$148,Mapping!$D32,'Mason Co. Regulated - Price Out'!$AJ$10:$AJ$148))*12</f>
        <v>3430.3510031386986</v>
      </c>
      <c r="O32" s="171">
        <f t="shared" ca="1" si="1"/>
        <v>14864.85434693436</v>
      </c>
      <c r="P32" s="160"/>
      <c r="S32" s="172"/>
    </row>
    <row r="33" spans="1:19" s="161" customFormat="1">
      <c r="A33" s="168" t="s">
        <v>12</v>
      </c>
      <c r="B33" s="168" t="s">
        <v>462</v>
      </c>
      <c r="C33" s="354">
        <v>35</v>
      </c>
      <c r="D33" s="354" t="s">
        <v>303</v>
      </c>
      <c r="E33" s="168" t="s">
        <v>299</v>
      </c>
      <c r="F33" s="168" t="s">
        <v>301</v>
      </c>
      <c r="G33" s="168" t="s">
        <v>471</v>
      </c>
      <c r="H33" s="169" t="s">
        <v>440</v>
      </c>
      <c r="I33" s="165" t="s">
        <v>464</v>
      </c>
      <c r="J33" s="365" t="str">
        <f t="shared" si="0"/>
        <v>2 yard Permanent</v>
      </c>
      <c r="K33" s="165" t="s">
        <v>455</v>
      </c>
      <c r="L33" s="165">
        <f>References!$B$33</f>
        <v>324</v>
      </c>
      <c r="M33" s="392">
        <f>+References!$B$11</f>
        <v>2.1666666666666665</v>
      </c>
      <c r="N33" s="171">
        <f ca="1">(SUMIF('Mason Co. Regulated - Price Out'!$C$10:$D$148,Mapping!$D33,'Mason Co. Regulated - Price Out'!$AI$10:$AI$148)+SUMIF('Mason Co. Regulated - Price Out'!$C$10:$D$148,Mapping!$D33,'Mason Co. Regulated - Price Out'!$AJ$10:$AJ$148))*12</f>
        <v>712.37757972070631</v>
      </c>
      <c r="O33" s="171">
        <f t="shared" ca="1" si="1"/>
        <v>1543.4847560615303</v>
      </c>
      <c r="P33" s="160"/>
      <c r="S33" s="172"/>
    </row>
    <row r="34" spans="1:19" s="161" customFormat="1">
      <c r="A34" s="168" t="s">
        <v>12</v>
      </c>
      <c r="B34" s="168" t="s">
        <v>466</v>
      </c>
      <c r="C34" s="354">
        <v>36</v>
      </c>
      <c r="D34" s="354" t="s">
        <v>314</v>
      </c>
      <c r="E34" s="168" t="s">
        <v>315</v>
      </c>
      <c r="F34" s="168" t="s">
        <v>315</v>
      </c>
      <c r="G34" s="168" t="s">
        <v>452</v>
      </c>
      <c r="H34" s="169" t="s">
        <v>440</v>
      </c>
      <c r="I34" s="165" t="s">
        <v>473</v>
      </c>
      <c r="J34" s="365" t="str">
        <f t="shared" si="0"/>
        <v>Commercial Can Additional</v>
      </c>
      <c r="K34" s="165" t="s">
        <v>446</v>
      </c>
      <c r="L34" s="165">
        <f>References!$B$30</f>
        <v>29</v>
      </c>
      <c r="M34" s="170">
        <f>References!$B$12</f>
        <v>1</v>
      </c>
      <c r="N34" s="171">
        <f ca="1">(SUMIF('Mason Co. Regulated - Price Out'!$C$10:$D$148,Mapping!$D34,'Mason Co. Regulated - Price Out'!$AI$10:$AI$148)+SUMIF('Mason Co. Regulated - Price Out'!$C$10:$D$148,Mapping!$D34,'Mason Co. Regulated - Price Out'!$AJ$10:$AJ$148))*12</f>
        <v>1063.7684210526315</v>
      </c>
      <c r="O34" s="171">
        <f t="shared" ca="1" si="1"/>
        <v>1063.7684210526315</v>
      </c>
      <c r="P34" s="160"/>
    </row>
    <row r="35" spans="1:19" s="161" customFormat="1">
      <c r="A35" s="168" t="s">
        <v>12</v>
      </c>
      <c r="B35" s="168" t="s">
        <v>481</v>
      </c>
      <c r="C35" s="354">
        <v>32</v>
      </c>
      <c r="D35" s="354" t="s">
        <v>332</v>
      </c>
      <c r="E35" s="168" t="s">
        <v>333</v>
      </c>
      <c r="F35" s="168" t="s">
        <v>333</v>
      </c>
      <c r="G35" s="168" t="s">
        <v>12</v>
      </c>
      <c r="H35" s="169" t="s">
        <v>440</v>
      </c>
      <c r="I35" s="165" t="s">
        <v>438</v>
      </c>
      <c r="J35" s="365" t="str">
        <f t="shared" si="0"/>
        <v>Commercial Extra</v>
      </c>
      <c r="K35" s="165" t="s">
        <v>453</v>
      </c>
      <c r="L35" s="165">
        <f>+References!$B$46</f>
        <v>125</v>
      </c>
      <c r="M35" s="170">
        <f>References!$B$12</f>
        <v>1</v>
      </c>
      <c r="N35" s="171">
        <f ca="1">(SUMIF('Mason Co. Regulated - Price Out'!$C$10:$D$148,Mapping!$D35,'Mason Co. Regulated - Price Out'!$AI$10:$AI$148)+SUMIF('Mason Co. Regulated - Price Out'!$C$10:$D$148,Mapping!$D35,'Mason Co. Regulated - Price Out'!$AJ$10:$AJ$148))*12</f>
        <v>2329.8352007683179</v>
      </c>
      <c r="O35" s="171">
        <f t="shared" ca="1" si="1"/>
        <v>2329.8352007683179</v>
      </c>
      <c r="P35" s="160"/>
    </row>
    <row r="36" spans="1:19" s="161" customFormat="1">
      <c r="A36" s="168" t="s">
        <v>12</v>
      </c>
      <c r="B36" s="168" t="s">
        <v>461</v>
      </c>
      <c r="C36" s="354">
        <v>28</v>
      </c>
      <c r="D36" s="354" t="s">
        <v>334</v>
      </c>
      <c r="E36" s="168" t="s">
        <v>335</v>
      </c>
      <c r="F36" s="168" t="s">
        <v>335</v>
      </c>
      <c r="G36" s="168" t="s">
        <v>478</v>
      </c>
      <c r="H36" s="169" t="s">
        <v>440</v>
      </c>
      <c r="I36" s="165" t="s">
        <v>472</v>
      </c>
      <c r="J36" s="365" t="str">
        <f t="shared" si="0"/>
        <v>1-4 yards Loose</v>
      </c>
      <c r="K36" s="165" t="s">
        <v>453</v>
      </c>
      <c r="L36" s="165">
        <f>+References!$B$46</f>
        <v>125</v>
      </c>
      <c r="M36" s="170">
        <f>References!$B$12</f>
        <v>1</v>
      </c>
      <c r="N36" s="171">
        <f ca="1">(SUMIF('Mason Co. Regulated - Price Out'!$C$10:$D$148,Mapping!$D36,'Mason Co. Regulated - Price Out'!$AI$10:$AI$148)+SUMIF('Mason Co. Regulated - Price Out'!$C$10:$D$148,Mapping!$D36,'Mason Co. Regulated - Price Out'!$AJ$10:$AJ$148))*12</f>
        <v>6.3694219456631771</v>
      </c>
      <c r="O36" s="171">
        <f t="shared" ca="1" si="1"/>
        <v>6.3694219456631771</v>
      </c>
      <c r="P36" s="160"/>
    </row>
    <row r="37" spans="1:19" s="161" customFormat="1">
      <c r="A37" s="168" t="s">
        <v>12</v>
      </c>
      <c r="B37" s="168" t="s">
        <v>461</v>
      </c>
      <c r="C37" s="354">
        <v>28</v>
      </c>
      <c r="D37" s="354" t="s">
        <v>336</v>
      </c>
      <c r="E37" s="168" t="s">
        <v>337</v>
      </c>
      <c r="F37" s="168" t="s">
        <v>337</v>
      </c>
      <c r="G37" s="168" t="s">
        <v>473</v>
      </c>
      <c r="H37" s="169" t="s">
        <v>440</v>
      </c>
      <c r="I37" s="165" t="s">
        <v>472</v>
      </c>
      <c r="J37" s="365" t="str">
        <f t="shared" si="0"/>
        <v>Additional Loose</v>
      </c>
      <c r="K37" s="165" t="s">
        <v>453</v>
      </c>
      <c r="L37" s="165">
        <f>+References!$B$46</f>
        <v>125</v>
      </c>
      <c r="M37" s="170">
        <f>References!$B$12</f>
        <v>1</v>
      </c>
      <c r="N37" s="171">
        <f ca="1">(SUMIF('Mason Co. Regulated - Price Out'!$C$10:$D$148,Mapping!$D37,'Mason Co. Regulated - Price Out'!$AI$10:$AI$148)+SUMIF('Mason Co. Regulated - Price Out'!$C$10:$D$148,Mapping!$D37,'Mason Co. Regulated - Price Out'!$AJ$10:$AJ$148))*12</f>
        <v>9</v>
      </c>
      <c r="O37" s="171">
        <f t="shared" ca="1" si="1"/>
        <v>9</v>
      </c>
      <c r="P37" s="160"/>
    </row>
    <row r="38" spans="1:19">
      <c r="A38" s="168" t="s">
        <v>12</v>
      </c>
      <c r="B38" s="168" t="s">
        <v>461</v>
      </c>
      <c r="C38" s="354">
        <v>35</v>
      </c>
      <c r="D38" s="354" t="s">
        <v>322</v>
      </c>
      <c r="E38" s="168" t="s">
        <v>323</v>
      </c>
      <c r="F38" s="168" t="s">
        <v>295</v>
      </c>
      <c r="G38" s="168" t="s">
        <v>470</v>
      </c>
      <c r="H38" s="169" t="s">
        <v>440</v>
      </c>
      <c r="I38" s="165" t="s">
        <v>464</v>
      </c>
      <c r="J38" s="365" t="s">
        <v>494</v>
      </c>
      <c r="K38" s="165" t="s">
        <v>454</v>
      </c>
      <c r="L38" s="165">
        <f>References!$B$32</f>
        <v>250</v>
      </c>
      <c r="M38" s="170">
        <f>+References!$B$12</f>
        <v>1</v>
      </c>
      <c r="N38" s="171">
        <f ca="1">(SUMIF('Mason Co. Regulated - Price Out'!$C$10:$D$148,Mapping!$D38,'Mason Co. Regulated - Price Out'!$AI$10:$AI$148)+SUMIF('Mason Co. Regulated - Price Out'!$C$10:$D$148,Mapping!$D38,'Mason Co. Regulated - Price Out'!$AJ$10:$AJ$148))*12</f>
        <v>114.89866255144032</v>
      </c>
      <c r="O38" s="171">
        <f t="shared" ca="1" si="1"/>
        <v>114.89866255144032</v>
      </c>
    </row>
    <row r="39" spans="1:19">
      <c r="A39" s="168" t="s">
        <v>12</v>
      </c>
      <c r="B39" s="168" t="s">
        <v>461</v>
      </c>
      <c r="C39" s="354">
        <v>35</v>
      </c>
      <c r="D39" s="354" t="s">
        <v>324</v>
      </c>
      <c r="E39" s="168" t="s">
        <v>325</v>
      </c>
      <c r="F39" s="168" t="s">
        <v>301</v>
      </c>
      <c r="G39" s="168" t="s">
        <v>471</v>
      </c>
      <c r="H39" s="169" t="s">
        <v>440</v>
      </c>
      <c r="I39" s="165" t="s">
        <v>464</v>
      </c>
      <c r="J39" s="365" t="s">
        <v>495</v>
      </c>
      <c r="K39" s="165" t="s">
        <v>455</v>
      </c>
      <c r="L39" s="165">
        <f>References!$B$33</f>
        <v>324</v>
      </c>
      <c r="M39" s="170">
        <f>+References!$B$12</f>
        <v>1</v>
      </c>
      <c r="N39" s="171">
        <f ca="1">(SUMIF('Mason Co. Regulated - Price Out'!$C$10:$D$148,Mapping!$D39,'Mason Co. Regulated - Price Out'!$AI$10:$AI$148)+SUMIF('Mason Co. Regulated - Price Out'!$C$10:$D$148,Mapping!$D39,'Mason Co. Regulated - Price Out'!$AJ$10:$AJ$148))*12</f>
        <v>174.2518207642523</v>
      </c>
      <c r="O39" s="171">
        <f t="shared" ca="1" si="1"/>
        <v>174.2518207642523</v>
      </c>
    </row>
  </sheetData>
  <autoFilter ref="A1:O37"/>
  <pageMargins left="0.2" right="0.2" top="0.25" bottom="0.25" header="0.3" footer="0.3"/>
  <pageSetup scale="39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O52" sqref="O52"/>
    </sheetView>
  </sheetViews>
  <sheetFormatPr defaultColWidth="9.140625" defaultRowHeight="15"/>
  <cols>
    <col min="2" max="2" width="20.42578125" bestFit="1" customWidth="1"/>
    <col min="3" max="8" width="13.7109375" customWidth="1"/>
    <col min="9" max="9" width="14.28515625" bestFit="1" customWidth="1"/>
    <col min="11" max="11" width="15.7109375" bestFit="1" customWidth="1"/>
    <col min="12" max="12" width="12" customWidth="1"/>
    <col min="13" max="13" width="14.28515625" bestFit="1" customWidth="1"/>
    <col min="16" max="16" width="10.28515625" bestFit="1" customWidth="1"/>
  </cols>
  <sheetData>
    <row r="1" spans="1:17">
      <c r="A1" s="6" t="str">
        <f>+'[41]Master IS (C)'!B1</f>
        <v>Mason County Garbage Co., Inc. G-88</v>
      </c>
    </row>
    <row r="2" spans="1:17">
      <c r="A2" s="6" t="s">
        <v>408</v>
      </c>
      <c r="D2" s="131" t="s">
        <v>407</v>
      </c>
    </row>
    <row r="3" spans="1:17">
      <c r="A3" s="6" t="str">
        <f>+'[41]Master IS (C)'!B3</f>
        <v>Test Year Ended November 30, 2020</v>
      </c>
    </row>
    <row r="4" spans="1:17">
      <c r="A4" s="6"/>
    </row>
    <row r="5" spans="1:17" ht="27.75" customHeight="1">
      <c r="B5" s="331" t="s">
        <v>409</v>
      </c>
      <c r="C5" s="438" t="s">
        <v>410</v>
      </c>
      <c r="D5" s="438"/>
      <c r="E5" s="439" t="s">
        <v>411</v>
      </c>
      <c r="F5" s="439"/>
      <c r="G5" s="439" t="s">
        <v>412</v>
      </c>
      <c r="H5" s="439"/>
      <c r="K5" s="438" t="s">
        <v>413</v>
      </c>
      <c r="L5" s="438"/>
      <c r="M5" s="438"/>
    </row>
    <row r="6" spans="1:17">
      <c r="C6" s="440">
        <v>80</v>
      </c>
      <c r="D6" s="440"/>
      <c r="E6" s="441" t="s">
        <v>414</v>
      </c>
      <c r="F6" s="442"/>
      <c r="G6" s="441" t="s">
        <v>415</v>
      </c>
      <c r="H6" s="442"/>
      <c r="L6" s="332" t="s">
        <v>148</v>
      </c>
      <c r="M6" s="332" t="s">
        <v>416</v>
      </c>
    </row>
    <row r="7" spans="1:17">
      <c r="C7" s="332" t="s">
        <v>148</v>
      </c>
      <c r="D7" s="332" t="s">
        <v>416</v>
      </c>
      <c r="E7" s="332" t="s">
        <v>148</v>
      </c>
      <c r="F7" s="332" t="s">
        <v>416</v>
      </c>
      <c r="G7" s="332" t="s">
        <v>148</v>
      </c>
      <c r="H7" s="332" t="s">
        <v>416</v>
      </c>
      <c r="K7" s="333" t="s">
        <v>417</v>
      </c>
      <c r="L7" s="363">
        <f>+C9+E8+G8</f>
        <v>10796.9</v>
      </c>
      <c r="M7" s="334">
        <f>+D9+F8+H8</f>
        <v>1076741.9577000001</v>
      </c>
      <c r="P7" s="120"/>
      <c r="Q7" s="384"/>
    </row>
    <row r="8" spans="1:17">
      <c r="B8" t="s">
        <v>418</v>
      </c>
      <c r="E8" s="1">
        <v>614.22</v>
      </c>
      <c r="F8" s="334">
        <f>+E8*$E$6</f>
        <v>61127.174400000004</v>
      </c>
      <c r="G8" s="1">
        <v>9009.43</v>
      </c>
      <c r="H8" s="334">
        <f>+G8*$G$6</f>
        <v>921754.78330000001</v>
      </c>
      <c r="K8" s="333" t="s">
        <v>419</v>
      </c>
      <c r="L8" s="363">
        <f>+C11+E10+G10</f>
        <v>4806.7800000000007</v>
      </c>
      <c r="M8" s="334">
        <f>+D11+F10+H10</f>
        <v>464571.6053</v>
      </c>
    </row>
    <row r="9" spans="1:17">
      <c r="B9" t="s">
        <v>420</v>
      </c>
      <c r="C9" s="120">
        <v>1173.25</v>
      </c>
      <c r="D9" s="335">
        <f>+C9*$C$6</f>
        <v>93860</v>
      </c>
      <c r="E9" s="1"/>
      <c r="G9" s="1"/>
      <c r="K9" s="333" t="s">
        <v>421</v>
      </c>
      <c r="L9" s="364">
        <f>+C13+E12+G12</f>
        <v>7452.34</v>
      </c>
      <c r="M9" s="336">
        <f>+D13+F12+H12</f>
        <v>750113.45039999997</v>
      </c>
    </row>
    <row r="10" spans="1:17">
      <c r="B10" t="s">
        <v>422</v>
      </c>
      <c r="E10" s="1">
        <v>245.13000000000002</v>
      </c>
      <c r="F10" s="334">
        <f>+E10*$E$6</f>
        <v>24395.337600000003</v>
      </c>
      <c r="G10" s="1">
        <v>3372.67</v>
      </c>
      <c r="H10" s="334">
        <f>+G10*$G$6</f>
        <v>345057.8677</v>
      </c>
      <c r="L10" s="120">
        <f>+SUM(L7:L9)</f>
        <v>23056.02</v>
      </c>
      <c r="M10" s="120">
        <f>+SUM(M7:M9)</f>
        <v>2291427.0134000001</v>
      </c>
    </row>
    <row r="11" spans="1:17">
      <c r="B11" t="s">
        <v>423</v>
      </c>
      <c r="C11" s="120">
        <v>1188.98</v>
      </c>
      <c r="D11" s="335">
        <f>+C11*$C$6</f>
        <v>95118.399999999994</v>
      </c>
      <c r="E11" s="1"/>
      <c r="G11" s="1"/>
      <c r="K11" s="337" t="s">
        <v>424</v>
      </c>
      <c r="L11" s="338">
        <f>+L10/SUM(C17,E17,G17)</f>
        <v>0.81911605460390002</v>
      </c>
    </row>
    <row r="12" spans="1:17">
      <c r="B12" t="s">
        <v>425</v>
      </c>
      <c r="E12" s="1">
        <v>472.52000000000004</v>
      </c>
      <c r="F12" s="334">
        <f>+E12*$E$6</f>
        <v>47025.190399999999</v>
      </c>
      <c r="G12" s="1">
        <v>6486</v>
      </c>
      <c r="H12" s="334">
        <f>+G12*$G$6</f>
        <v>663582.66</v>
      </c>
    </row>
    <row r="13" spans="1:17">
      <c r="B13" t="s">
        <v>426</v>
      </c>
      <c r="C13" s="120">
        <v>493.82</v>
      </c>
      <c r="D13" s="335">
        <f>+C13*$C$6</f>
        <v>39505.599999999999</v>
      </c>
      <c r="E13" s="1"/>
      <c r="G13" s="1"/>
    </row>
    <row r="14" spans="1:17">
      <c r="E14" s="1"/>
      <c r="G14" s="1"/>
    </row>
    <row r="15" spans="1:17">
      <c r="B15" t="s">
        <v>427</v>
      </c>
      <c r="E15" s="1">
        <v>415.47999999999996</v>
      </c>
      <c r="F15" s="334">
        <f>+E15*$E$6</f>
        <v>41348.569599999995</v>
      </c>
      <c r="G15" s="1">
        <v>4471.33</v>
      </c>
      <c r="H15" s="334">
        <f>+G15*$G$6</f>
        <v>457461.77230000001</v>
      </c>
    </row>
    <row r="16" spans="1:17">
      <c r="B16" t="s">
        <v>428</v>
      </c>
      <c r="E16" s="1">
        <v>17.22</v>
      </c>
      <c r="F16" s="334">
        <f>+E16*$E$6</f>
        <v>1713.7343999999998</v>
      </c>
      <c r="G16" s="1">
        <v>187.39</v>
      </c>
      <c r="H16" s="334">
        <f>+G16*$G$6</f>
        <v>19171.870899999998</v>
      </c>
    </row>
    <row r="17" spans="3:10">
      <c r="C17" s="339">
        <f t="shared" ref="C17:H17" si="0">+SUM(C8:C16)</f>
        <v>2856.05</v>
      </c>
      <c r="D17" s="340">
        <f t="shared" si="0"/>
        <v>228484</v>
      </c>
      <c r="E17" s="339">
        <f t="shared" si="0"/>
        <v>1764.5700000000002</v>
      </c>
      <c r="F17" s="340">
        <f t="shared" si="0"/>
        <v>175610.00639999998</v>
      </c>
      <c r="G17" s="339">
        <f t="shared" si="0"/>
        <v>23526.82</v>
      </c>
      <c r="H17" s="340">
        <f t="shared" si="0"/>
        <v>2407028.9542</v>
      </c>
      <c r="I17" s="12">
        <v>4.9476511776447296E-10</v>
      </c>
      <c r="J17" s="341" t="s">
        <v>116</v>
      </c>
    </row>
    <row r="18" spans="3:10">
      <c r="C18" s="8"/>
      <c r="D18" s="342"/>
      <c r="E18" s="8"/>
      <c r="F18" s="342"/>
      <c r="G18" s="8"/>
      <c r="H18" s="342"/>
      <c r="I18" s="12"/>
      <c r="J18" s="341"/>
    </row>
    <row r="19" spans="3:10">
      <c r="H19" s="126" t="s">
        <v>429</v>
      </c>
      <c r="I19" s="334">
        <f>+H17+F17+D17</f>
        <v>2811122.9605999999</v>
      </c>
    </row>
    <row r="20" spans="3:10">
      <c r="H20" s="126" t="s">
        <v>430</v>
      </c>
      <c r="I20" s="334">
        <f>+'[41]Master IS (C)'!E137</f>
        <v>2806104.17</v>
      </c>
    </row>
    <row r="21" spans="3:10">
      <c r="I21" s="129">
        <f>+I19-I20</f>
        <v>5018.7905999999493</v>
      </c>
    </row>
    <row r="22" spans="3:10">
      <c r="I22" s="343">
        <f>+I21/I19</f>
        <v>1.7853330040492963E-3</v>
      </c>
      <c r="J22" s="341" t="s">
        <v>431</v>
      </c>
    </row>
  </sheetData>
  <mergeCells count="7">
    <mergeCell ref="C5:D5"/>
    <mergeCell ref="E5:F5"/>
    <mergeCell ref="G5:H5"/>
    <mergeCell ref="K5:M5"/>
    <mergeCell ref="C6:D6"/>
    <mergeCell ref="E6:F6"/>
    <mergeCell ref="G6:H6"/>
  </mergeCells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193"/>
  <sheetViews>
    <sheetView zoomScale="90" zoomScaleNormal="90" zoomScaleSheetLayoutView="70" workbookViewId="0">
      <pane xSplit="7" ySplit="5" topLeftCell="H160" activePane="bottomRight" state="frozen"/>
      <selection activeCell="O52" sqref="O52"/>
      <selection pane="topRight" activeCell="O52" sqref="O52"/>
      <selection pane="bottomLeft" activeCell="O52" sqref="O52"/>
      <selection pane="bottomRight" activeCell="O52" sqref="O52"/>
    </sheetView>
  </sheetViews>
  <sheetFormatPr defaultColWidth="10.28515625" defaultRowHeight="15" outlineLevelCol="1"/>
  <cols>
    <col min="1" max="1" width="15.28515625" style="224" customWidth="1"/>
    <col min="2" max="2" width="8.28515625" style="224" customWidth="1"/>
    <col min="3" max="3" width="27.7109375" style="223" customWidth="1"/>
    <col min="4" max="4" width="27.42578125" style="223" bestFit="1" customWidth="1"/>
    <col min="5" max="5" width="10.7109375" style="222" customWidth="1"/>
    <col min="6" max="7" width="12" style="222" customWidth="1"/>
    <col min="8" max="8" width="12" style="223" customWidth="1"/>
    <col min="9" max="11" width="12.7109375" style="223" hidden="1" customWidth="1" outlineLevel="1"/>
    <col min="12" max="19" width="12.7109375" style="224" hidden="1" customWidth="1" outlineLevel="1"/>
    <col min="20" max="20" width="12.7109375" style="224" bestFit="1" customWidth="1" collapsed="1"/>
    <col min="21" max="21" width="15.140625" style="224" bestFit="1" customWidth="1"/>
    <col min="22" max="22" width="6" style="224" bestFit="1" customWidth="1"/>
    <col min="23" max="33" width="16.5703125" style="224" hidden="1" customWidth="1" outlineLevel="1"/>
    <col min="34" max="34" width="16.5703125" style="224" bestFit="1" customWidth="1" collapsed="1"/>
    <col min="35" max="35" width="17.42578125" style="224" bestFit="1" customWidth="1"/>
    <col min="36" max="36" width="17" bestFit="1" customWidth="1"/>
    <col min="37" max="37" width="10.28515625" style="224"/>
    <col min="38" max="38" width="12.42578125" style="224" bestFit="1" customWidth="1"/>
    <col min="39" max="39" width="12" style="224" bestFit="1" customWidth="1"/>
    <col min="40" max="40" width="16.7109375" style="224" bestFit="1" customWidth="1"/>
    <col min="41" max="41" width="12.7109375" style="224" bestFit="1" customWidth="1"/>
    <col min="42" max="42" width="10.5703125" style="224" bestFit="1" customWidth="1"/>
    <col min="43" max="43" width="10.28515625" style="224"/>
    <col min="44" max="44" width="18.5703125" style="224" bestFit="1" customWidth="1"/>
    <col min="45" max="45" width="16.140625" style="224" customWidth="1"/>
    <col min="46" max="46" width="14.140625" style="224" customWidth="1"/>
    <col min="47" max="47" width="20" style="224" customWidth="1"/>
    <col min="48" max="48" width="15" style="224" bestFit="1" customWidth="1"/>
    <col min="49" max="49" width="13" style="224" customWidth="1"/>
    <col min="50" max="50" width="11.42578125" style="224" bestFit="1" customWidth="1"/>
    <col min="51" max="16384" width="10.28515625" style="224"/>
  </cols>
  <sheetData>
    <row r="1" spans="1:52">
      <c r="A1" s="221" t="s">
        <v>177</v>
      </c>
      <c r="B1" s="221"/>
      <c r="C1" s="221" t="s">
        <v>173</v>
      </c>
      <c r="D1" s="222"/>
      <c r="AS1" s="225" t="s">
        <v>178</v>
      </c>
      <c r="AT1" s="226" t="s">
        <v>128</v>
      </c>
      <c r="AU1" s="227">
        <f>'[41]LG BRG - MSW'!K22</f>
        <v>5.6692049682646184E-2</v>
      </c>
      <c r="AV1" s="228">
        <v>-7.0000000000000001E-3</v>
      </c>
      <c r="AW1" s="229">
        <f>+AU1+AV1</f>
        <v>4.9692049682646185E-2</v>
      </c>
      <c r="AX1" s="230">
        <f>AV160</f>
        <v>637.51390564313624</v>
      </c>
    </row>
    <row r="2" spans="1:52">
      <c r="C2" s="221" t="s">
        <v>179</v>
      </c>
      <c r="D2" s="131" t="s">
        <v>407</v>
      </c>
      <c r="W2" s="224">
        <f>'[41]Kitsap Regulated - Price Out'!U47</f>
        <v>2230.633253301321</v>
      </c>
      <c r="X2" s="224">
        <f>'[41]Kitsap Regulated - Price Out'!V47</f>
        <v>2184.8079231692673</v>
      </c>
      <c r="Y2" s="224">
        <f>'[41]Kitsap Regulated - Price Out'!W47</f>
        <v>2228.4873949579833</v>
      </c>
      <c r="Z2" s="224">
        <f>'[41]Kitsap Regulated - Price Out'!X47</f>
        <v>2236.0600240096041</v>
      </c>
      <c r="AA2" s="224">
        <f>'[41]Kitsap Regulated - Price Out'!Y47</f>
        <v>2264.3781512605042</v>
      </c>
      <c r="AB2" s="224">
        <f>'[41]Kitsap Regulated - Price Out'!Z47</f>
        <v>2308.6692677070828</v>
      </c>
      <c r="AC2" s="224">
        <f>'[41]Kitsap Regulated - Price Out'!AA47</f>
        <v>2365.7172869147662</v>
      </c>
      <c r="AD2" s="224">
        <f>'[41]Kitsap Regulated - Price Out'!AB47</f>
        <v>2380.0486194477789</v>
      </c>
      <c r="AE2" s="224">
        <f>'[41]Kitsap Regulated - Price Out'!AC47</f>
        <v>2373.8493397358943</v>
      </c>
      <c r="AF2" s="224">
        <v>0</v>
      </c>
      <c r="AG2" s="224">
        <v>0</v>
      </c>
      <c r="AH2" s="224">
        <f>'[41]Kitsap Regulated - Price Out'!AF47</f>
        <v>0</v>
      </c>
      <c r="AI2" s="224">
        <f>AVERAGE(W2:AH2)</f>
        <v>1714.3876050420167</v>
      </c>
      <c r="AS2" s="231"/>
      <c r="AT2" s="226" t="s">
        <v>129</v>
      </c>
      <c r="AU2" s="232">
        <f>'[41]LG BRG - Recycle'!K22</f>
        <v>7.953930232201234E-2</v>
      </c>
      <c r="AV2" s="233">
        <v>-1.6999999999999999E-3</v>
      </c>
      <c r="AW2" s="234">
        <f>+AU2+AV2</f>
        <v>7.7839302322012346E-2</v>
      </c>
      <c r="AX2" s="230">
        <f>AV161</f>
        <v>69.857863028213615</v>
      </c>
    </row>
    <row r="3" spans="1:52">
      <c r="C3" s="221" t="s">
        <v>180</v>
      </c>
      <c r="D3" s="352" t="s">
        <v>433</v>
      </c>
      <c r="L3" s="235"/>
      <c r="AY3" s="236"/>
    </row>
    <row r="4" spans="1:52">
      <c r="D4" s="237"/>
      <c r="E4" s="238" t="s">
        <v>181</v>
      </c>
      <c r="F4" s="238" t="s">
        <v>181</v>
      </c>
      <c r="G4" s="238" t="s">
        <v>181</v>
      </c>
      <c r="I4" s="239">
        <v>43800</v>
      </c>
      <c r="J4" s="239">
        <f t="shared" ref="J4:T4" si="0">EDATE(I4,1)</f>
        <v>43831</v>
      </c>
      <c r="K4" s="239">
        <f t="shared" si="0"/>
        <v>43862</v>
      </c>
      <c r="L4" s="239">
        <f t="shared" si="0"/>
        <v>43891</v>
      </c>
      <c r="M4" s="239">
        <f t="shared" si="0"/>
        <v>43922</v>
      </c>
      <c r="N4" s="239">
        <f t="shared" si="0"/>
        <v>43952</v>
      </c>
      <c r="O4" s="239">
        <f t="shared" si="0"/>
        <v>43983</v>
      </c>
      <c r="P4" s="239">
        <f t="shared" si="0"/>
        <v>44013</v>
      </c>
      <c r="Q4" s="239">
        <f t="shared" si="0"/>
        <v>44044</v>
      </c>
      <c r="R4" s="239">
        <f t="shared" si="0"/>
        <v>44075</v>
      </c>
      <c r="S4" s="239">
        <f t="shared" si="0"/>
        <v>44105</v>
      </c>
      <c r="T4" s="239">
        <f t="shared" si="0"/>
        <v>44136</v>
      </c>
      <c r="U4" s="237" t="s">
        <v>14</v>
      </c>
      <c r="W4" s="240">
        <f t="shared" ref="W4:AH4" si="1">I4</f>
        <v>43800</v>
      </c>
      <c r="X4" s="240">
        <f t="shared" si="1"/>
        <v>43831</v>
      </c>
      <c r="Y4" s="240">
        <f t="shared" si="1"/>
        <v>43862</v>
      </c>
      <c r="Z4" s="240">
        <f t="shared" si="1"/>
        <v>43891</v>
      </c>
      <c r="AA4" s="240">
        <f t="shared" si="1"/>
        <v>43922</v>
      </c>
      <c r="AB4" s="240">
        <f t="shared" si="1"/>
        <v>43952</v>
      </c>
      <c r="AC4" s="240">
        <f t="shared" si="1"/>
        <v>43983</v>
      </c>
      <c r="AD4" s="240">
        <f t="shared" si="1"/>
        <v>44013</v>
      </c>
      <c r="AE4" s="240">
        <f t="shared" si="1"/>
        <v>44044</v>
      </c>
      <c r="AF4" s="240">
        <f t="shared" si="1"/>
        <v>44075</v>
      </c>
      <c r="AG4" s="240">
        <f t="shared" si="1"/>
        <v>44105</v>
      </c>
      <c r="AH4" s="240">
        <f t="shared" si="1"/>
        <v>44136</v>
      </c>
      <c r="AL4" s="443" t="s">
        <v>130</v>
      </c>
      <c r="AM4" s="443"/>
      <c r="AN4" s="443"/>
      <c r="AO4" s="443"/>
      <c r="AP4" s="443"/>
      <c r="AQ4" s="241"/>
      <c r="AT4" s="242"/>
    </row>
    <row r="5" spans="1:52" ht="24">
      <c r="C5" s="241" t="s">
        <v>84</v>
      </c>
      <c r="D5" s="237" t="s">
        <v>100</v>
      </c>
      <c r="E5" s="243">
        <v>43466</v>
      </c>
      <c r="F5" s="243">
        <v>43831</v>
      </c>
      <c r="G5" s="243">
        <v>44075</v>
      </c>
      <c r="H5" s="237"/>
      <c r="I5" s="244" t="s">
        <v>99</v>
      </c>
      <c r="J5" s="244" t="s">
        <v>99</v>
      </c>
      <c r="K5" s="244" t="s">
        <v>99</v>
      </c>
      <c r="L5" s="244" t="s">
        <v>99</v>
      </c>
      <c r="M5" s="244" t="s">
        <v>99</v>
      </c>
      <c r="N5" s="244" t="s">
        <v>99</v>
      </c>
      <c r="O5" s="244" t="s">
        <v>99</v>
      </c>
      <c r="P5" s="244" t="s">
        <v>99</v>
      </c>
      <c r="Q5" s="244" t="s">
        <v>99</v>
      </c>
      <c r="R5" s="244" t="s">
        <v>99</v>
      </c>
      <c r="S5" s="244" t="s">
        <v>99</v>
      </c>
      <c r="T5" s="244" t="s">
        <v>99</v>
      </c>
      <c r="U5" s="237" t="s">
        <v>99</v>
      </c>
      <c r="W5" s="245" t="s">
        <v>123</v>
      </c>
      <c r="X5" s="245" t="s">
        <v>123</v>
      </c>
      <c r="Y5" s="245" t="s">
        <v>123</v>
      </c>
      <c r="Z5" s="245" t="s">
        <v>123</v>
      </c>
      <c r="AA5" s="245" t="s">
        <v>123</v>
      </c>
      <c r="AB5" s="245" t="s">
        <v>123</v>
      </c>
      <c r="AC5" s="245" t="s">
        <v>123</v>
      </c>
      <c r="AD5" s="245" t="s">
        <v>123</v>
      </c>
      <c r="AE5" s="245" t="s">
        <v>123</v>
      </c>
      <c r="AF5" s="245" t="s">
        <v>123</v>
      </c>
      <c r="AG5" s="245" t="s">
        <v>123</v>
      </c>
      <c r="AH5" s="245" t="s">
        <v>123</v>
      </c>
      <c r="AI5" s="245" t="s">
        <v>182</v>
      </c>
      <c r="AJ5" s="245" t="s">
        <v>183</v>
      </c>
      <c r="AL5" s="186" t="s">
        <v>131</v>
      </c>
      <c r="AM5" s="186" t="s">
        <v>132</v>
      </c>
      <c r="AN5" s="186" t="s">
        <v>133</v>
      </c>
      <c r="AO5" s="186" t="s">
        <v>134</v>
      </c>
      <c r="AP5" s="186" t="s">
        <v>135</v>
      </c>
      <c r="AQ5" s="241"/>
      <c r="AR5" s="246" t="s">
        <v>184</v>
      </c>
      <c r="AS5" s="246" t="s">
        <v>185</v>
      </c>
      <c r="AT5" s="246" t="s">
        <v>136</v>
      </c>
      <c r="AU5" s="246" t="s">
        <v>137</v>
      </c>
      <c r="AV5" s="246" t="s">
        <v>186</v>
      </c>
      <c r="AY5" s="242"/>
    </row>
    <row r="7" spans="1:52">
      <c r="B7" s="224">
        <f>COUNTIF(C:C,C7)</f>
        <v>1</v>
      </c>
      <c r="C7" s="247" t="s">
        <v>101</v>
      </c>
      <c r="D7" s="247" t="s">
        <v>101</v>
      </c>
      <c r="H7" s="248"/>
      <c r="I7" s="248"/>
    </row>
    <row r="8" spans="1:52">
      <c r="C8" s="247"/>
      <c r="D8" s="249"/>
      <c r="H8" s="248"/>
      <c r="I8" s="248"/>
      <c r="W8" s="242"/>
      <c r="X8" s="242"/>
      <c r="Y8" s="242"/>
      <c r="Z8" s="242"/>
      <c r="AA8" s="242"/>
      <c r="AB8" s="242"/>
      <c r="AC8" s="242"/>
      <c r="AD8" s="242"/>
      <c r="AE8" s="242"/>
      <c r="AF8" s="242"/>
    </row>
    <row r="9" spans="1:52">
      <c r="A9" s="250" t="s">
        <v>187</v>
      </c>
      <c r="B9" s="250" t="s">
        <v>188</v>
      </c>
      <c r="C9" s="251" t="s">
        <v>102</v>
      </c>
      <c r="D9" s="251" t="s">
        <v>102</v>
      </c>
      <c r="H9" s="248"/>
      <c r="I9" s="248"/>
    </row>
    <row r="10" spans="1:52" s="393" customFormat="1" ht="12">
      <c r="A10" s="393" t="str">
        <f t="shared" ref="A10:A44" si="2">$A$1&amp;"Residential"&amp;C10</f>
        <v>MASON CO-REGULATEDResidential35RE1</v>
      </c>
      <c r="B10" s="393">
        <f t="shared" ref="B10:B44" si="3">COUNTIF(C:C,C10)</f>
        <v>1</v>
      </c>
      <c r="C10" s="394" t="s">
        <v>189</v>
      </c>
      <c r="D10" s="405" t="s">
        <v>190</v>
      </c>
      <c r="E10" s="406">
        <v>10.87</v>
      </c>
      <c r="F10" s="406">
        <v>10.96</v>
      </c>
      <c r="G10" s="406">
        <v>10.99</v>
      </c>
      <c r="H10" s="395"/>
      <c r="I10" s="396">
        <v>21592.370000000003</v>
      </c>
      <c r="J10" s="396">
        <v>21490.485000000001</v>
      </c>
      <c r="K10" s="396">
        <v>21478.445000000003</v>
      </c>
      <c r="L10" s="396">
        <v>21716.555</v>
      </c>
      <c r="M10" s="396">
        <v>22031.654999999999</v>
      </c>
      <c r="N10" s="396">
        <v>22414.154999999999</v>
      </c>
      <c r="O10" s="396">
        <v>22477.744999999999</v>
      </c>
      <c r="P10" s="396">
        <v>22507.044999999998</v>
      </c>
      <c r="Q10" s="396">
        <v>22551.555</v>
      </c>
      <c r="R10" s="396">
        <v>25756.25</v>
      </c>
      <c r="S10" s="396">
        <v>25676.99</v>
      </c>
      <c r="T10" s="396">
        <v>25071.23</v>
      </c>
      <c r="U10" s="396">
        <f t="shared" ref="U10:U44" si="4">SUM(I10:T10)</f>
        <v>274764.48</v>
      </c>
      <c r="V10" s="396"/>
      <c r="W10" s="396">
        <f t="shared" ref="W10:W44" si="5">IFERROR(I10/$E10,0)</f>
        <v>1986.4185832566702</v>
      </c>
      <c r="X10" s="396">
        <f t="shared" ref="X10:AE30" si="6">IFERROR(J10/$F10,0)</f>
        <v>1960.8106751824816</v>
      </c>
      <c r="Y10" s="396">
        <f t="shared" si="6"/>
        <v>1959.7121350364964</v>
      </c>
      <c r="Z10" s="396">
        <f t="shared" si="6"/>
        <v>1981.4374999999998</v>
      </c>
      <c r="AA10" s="396">
        <f t="shared" si="6"/>
        <v>2010.1874999999998</v>
      </c>
      <c r="AB10" s="396">
        <f t="shared" si="6"/>
        <v>2045.0871350364962</v>
      </c>
      <c r="AC10" s="396">
        <f t="shared" si="6"/>
        <v>2050.8891423357663</v>
      </c>
      <c r="AD10" s="396">
        <f t="shared" si="6"/>
        <v>2053.5624999999995</v>
      </c>
      <c r="AE10" s="396">
        <f t="shared" si="6"/>
        <v>2057.6236313868612</v>
      </c>
      <c r="AF10" s="396">
        <f>IFERROR(R10/$G10,0)</f>
        <v>2343.6078252957232</v>
      </c>
      <c r="AG10" s="396">
        <f>IFERROR(S10/$G10,0)</f>
        <v>2336.3958143767063</v>
      </c>
      <c r="AH10" s="396">
        <f>IFERROR(T10/$G10,0)</f>
        <v>2281.2766151046403</v>
      </c>
      <c r="AI10" s="397">
        <f>AVERAGE(W10:AH10)</f>
        <v>2088.9174214176533</v>
      </c>
      <c r="AJ10" s="396">
        <f>+IFERROR(VLOOKUP($C10,'Kitsap Regulated - Price Out'!$C$10:$AG$39,31,FALSE),0)</f>
        <v>242.09116358325218</v>
      </c>
      <c r="AL10" s="393">
        <v>35</v>
      </c>
      <c r="AO10" s="393">
        <v>1</v>
      </c>
      <c r="AP10" s="396">
        <f t="shared" ref="AP10:AP22" si="7">+AH10*AO10</f>
        <v>2281.2766151046403</v>
      </c>
      <c r="AQ10" s="396"/>
      <c r="AR10" s="407">
        <f>+IFERROR(VLOOKUP($C10,'[41]Kitsap Regulated - Price Out'!$C$10:$S$39,17,FALSE),0)</f>
        <v>29835.314999999999</v>
      </c>
      <c r="AS10" s="407">
        <f>U10+AR10</f>
        <v>304599.79499999998</v>
      </c>
      <c r="AT10" s="408">
        <f>+IFERROR($G10*(1+$AW$1),0)</f>
        <v>11.536115626012283</v>
      </c>
      <c r="AU10" s="409">
        <f t="shared" ref="AU10:AU44" si="8">+$AT10*(AI10+AJ10)*12</f>
        <v>322689.41474157269</v>
      </c>
      <c r="AV10" s="409">
        <f>AU10-AS10</f>
        <v>18089.619741572707</v>
      </c>
      <c r="AW10" s="410">
        <f t="shared" ref="AW10:AW44" si="9">+IFERROR((AT10-F10)/F10,0)</f>
        <v>5.2565294344186282E-2</v>
      </c>
      <c r="AY10" s="397"/>
      <c r="AZ10" s="397"/>
    </row>
    <row r="11" spans="1:52" s="393" customFormat="1" ht="12">
      <c r="A11" s="393" t="str">
        <f t="shared" si="2"/>
        <v>MASON CO-REGULATEDResidential48RE1</v>
      </c>
      <c r="B11" s="393">
        <f t="shared" si="3"/>
        <v>1</v>
      </c>
      <c r="C11" s="394" t="s">
        <v>191</v>
      </c>
      <c r="D11" s="405" t="s">
        <v>192</v>
      </c>
      <c r="E11" s="406">
        <v>14.37</v>
      </c>
      <c r="F11" s="406">
        <v>14.48</v>
      </c>
      <c r="G11" s="406">
        <v>14.52</v>
      </c>
      <c r="H11" s="395"/>
      <c r="I11" s="396">
        <v>8723.885000000002</v>
      </c>
      <c r="J11" s="396">
        <v>8804.3649999999998</v>
      </c>
      <c r="K11" s="396">
        <v>8779.2649999999994</v>
      </c>
      <c r="L11" s="396">
        <v>8934.1550000000007</v>
      </c>
      <c r="M11" s="396">
        <v>9057.3050000000003</v>
      </c>
      <c r="N11" s="396">
        <v>9205.1049999999996</v>
      </c>
      <c r="O11" s="396">
        <v>9453.4249999999993</v>
      </c>
      <c r="P11" s="396">
        <v>9685.2849999999999</v>
      </c>
      <c r="Q11" s="396">
        <v>9803.8050000000003</v>
      </c>
      <c r="R11" s="396">
        <v>11268.38</v>
      </c>
      <c r="S11" s="396">
        <v>11214.639999999998</v>
      </c>
      <c r="T11" s="396">
        <v>10703.380000000001</v>
      </c>
      <c r="U11" s="396">
        <f t="shared" si="4"/>
        <v>115632.99500000001</v>
      </c>
      <c r="V11" s="396"/>
      <c r="W11" s="396">
        <f t="shared" si="5"/>
        <v>607.09011830201825</v>
      </c>
      <c r="X11" s="396">
        <f t="shared" si="6"/>
        <v>608.03625690607737</v>
      </c>
      <c r="Y11" s="396">
        <f t="shared" si="6"/>
        <v>606.3028314917126</v>
      </c>
      <c r="Z11" s="396">
        <f t="shared" si="6"/>
        <v>616.99965469613267</v>
      </c>
      <c r="AA11" s="396">
        <f t="shared" si="6"/>
        <v>625.50448895027625</v>
      </c>
      <c r="AB11" s="396">
        <f t="shared" si="6"/>
        <v>635.71167127071817</v>
      </c>
      <c r="AC11" s="396">
        <f t="shared" si="6"/>
        <v>652.86084254143634</v>
      </c>
      <c r="AD11" s="396">
        <f t="shared" si="6"/>
        <v>668.87327348066299</v>
      </c>
      <c r="AE11" s="396">
        <f t="shared" si="6"/>
        <v>677.05835635359119</v>
      </c>
      <c r="AF11" s="396">
        <f t="shared" ref="AF11:AH44" si="10">IFERROR(R11/$G11,0)</f>
        <v>776.0592286501377</v>
      </c>
      <c r="AG11" s="396">
        <f t="shared" si="10"/>
        <v>772.35812672176291</v>
      </c>
      <c r="AH11" s="396">
        <f t="shared" si="10"/>
        <v>737.14738292011032</v>
      </c>
      <c r="AI11" s="397">
        <f t="shared" ref="AI11:AI44" si="11">AVERAGE(W11:AH11)</f>
        <v>665.33351935705298</v>
      </c>
      <c r="AJ11" s="396">
        <f>+IFERROR(VLOOKUP($C11,'Kitsap Regulated - Price Out'!$C$10:$AG$39,31,FALSE),0)</f>
        <v>76.602841469428014</v>
      </c>
      <c r="AL11" s="393">
        <v>48</v>
      </c>
      <c r="AO11" s="393">
        <v>1</v>
      </c>
      <c r="AP11" s="396">
        <f t="shared" si="7"/>
        <v>737.14738292011032</v>
      </c>
      <c r="AQ11" s="396"/>
      <c r="AR11" s="407">
        <f>+IFERROR(VLOOKUP($C11,'[41]Kitsap Regulated - Price Out'!$C$10:$S$39,17,FALSE),0)</f>
        <v>12428.045</v>
      </c>
      <c r="AS11" s="407">
        <f t="shared" ref="AS11:AS44" si="12">U11+AR11</f>
        <v>128061.04000000001</v>
      </c>
      <c r="AT11" s="408">
        <f t="shared" ref="AT11:AT44" si="13">+IFERROR($G11*(1+$AW$1),0)</f>
        <v>15.241528561392023</v>
      </c>
      <c r="AU11" s="409">
        <f t="shared" si="8"/>
        <v>135698.93081126481</v>
      </c>
      <c r="AV11" s="409">
        <f t="shared" ref="AV11:AV44" si="14">AU11-AS11</f>
        <v>7637.890811264806</v>
      </c>
      <c r="AW11" s="410">
        <f t="shared" si="9"/>
        <v>5.2591751477349645E-2</v>
      </c>
    </row>
    <row r="12" spans="1:52" s="393" customFormat="1" ht="12.75" customHeight="1">
      <c r="A12" s="393" t="str">
        <f t="shared" si="2"/>
        <v>MASON CO-REGULATEDResidential64RE1</v>
      </c>
      <c r="B12" s="393">
        <f t="shared" si="3"/>
        <v>1</v>
      </c>
      <c r="C12" s="398" t="s">
        <v>193</v>
      </c>
      <c r="D12" s="405" t="s">
        <v>194</v>
      </c>
      <c r="E12" s="406">
        <v>17.14</v>
      </c>
      <c r="F12" s="406">
        <v>17.260000000000002</v>
      </c>
      <c r="G12" s="406">
        <v>17.309999999999999</v>
      </c>
      <c r="H12" s="395"/>
      <c r="I12" s="396">
        <v>12069.115</v>
      </c>
      <c r="J12" s="396">
        <v>12254.594999999999</v>
      </c>
      <c r="K12" s="396">
        <v>12170.025</v>
      </c>
      <c r="L12" s="396">
        <v>12467</v>
      </c>
      <c r="M12" s="396">
        <v>12589.480000000001</v>
      </c>
      <c r="N12" s="396">
        <v>12642.095000000001</v>
      </c>
      <c r="O12" s="396">
        <v>12673.075000000001</v>
      </c>
      <c r="P12" s="396">
        <v>12750.825000000001</v>
      </c>
      <c r="Q12" s="396">
        <v>12836.475</v>
      </c>
      <c r="R12" s="396">
        <v>15320.215</v>
      </c>
      <c r="S12" s="396">
        <v>15237.135</v>
      </c>
      <c r="T12" s="396">
        <v>15230.225</v>
      </c>
      <c r="U12" s="396">
        <f t="shared" si="4"/>
        <v>158240.26</v>
      </c>
      <c r="V12" s="396"/>
      <c r="W12" s="396">
        <f t="shared" si="5"/>
        <v>704.14906651108515</v>
      </c>
      <c r="X12" s="396">
        <f t="shared" si="6"/>
        <v>709.99971031286202</v>
      </c>
      <c r="Y12" s="396">
        <f t="shared" si="6"/>
        <v>705.09994206257238</v>
      </c>
      <c r="Z12" s="396">
        <f t="shared" si="6"/>
        <v>722.30590961761288</v>
      </c>
      <c r="AA12" s="396">
        <f t="shared" si="6"/>
        <v>729.40208574739279</v>
      </c>
      <c r="AB12" s="396">
        <f t="shared" si="6"/>
        <v>732.45046349942061</v>
      </c>
      <c r="AC12" s="396">
        <f t="shared" si="6"/>
        <v>734.2453650057937</v>
      </c>
      <c r="AD12" s="396">
        <f t="shared" si="6"/>
        <v>738.75</v>
      </c>
      <c r="AE12" s="396">
        <f t="shared" si="6"/>
        <v>743.71234067207411</v>
      </c>
      <c r="AF12" s="396">
        <f t="shared" si="10"/>
        <v>885.04997111496255</v>
      </c>
      <c r="AG12" s="396">
        <f t="shared" si="10"/>
        <v>880.2504332755633</v>
      </c>
      <c r="AH12" s="396">
        <f t="shared" si="10"/>
        <v>879.85124205661475</v>
      </c>
      <c r="AI12" s="397">
        <f t="shared" si="11"/>
        <v>763.77221082299604</v>
      </c>
      <c r="AJ12" s="396">
        <f>+IFERROR(VLOOKUP($C12,'Kitsap Regulated - Price Out'!$C$10:$AG$39,31,FALSE),0)</f>
        <v>99.00659808811308</v>
      </c>
      <c r="AL12" s="393">
        <v>64</v>
      </c>
      <c r="AO12" s="393">
        <v>1</v>
      </c>
      <c r="AP12" s="396">
        <f t="shared" si="7"/>
        <v>879.85124205661475</v>
      </c>
      <c r="AQ12" s="396"/>
      <c r="AR12" s="407">
        <f>+IFERROR(VLOOKUP($C12,'[41]Kitsap Regulated - Price Out'!$C$10:$S$39,17,FALSE),0)</f>
        <v>19056.79</v>
      </c>
      <c r="AS12" s="407">
        <f t="shared" si="12"/>
        <v>177297.05000000002</v>
      </c>
      <c r="AT12" s="408">
        <f t="shared" si="13"/>
        <v>18.170169380006605</v>
      </c>
      <c r="AU12" s="409">
        <f t="shared" si="8"/>
        <v>188122.04514474244</v>
      </c>
      <c r="AV12" s="409">
        <f t="shared" si="14"/>
        <v>10824.995144742425</v>
      </c>
      <c r="AW12" s="410">
        <f t="shared" si="9"/>
        <v>5.2732872538041931E-2</v>
      </c>
    </row>
    <row r="13" spans="1:52" s="411" customFormat="1">
      <c r="A13" s="411" t="str">
        <f t="shared" si="2"/>
        <v>MASON CO-REGULATEDResidential96RE1</v>
      </c>
      <c r="B13" s="411">
        <f t="shared" si="3"/>
        <v>1</v>
      </c>
      <c r="C13" s="412" t="s">
        <v>195</v>
      </c>
      <c r="D13" s="413" t="s">
        <v>196</v>
      </c>
      <c r="E13" s="414">
        <v>21.48</v>
      </c>
      <c r="F13" s="414">
        <v>21.66</v>
      </c>
      <c r="G13" s="414">
        <v>21.72</v>
      </c>
      <c r="H13" s="415"/>
      <c r="I13" s="416">
        <v>7277.1750000000002</v>
      </c>
      <c r="J13" s="416">
        <v>7518.19</v>
      </c>
      <c r="K13" s="416">
        <v>7440.39</v>
      </c>
      <c r="L13" s="416">
        <v>7570.2449999999999</v>
      </c>
      <c r="M13" s="416">
        <v>7713.1949999999997</v>
      </c>
      <c r="N13" s="416">
        <v>7894.1750000000002</v>
      </c>
      <c r="O13" s="416">
        <v>8037.1350000000002</v>
      </c>
      <c r="P13" s="416">
        <v>8394.5149999999994</v>
      </c>
      <c r="Q13" s="416">
        <v>8553.1049999999996</v>
      </c>
      <c r="R13" s="416">
        <v>10298.23</v>
      </c>
      <c r="S13" s="416">
        <v>10223.599999999999</v>
      </c>
      <c r="T13" s="416">
        <v>10419.084999999999</v>
      </c>
      <c r="U13" s="416">
        <f t="shared" si="4"/>
        <v>101339.03999999998</v>
      </c>
      <c r="V13" s="416"/>
      <c r="W13" s="416">
        <f t="shared" si="5"/>
        <v>338.78840782122904</v>
      </c>
      <c r="X13" s="416">
        <f t="shared" si="6"/>
        <v>347.10018467220681</v>
      </c>
      <c r="Y13" s="416">
        <f t="shared" si="6"/>
        <v>343.5083102493075</v>
      </c>
      <c r="Z13" s="416">
        <f t="shared" si="6"/>
        <v>349.50346260387812</v>
      </c>
      <c r="AA13" s="416">
        <f t="shared" si="6"/>
        <v>356.10318559556788</v>
      </c>
      <c r="AB13" s="416">
        <f t="shared" si="6"/>
        <v>364.45867959372117</v>
      </c>
      <c r="AC13" s="416">
        <f t="shared" si="6"/>
        <v>371.05886426592798</v>
      </c>
      <c r="AD13" s="416">
        <f t="shared" si="6"/>
        <v>387.55840258541087</v>
      </c>
      <c r="AE13" s="416">
        <f t="shared" si="6"/>
        <v>394.88019390581718</v>
      </c>
      <c r="AF13" s="416">
        <f t="shared" si="10"/>
        <v>474.13581952117863</v>
      </c>
      <c r="AG13" s="416">
        <f t="shared" si="10"/>
        <v>470.69981583793736</v>
      </c>
      <c r="AH13" s="416">
        <f t="shared" si="10"/>
        <v>479.70004604051564</v>
      </c>
      <c r="AI13" s="417">
        <f t="shared" si="11"/>
        <v>389.7912810577248</v>
      </c>
      <c r="AJ13" s="396">
        <f>+IFERROR(VLOOKUP($C13,'Kitsap Regulated - Price Out'!$C$10:$AG$39,31,FALSE),0)</f>
        <v>59.665397736728231</v>
      </c>
      <c r="AL13" s="411">
        <v>96</v>
      </c>
      <c r="AO13" s="411">
        <v>1</v>
      </c>
      <c r="AP13" s="416">
        <f t="shared" si="7"/>
        <v>479.70004604051564</v>
      </c>
      <c r="AQ13" s="416"/>
      <c r="AR13" s="417">
        <f>+IFERROR(VLOOKUP($C13,'[41]Kitsap Regulated - Price Out'!$C$10:$S$39,17,FALSE),0)</f>
        <v>14341.174999999997</v>
      </c>
      <c r="AS13" s="417">
        <f t="shared" si="12"/>
        <v>115680.21499999998</v>
      </c>
      <c r="AT13" s="414">
        <f t="shared" si="13"/>
        <v>22.799311319107076</v>
      </c>
      <c r="AU13" s="418">
        <f t="shared" si="8"/>
        <v>122967.63293143976</v>
      </c>
      <c r="AV13" s="418">
        <f t="shared" si="14"/>
        <v>7287.417931439777</v>
      </c>
      <c r="AW13" s="419">
        <f t="shared" si="9"/>
        <v>5.2599783892293445E-2</v>
      </c>
    </row>
    <row r="14" spans="1:52" s="393" customFormat="1">
      <c r="A14" s="393" t="str">
        <f t="shared" si="2"/>
        <v>MASON CO-REGULATEDResidential20RW1</v>
      </c>
      <c r="B14" s="393">
        <f t="shared" si="3"/>
        <v>1</v>
      </c>
      <c r="C14" s="398" t="s">
        <v>197</v>
      </c>
      <c r="D14" s="405" t="s">
        <v>198</v>
      </c>
      <c r="E14" s="406">
        <v>13.36</v>
      </c>
      <c r="F14" s="406">
        <v>13.46</v>
      </c>
      <c r="G14" s="406">
        <v>13.5</v>
      </c>
      <c r="H14" s="395"/>
      <c r="I14" s="396">
        <v>94.635000000000005</v>
      </c>
      <c r="J14" s="396">
        <v>94.22</v>
      </c>
      <c r="K14" s="396">
        <v>94.22</v>
      </c>
      <c r="L14" s="396">
        <v>89.734999999999999</v>
      </c>
      <c r="M14" s="396">
        <v>89.734999999999999</v>
      </c>
      <c r="N14" s="396">
        <v>106.185</v>
      </c>
      <c r="O14" s="396">
        <v>106.185</v>
      </c>
      <c r="P14" s="396">
        <v>107.68</v>
      </c>
      <c r="Q14" s="396">
        <v>107.68</v>
      </c>
      <c r="R14" s="396">
        <v>108</v>
      </c>
      <c r="S14" s="396">
        <v>114</v>
      </c>
      <c r="T14" s="396">
        <v>108</v>
      </c>
      <c r="U14" s="396">
        <f t="shared" si="4"/>
        <v>1220.2750000000001</v>
      </c>
      <c r="V14" s="396"/>
      <c r="W14" s="396">
        <f t="shared" si="5"/>
        <v>7.083458083832336</v>
      </c>
      <c r="X14" s="396">
        <f t="shared" si="6"/>
        <v>6.9999999999999991</v>
      </c>
      <c r="Y14" s="396">
        <f t="shared" si="6"/>
        <v>6.9999999999999991</v>
      </c>
      <c r="Z14" s="396">
        <f t="shared" si="6"/>
        <v>6.6667904903417528</v>
      </c>
      <c r="AA14" s="396">
        <f t="shared" si="6"/>
        <v>6.6667904903417528</v>
      </c>
      <c r="AB14" s="396">
        <f t="shared" si="6"/>
        <v>7.8889301634472506</v>
      </c>
      <c r="AC14" s="396">
        <f t="shared" si="6"/>
        <v>7.8889301634472506</v>
      </c>
      <c r="AD14" s="396">
        <f t="shared" si="6"/>
        <v>8</v>
      </c>
      <c r="AE14" s="396">
        <f t="shared" si="6"/>
        <v>8</v>
      </c>
      <c r="AF14" s="396">
        <f t="shared" si="10"/>
        <v>8</v>
      </c>
      <c r="AG14" s="396">
        <f t="shared" si="10"/>
        <v>8.4444444444444446</v>
      </c>
      <c r="AH14" s="396">
        <f t="shared" si="10"/>
        <v>8</v>
      </c>
      <c r="AI14" s="397">
        <f t="shared" si="11"/>
        <v>7.5532786529878981</v>
      </c>
      <c r="AJ14" s="396">
        <f>+IFERROR(VLOOKUP($C14,'Kitsap Regulated - Price Out'!$C$10:$AG$39,31,FALSE),0)</f>
        <v>0</v>
      </c>
      <c r="AM14" s="393">
        <v>20</v>
      </c>
      <c r="AO14" s="393">
        <v>1</v>
      </c>
      <c r="AP14" s="396">
        <f t="shared" si="7"/>
        <v>8</v>
      </c>
      <c r="AQ14" s="396"/>
      <c r="AR14" s="407">
        <f>+IFERROR(VLOOKUP($C14,'[41]Kitsap Regulated - Price Out'!$C$10:$S$39,17,FALSE),0)</f>
        <v>0</v>
      </c>
      <c r="AS14" s="407">
        <f t="shared" si="12"/>
        <v>1220.2750000000001</v>
      </c>
      <c r="AT14" s="408">
        <f t="shared" si="13"/>
        <v>14.170842670715725</v>
      </c>
      <c r="AU14" s="409">
        <f t="shared" si="8"/>
        <v>1284.4358812748051</v>
      </c>
      <c r="AV14" s="409">
        <f t="shared" si="14"/>
        <v>64.160881274804979</v>
      </c>
      <c r="AW14" s="410">
        <f t="shared" si="9"/>
        <v>5.2811491137869558E-2</v>
      </c>
    </row>
    <row r="15" spans="1:52" s="411" customFormat="1" ht="12">
      <c r="A15" s="411" t="str">
        <f t="shared" si="2"/>
        <v>MASON CO-REGULATEDResidential35RW1</v>
      </c>
      <c r="B15" s="411">
        <f t="shared" si="3"/>
        <v>1</v>
      </c>
      <c r="C15" s="420" t="s">
        <v>199</v>
      </c>
      <c r="D15" s="413" t="s">
        <v>200</v>
      </c>
      <c r="E15" s="414">
        <v>18.3</v>
      </c>
      <c r="F15" s="414">
        <v>18.48</v>
      </c>
      <c r="G15" s="414">
        <v>18.53</v>
      </c>
      <c r="H15" s="415"/>
      <c r="I15" s="416">
        <v>49411.044999999998</v>
      </c>
      <c r="J15" s="416">
        <v>49321.03</v>
      </c>
      <c r="K15" s="416">
        <v>48720.009999999995</v>
      </c>
      <c r="L15" s="416">
        <v>49154.1</v>
      </c>
      <c r="M15" s="416">
        <v>50046.06</v>
      </c>
      <c r="N15" s="416">
        <v>51363.95</v>
      </c>
      <c r="O15" s="416">
        <v>52455.59</v>
      </c>
      <c r="P15" s="416">
        <v>53602.704999999994</v>
      </c>
      <c r="Q15" s="416">
        <v>53828.924999999996</v>
      </c>
      <c r="R15" s="416">
        <v>66397.78</v>
      </c>
      <c r="S15" s="416">
        <v>65310.58</v>
      </c>
      <c r="T15" s="416">
        <v>63122.499999999993</v>
      </c>
      <c r="U15" s="416">
        <f>SUM(I15:T15)</f>
        <v>652734.27500000002</v>
      </c>
      <c r="V15" s="416"/>
      <c r="W15" s="416">
        <f t="shared" si="5"/>
        <v>2700.0571038251364</v>
      </c>
      <c r="X15" s="416">
        <f t="shared" si="6"/>
        <v>2668.8869047619046</v>
      </c>
      <c r="Y15" s="416">
        <f t="shared" si="6"/>
        <v>2636.3641774891771</v>
      </c>
      <c r="Z15" s="416">
        <f t="shared" si="6"/>
        <v>2659.8538961038957</v>
      </c>
      <c r="AA15" s="416">
        <f t="shared" si="6"/>
        <v>2708.1201298701299</v>
      </c>
      <c r="AB15" s="416">
        <f t="shared" si="6"/>
        <v>2779.4345238095234</v>
      </c>
      <c r="AC15" s="416">
        <f t="shared" si="6"/>
        <v>2838.5059523809523</v>
      </c>
      <c r="AD15" s="416">
        <f t="shared" si="6"/>
        <v>2900.5792748917747</v>
      </c>
      <c r="AE15" s="416">
        <f t="shared" si="6"/>
        <v>2912.8206168831166</v>
      </c>
      <c r="AF15" s="416">
        <f t="shared" si="10"/>
        <v>3583.2584997301669</v>
      </c>
      <c r="AG15" s="416">
        <f t="shared" si="10"/>
        <v>3524.5860766324877</v>
      </c>
      <c r="AH15" s="416">
        <f t="shared" si="10"/>
        <v>3406.5029681597402</v>
      </c>
      <c r="AI15" s="417">
        <f t="shared" si="11"/>
        <v>2943.2475103781671</v>
      </c>
      <c r="AJ15" s="396">
        <f>+IFERROR(VLOOKUP($C15,'Kitsap Regulated - Price Out'!$C$10:$AG$39,31,FALSE),0)</f>
        <v>507.0118630882925</v>
      </c>
      <c r="AL15" s="411">
        <v>35</v>
      </c>
      <c r="AO15" s="411">
        <v>1</v>
      </c>
      <c r="AP15" s="416">
        <f t="shared" si="7"/>
        <v>3406.5029681597402</v>
      </c>
      <c r="AQ15" s="416"/>
      <c r="AR15" s="417">
        <f>+IFERROR(VLOOKUP($C15,'[41]Kitsap Regulated - Price Out'!$C$10:$S$39,17,FALSE),0)</f>
        <v>104282.2</v>
      </c>
      <c r="AS15" s="417">
        <f t="shared" si="12"/>
        <v>757016.47499999998</v>
      </c>
      <c r="AT15" s="414">
        <f t="shared" si="13"/>
        <v>19.450793680619437</v>
      </c>
      <c r="AU15" s="418">
        <f t="shared" si="8"/>
        <v>805323.39861503267</v>
      </c>
      <c r="AV15" s="418">
        <f t="shared" si="14"/>
        <v>48306.923615032691</v>
      </c>
      <c r="AW15" s="419">
        <f t="shared" si="9"/>
        <v>5.2532125574644851E-2</v>
      </c>
    </row>
    <row r="16" spans="1:52" s="411" customFormat="1" ht="12">
      <c r="A16" s="411" t="str">
        <f t="shared" si="2"/>
        <v>MASON CO-REGULATEDResidential48RW1</v>
      </c>
      <c r="B16" s="411">
        <f t="shared" si="3"/>
        <v>1</v>
      </c>
      <c r="C16" s="420" t="s">
        <v>201</v>
      </c>
      <c r="D16" s="413" t="s">
        <v>202</v>
      </c>
      <c r="E16" s="414">
        <v>23.25</v>
      </c>
      <c r="F16" s="414">
        <v>23.48</v>
      </c>
      <c r="G16" s="414">
        <v>23.54</v>
      </c>
      <c r="H16" s="415"/>
      <c r="I16" s="416">
        <v>33106.525000000001</v>
      </c>
      <c r="J16" s="416">
        <v>33853.85</v>
      </c>
      <c r="K16" s="416">
        <v>33719.509999999995</v>
      </c>
      <c r="L16" s="416">
        <v>34446.385000000002</v>
      </c>
      <c r="M16" s="416">
        <v>35108.385000000002</v>
      </c>
      <c r="N16" s="416">
        <v>36608.300000000003</v>
      </c>
      <c r="O16" s="416">
        <v>37309.9</v>
      </c>
      <c r="P16" s="416">
        <v>38369.32</v>
      </c>
      <c r="Q16" s="416">
        <v>38789.83</v>
      </c>
      <c r="R16" s="416">
        <v>48498.254999999997</v>
      </c>
      <c r="S16" s="416">
        <v>47863.275000000001</v>
      </c>
      <c r="T16" s="416">
        <v>47728.364999999998</v>
      </c>
      <c r="U16" s="416">
        <f t="shared" si="4"/>
        <v>465401.9</v>
      </c>
      <c r="V16" s="416"/>
      <c r="W16" s="416">
        <f t="shared" si="5"/>
        <v>1423.936559139785</v>
      </c>
      <c r="X16" s="416">
        <f t="shared" si="6"/>
        <v>1441.8164395229983</v>
      </c>
      <c r="Y16" s="416">
        <f t="shared" si="6"/>
        <v>1436.0949744463371</v>
      </c>
      <c r="Z16" s="416">
        <f t="shared" si="6"/>
        <v>1467.0521720613287</v>
      </c>
      <c r="AA16" s="416">
        <f t="shared" si="6"/>
        <v>1495.2463798977853</v>
      </c>
      <c r="AB16" s="416">
        <f t="shared" si="6"/>
        <v>1559.126916524702</v>
      </c>
      <c r="AC16" s="416">
        <f t="shared" si="6"/>
        <v>1589.0076660988075</v>
      </c>
      <c r="AD16" s="416">
        <f t="shared" si="6"/>
        <v>1634.1277683134583</v>
      </c>
      <c r="AE16" s="416">
        <f t="shared" si="6"/>
        <v>1652.0370528109029</v>
      </c>
      <c r="AF16" s="416">
        <f t="shared" si="10"/>
        <v>2060.2487255734918</v>
      </c>
      <c r="AG16" s="416">
        <f t="shared" si="10"/>
        <v>2033.2742141036535</v>
      </c>
      <c r="AH16" s="416">
        <f t="shared" si="10"/>
        <v>2027.5431180968565</v>
      </c>
      <c r="AI16" s="417">
        <f t="shared" si="11"/>
        <v>1651.6259988825086</v>
      </c>
      <c r="AJ16" s="396">
        <f>+IFERROR(VLOOKUP($C16,'Kitsap Regulated - Price Out'!$C$10:$AG$39,31,FALSE),0)</f>
        <v>271.76384352154304</v>
      </c>
      <c r="AL16" s="411">
        <v>48</v>
      </c>
      <c r="AO16" s="411">
        <v>1</v>
      </c>
      <c r="AP16" s="416">
        <f t="shared" si="7"/>
        <v>2027.5431180968565</v>
      </c>
      <c r="AQ16" s="416"/>
      <c r="AR16" s="417">
        <f>+IFERROR(VLOOKUP($C16,'[41]Kitsap Regulated - Price Out'!$C$10:$S$39,17,FALSE),0)</f>
        <v>69886.790000000008</v>
      </c>
      <c r="AS16" s="417">
        <f t="shared" si="12"/>
        <v>535288.69000000006</v>
      </c>
      <c r="AT16" s="414">
        <f t="shared" si="13"/>
        <v>24.709750849529492</v>
      </c>
      <c r="AU16" s="418">
        <f t="shared" si="8"/>
        <v>570317.80550783896</v>
      </c>
      <c r="AV16" s="418">
        <f t="shared" si="14"/>
        <v>35029.115507838898</v>
      </c>
      <c r="AW16" s="419">
        <f t="shared" si="9"/>
        <v>5.2374397339416151E-2</v>
      </c>
    </row>
    <row r="17" spans="1:49" s="411" customFormat="1" ht="12">
      <c r="A17" s="411" t="str">
        <f t="shared" si="2"/>
        <v>MASON CO-REGULATEDResidential64RW1</v>
      </c>
      <c r="B17" s="411">
        <f t="shared" si="3"/>
        <v>1</v>
      </c>
      <c r="C17" s="420" t="s">
        <v>203</v>
      </c>
      <c r="D17" s="413" t="s">
        <v>204</v>
      </c>
      <c r="E17" s="414">
        <v>28.38</v>
      </c>
      <c r="F17" s="414">
        <v>28.62</v>
      </c>
      <c r="G17" s="414">
        <v>28.7</v>
      </c>
      <c r="H17" s="415"/>
      <c r="I17" s="416">
        <v>35224.06</v>
      </c>
      <c r="J17" s="416">
        <v>36504</v>
      </c>
      <c r="K17" s="416">
        <v>36295.700000000004</v>
      </c>
      <c r="L17" s="416">
        <v>37155.704999999994</v>
      </c>
      <c r="M17" s="416">
        <v>38097.504999999997</v>
      </c>
      <c r="N17" s="416">
        <v>39827.379999999997</v>
      </c>
      <c r="O17" s="416">
        <v>40923.179999999993</v>
      </c>
      <c r="P17" s="416">
        <v>42638.049999999996</v>
      </c>
      <c r="Q17" s="416">
        <v>43287.189999999995</v>
      </c>
      <c r="R17" s="416">
        <v>57128.24</v>
      </c>
      <c r="S17" s="416">
        <v>56688.85</v>
      </c>
      <c r="T17" s="416">
        <v>56915.985000000001</v>
      </c>
      <c r="U17" s="416">
        <f t="shared" si="4"/>
        <v>520685.84499999997</v>
      </c>
      <c r="V17" s="416"/>
      <c r="W17" s="416">
        <f t="shared" si="5"/>
        <v>1241.1578576462298</v>
      </c>
      <c r="X17" s="416">
        <f t="shared" si="6"/>
        <v>1275.4716981132076</v>
      </c>
      <c r="Y17" s="416">
        <f t="shared" si="6"/>
        <v>1268.19357092942</v>
      </c>
      <c r="Z17" s="416">
        <f t="shared" si="6"/>
        <v>1298.2426624737943</v>
      </c>
      <c r="AA17" s="416">
        <f t="shared" si="6"/>
        <v>1331.149720475192</v>
      </c>
      <c r="AB17" s="416">
        <f t="shared" si="6"/>
        <v>1391.5925925925924</v>
      </c>
      <c r="AC17" s="416">
        <f t="shared" si="6"/>
        <v>1429.8805031446539</v>
      </c>
      <c r="AD17" s="416">
        <f t="shared" si="6"/>
        <v>1489.7990915443743</v>
      </c>
      <c r="AE17" s="416">
        <f t="shared" si="6"/>
        <v>1512.4804332634519</v>
      </c>
      <c r="AF17" s="416">
        <f t="shared" si="10"/>
        <v>1990.5310104529617</v>
      </c>
      <c r="AG17" s="416">
        <f t="shared" si="10"/>
        <v>1975.2212543554008</v>
      </c>
      <c r="AH17" s="416">
        <f t="shared" si="10"/>
        <v>1983.1353658536586</v>
      </c>
      <c r="AI17" s="417">
        <f t="shared" si="11"/>
        <v>1515.5713134037451</v>
      </c>
      <c r="AJ17" s="396">
        <f>+IFERROR(VLOOKUP($C17,'Kitsap Regulated - Price Out'!$C$10:$AG$39,31,FALSE),0)</f>
        <v>316.42370087478781</v>
      </c>
      <c r="AL17" s="411">
        <v>64</v>
      </c>
      <c r="AO17" s="411">
        <v>1</v>
      </c>
      <c r="AP17" s="416">
        <f t="shared" si="7"/>
        <v>1983.1353658536586</v>
      </c>
      <c r="AQ17" s="416"/>
      <c r="AR17" s="417">
        <f>+IFERROR(VLOOKUP($C17,'[41]Kitsap Regulated - Price Out'!$C$10:$S$39,17,FALSE),0)</f>
        <v>96939.565000000002</v>
      </c>
      <c r="AS17" s="417">
        <f t="shared" si="12"/>
        <v>617625.40999999992</v>
      </c>
      <c r="AT17" s="414">
        <f t="shared" si="13"/>
        <v>30.126161825891948</v>
      </c>
      <c r="AU17" s="418">
        <f t="shared" si="8"/>
        <v>662291.73917258775</v>
      </c>
      <c r="AV17" s="418">
        <f t="shared" si="14"/>
        <v>44666.329172587837</v>
      </c>
      <c r="AW17" s="419">
        <f t="shared" si="9"/>
        <v>5.2626199367293756E-2</v>
      </c>
    </row>
    <row r="18" spans="1:49" s="411" customFormat="1">
      <c r="A18" s="411" t="str">
        <f t="shared" si="2"/>
        <v>MASON CO-REGULATEDResidential96RW1</v>
      </c>
      <c r="B18" s="411">
        <f t="shared" si="3"/>
        <v>1</v>
      </c>
      <c r="C18" s="412" t="s">
        <v>205</v>
      </c>
      <c r="D18" s="413" t="s">
        <v>206</v>
      </c>
      <c r="E18" s="414">
        <v>35.42</v>
      </c>
      <c r="F18" s="414">
        <v>35.79</v>
      </c>
      <c r="G18" s="414">
        <v>35.89</v>
      </c>
      <c r="H18" s="415"/>
      <c r="I18" s="416">
        <v>23743.059999999998</v>
      </c>
      <c r="J18" s="416">
        <v>24883.229999999996</v>
      </c>
      <c r="K18" s="416">
        <v>24474.879999999997</v>
      </c>
      <c r="L18" s="416">
        <v>25708.734999999997</v>
      </c>
      <c r="M18" s="416">
        <v>26539.555</v>
      </c>
      <c r="N18" s="416">
        <v>29215.679999999997</v>
      </c>
      <c r="O18" s="416">
        <v>29300.799999999999</v>
      </c>
      <c r="P18" s="416">
        <v>32212.984999999997</v>
      </c>
      <c r="Q18" s="416">
        <v>32656.055</v>
      </c>
      <c r="R18" s="416">
        <v>42886.824999999997</v>
      </c>
      <c r="S18" s="416">
        <v>42167.065000000002</v>
      </c>
      <c r="T18" s="416">
        <v>43747.364999999998</v>
      </c>
      <c r="U18" s="416">
        <f t="shared" si="4"/>
        <v>377536.23499999993</v>
      </c>
      <c r="V18" s="416"/>
      <c r="W18" s="416">
        <f t="shared" si="5"/>
        <v>670.32919254658373</v>
      </c>
      <c r="X18" s="416">
        <f t="shared" si="6"/>
        <v>695.25649622799654</v>
      </c>
      <c r="Y18" s="416">
        <f t="shared" si="6"/>
        <v>683.84688460463815</v>
      </c>
      <c r="Z18" s="416">
        <f t="shared" si="6"/>
        <v>718.32173791561877</v>
      </c>
      <c r="AA18" s="416">
        <f t="shared" si="6"/>
        <v>741.53548477228276</v>
      </c>
      <c r="AB18" s="416">
        <f t="shared" si="6"/>
        <v>816.30846605196973</v>
      </c>
      <c r="AC18" s="416">
        <f t="shared" si="6"/>
        <v>818.68678401788213</v>
      </c>
      <c r="AD18" s="416">
        <f t="shared" si="6"/>
        <v>900.05546241967022</v>
      </c>
      <c r="AE18" s="416">
        <f t="shared" si="6"/>
        <v>912.43517742386143</v>
      </c>
      <c r="AF18" s="416">
        <f t="shared" si="10"/>
        <v>1194.951936472555</v>
      </c>
      <c r="AG18" s="416">
        <f t="shared" si="10"/>
        <v>1174.8973251602117</v>
      </c>
      <c r="AH18" s="416">
        <f t="shared" si="10"/>
        <v>1218.929088882697</v>
      </c>
      <c r="AI18" s="417">
        <f t="shared" si="11"/>
        <v>878.79616970799714</v>
      </c>
      <c r="AJ18" s="396">
        <f>+IFERROR(VLOOKUP($C18,'Kitsap Regulated - Price Out'!$C$10:$AG$39,31,FALSE),0)</f>
        <v>163.69122277278828</v>
      </c>
      <c r="AL18" s="411">
        <v>96</v>
      </c>
      <c r="AO18" s="411">
        <v>1</v>
      </c>
      <c r="AP18" s="416">
        <f t="shared" si="7"/>
        <v>1218.929088882697</v>
      </c>
      <c r="AQ18" s="416"/>
      <c r="AR18" s="417">
        <f>+IFERROR(VLOOKUP($C18,'[41]Kitsap Regulated - Price Out'!$C$10:$S$39,17,FALSE),0)</f>
        <v>63427.075000000004</v>
      </c>
      <c r="AS18" s="417">
        <f t="shared" si="12"/>
        <v>440963.30999999994</v>
      </c>
      <c r="AT18" s="414">
        <f t="shared" si="13"/>
        <v>37.673447663110174</v>
      </c>
      <c r="AU18" s="418">
        <f t="shared" si="8"/>
        <v>471289.13064092479</v>
      </c>
      <c r="AV18" s="418">
        <f t="shared" si="14"/>
        <v>30325.820640924852</v>
      </c>
      <c r="AW18" s="419">
        <f t="shared" si="9"/>
        <v>5.2624969631466192E-2</v>
      </c>
    </row>
    <row r="19" spans="1:49" s="393" customFormat="1">
      <c r="A19" s="393" t="str">
        <f t="shared" si="2"/>
        <v>MASON CO-REGULATEDResidential35RM1</v>
      </c>
      <c r="B19" s="393">
        <f t="shared" si="3"/>
        <v>1</v>
      </c>
      <c r="C19" s="398" t="s">
        <v>207</v>
      </c>
      <c r="D19" s="405" t="s">
        <v>208</v>
      </c>
      <c r="E19" s="406">
        <v>6.45</v>
      </c>
      <c r="F19" s="406">
        <v>6.49</v>
      </c>
      <c r="G19" s="406">
        <v>6.51</v>
      </c>
      <c r="H19" s="395"/>
      <c r="I19" s="396">
        <v>1522.2</v>
      </c>
      <c r="J19" s="396">
        <v>1573.825</v>
      </c>
      <c r="K19" s="396">
        <v>1586.8050000000001</v>
      </c>
      <c r="L19" s="396">
        <v>1609.52</v>
      </c>
      <c r="M19" s="396">
        <v>1622.5</v>
      </c>
      <c r="N19" s="396">
        <v>1609.52</v>
      </c>
      <c r="O19" s="396">
        <v>1628.99</v>
      </c>
      <c r="P19" s="396">
        <v>1577.07</v>
      </c>
      <c r="Q19" s="396">
        <v>1590.05</v>
      </c>
      <c r="R19" s="396">
        <v>1783.72</v>
      </c>
      <c r="S19" s="396">
        <v>1783.72</v>
      </c>
      <c r="T19" s="396">
        <v>1800.0150000000001</v>
      </c>
      <c r="U19" s="396">
        <f t="shared" si="4"/>
        <v>19687.934999999998</v>
      </c>
      <c r="V19" s="396"/>
      <c r="W19" s="396">
        <f t="shared" si="5"/>
        <v>236</v>
      </c>
      <c r="X19" s="396">
        <f t="shared" si="6"/>
        <v>242.5</v>
      </c>
      <c r="Y19" s="396">
        <f t="shared" si="6"/>
        <v>244.5</v>
      </c>
      <c r="Z19" s="396">
        <f t="shared" si="6"/>
        <v>248</v>
      </c>
      <c r="AA19" s="396">
        <f t="shared" si="6"/>
        <v>250</v>
      </c>
      <c r="AB19" s="396">
        <f t="shared" si="6"/>
        <v>248</v>
      </c>
      <c r="AC19" s="396">
        <f t="shared" si="6"/>
        <v>251</v>
      </c>
      <c r="AD19" s="396">
        <f t="shared" si="6"/>
        <v>242.99999999999997</v>
      </c>
      <c r="AE19" s="396">
        <f t="shared" si="6"/>
        <v>244.99999999999997</v>
      </c>
      <c r="AF19" s="396">
        <f t="shared" si="10"/>
        <v>273.99692780337944</v>
      </c>
      <c r="AG19" s="396">
        <f t="shared" si="10"/>
        <v>273.99692780337944</v>
      </c>
      <c r="AH19" s="396">
        <f t="shared" si="10"/>
        <v>276.5</v>
      </c>
      <c r="AI19" s="397">
        <f t="shared" si="11"/>
        <v>252.70782130056327</v>
      </c>
      <c r="AJ19" s="396">
        <f>+IFERROR(VLOOKUP($C19,'Kitsap Regulated - Price Out'!$C$10:$AG$39,31,FALSE),0)</f>
        <v>23.788019989195032</v>
      </c>
      <c r="AL19" s="393">
        <v>35</v>
      </c>
      <c r="AO19" s="393">
        <v>1</v>
      </c>
      <c r="AP19" s="396">
        <f t="shared" si="7"/>
        <v>276.5</v>
      </c>
      <c r="AQ19" s="396"/>
      <c r="AR19" s="407">
        <f>+IFERROR(VLOOKUP($C19,'[41]Kitsap Regulated - Price Out'!$C$10:$S$39,17,FALSE),0)</f>
        <v>1761.2649999999999</v>
      </c>
      <c r="AS19" s="407">
        <f t="shared" si="12"/>
        <v>21449.199999999997</v>
      </c>
      <c r="AT19" s="408">
        <f t="shared" si="13"/>
        <v>6.8334952434340268</v>
      </c>
      <c r="AU19" s="409">
        <f t="shared" si="8"/>
        <v>22673.196195394234</v>
      </c>
      <c r="AV19" s="409">
        <f t="shared" si="14"/>
        <v>1223.9961953942366</v>
      </c>
      <c r="AW19" s="410">
        <f t="shared" si="9"/>
        <v>5.2926847986752942E-2</v>
      </c>
    </row>
    <row r="20" spans="1:49" s="393" customFormat="1">
      <c r="A20" s="393" t="str">
        <f t="shared" si="2"/>
        <v>MASON CO-REGULATEDResidential48RM1</v>
      </c>
      <c r="B20" s="393">
        <f t="shared" si="3"/>
        <v>1</v>
      </c>
      <c r="C20" s="398" t="s">
        <v>209</v>
      </c>
      <c r="D20" s="405" t="s">
        <v>210</v>
      </c>
      <c r="E20" s="406">
        <v>8.08</v>
      </c>
      <c r="F20" s="406">
        <v>8.1300000000000008</v>
      </c>
      <c r="G20" s="406">
        <v>8.15</v>
      </c>
      <c r="H20" s="395"/>
      <c r="I20" s="396">
        <v>367.64</v>
      </c>
      <c r="J20" s="396">
        <v>353.65499999999997</v>
      </c>
      <c r="K20" s="396">
        <v>361.78499999999997</v>
      </c>
      <c r="L20" s="396">
        <v>353.65499999999997</v>
      </c>
      <c r="M20" s="396">
        <v>353.65499999999997</v>
      </c>
      <c r="N20" s="396">
        <v>349.59</v>
      </c>
      <c r="O20" s="396">
        <v>341.46</v>
      </c>
      <c r="P20" s="396">
        <v>353.65499999999997</v>
      </c>
      <c r="Q20" s="396">
        <v>353.65499999999997</v>
      </c>
      <c r="R20" s="396">
        <v>370.815</v>
      </c>
      <c r="S20" s="396">
        <v>362.66499999999996</v>
      </c>
      <c r="T20" s="396">
        <v>399.35</v>
      </c>
      <c r="U20" s="396">
        <f t="shared" si="4"/>
        <v>4321.58</v>
      </c>
      <c r="V20" s="396"/>
      <c r="W20" s="396">
        <f t="shared" si="5"/>
        <v>45.5</v>
      </c>
      <c r="X20" s="396">
        <f t="shared" si="6"/>
        <v>43.499999999999993</v>
      </c>
      <c r="Y20" s="396">
        <f t="shared" si="6"/>
        <v>44.499999999999993</v>
      </c>
      <c r="Z20" s="396">
        <f t="shared" si="6"/>
        <v>43.499999999999993</v>
      </c>
      <c r="AA20" s="396">
        <f t="shared" si="6"/>
        <v>43.499999999999993</v>
      </c>
      <c r="AB20" s="396">
        <f t="shared" si="6"/>
        <v>42.999999999999993</v>
      </c>
      <c r="AC20" s="396">
        <f t="shared" si="6"/>
        <v>41.999999999999993</v>
      </c>
      <c r="AD20" s="396">
        <f t="shared" si="6"/>
        <v>43.499999999999993</v>
      </c>
      <c r="AE20" s="396">
        <f t="shared" si="6"/>
        <v>43.499999999999993</v>
      </c>
      <c r="AF20" s="396">
        <f t="shared" si="10"/>
        <v>45.498773006134968</v>
      </c>
      <c r="AG20" s="396">
        <f t="shared" si="10"/>
        <v>44.498773006134961</v>
      </c>
      <c r="AH20" s="396">
        <f t="shared" si="10"/>
        <v>49</v>
      </c>
      <c r="AI20" s="397">
        <f t="shared" si="11"/>
        <v>44.291462167689161</v>
      </c>
      <c r="AJ20" s="396">
        <f>+IFERROR(VLOOKUP($C20,'Kitsap Regulated - Price Out'!$C$10:$AG$39,31,FALSE),0)</f>
        <v>1.7672488141440279</v>
      </c>
      <c r="AL20" s="393">
        <v>48</v>
      </c>
      <c r="AO20" s="393">
        <v>1</v>
      </c>
      <c r="AP20" s="396">
        <f t="shared" si="7"/>
        <v>49</v>
      </c>
      <c r="AQ20" s="396"/>
      <c r="AR20" s="407">
        <f>+IFERROR(VLOOKUP($C20,'[41]Kitsap Regulated - Price Out'!$C$10:$S$39,17,FALSE),0)</f>
        <v>163.92999999999998</v>
      </c>
      <c r="AS20" s="407">
        <f t="shared" si="12"/>
        <v>4485.51</v>
      </c>
      <c r="AT20" s="408">
        <f t="shared" si="13"/>
        <v>8.5549902049135671</v>
      </c>
      <c r="AU20" s="409">
        <f t="shared" si="8"/>
        <v>4728.3818556063343</v>
      </c>
      <c r="AV20" s="409">
        <f t="shared" si="14"/>
        <v>242.87185560633407</v>
      </c>
      <c r="AW20" s="410">
        <f t="shared" si="9"/>
        <v>5.2274317947548124E-2</v>
      </c>
    </row>
    <row r="21" spans="1:49" s="393" customFormat="1">
      <c r="A21" s="393" t="str">
        <f t="shared" si="2"/>
        <v>MASON CO-REGULATEDResidential64RM1</v>
      </c>
      <c r="B21" s="393">
        <f t="shared" si="3"/>
        <v>1</v>
      </c>
      <c r="C21" s="398" t="s">
        <v>211</v>
      </c>
      <c r="D21" s="405" t="s">
        <v>212</v>
      </c>
      <c r="E21" s="406">
        <v>9.5399999999999991</v>
      </c>
      <c r="F21" s="406">
        <v>9.6</v>
      </c>
      <c r="G21" s="406">
        <v>9.6300000000000008</v>
      </c>
      <c r="H21" s="395"/>
      <c r="I21" s="396">
        <v>357.75</v>
      </c>
      <c r="J21" s="396">
        <v>369.6</v>
      </c>
      <c r="K21" s="396">
        <v>379.20000000000005</v>
      </c>
      <c r="L21" s="396">
        <v>379.2</v>
      </c>
      <c r="M21" s="396">
        <v>379.2</v>
      </c>
      <c r="N21" s="396">
        <v>360</v>
      </c>
      <c r="O21" s="396">
        <v>360</v>
      </c>
      <c r="P21" s="396">
        <v>364.8</v>
      </c>
      <c r="Q21" s="396">
        <v>364.8</v>
      </c>
      <c r="R21" s="396">
        <v>471.84</v>
      </c>
      <c r="S21" s="396">
        <v>471.84</v>
      </c>
      <c r="T21" s="396">
        <v>486.315</v>
      </c>
      <c r="U21" s="396">
        <f t="shared" si="4"/>
        <v>4744.5450000000001</v>
      </c>
      <c r="V21" s="396"/>
      <c r="W21" s="396">
        <f t="shared" si="5"/>
        <v>37.5</v>
      </c>
      <c r="X21" s="396">
        <f t="shared" si="6"/>
        <v>38.500000000000007</v>
      </c>
      <c r="Y21" s="396">
        <f t="shared" si="6"/>
        <v>39.500000000000007</v>
      </c>
      <c r="Z21" s="396">
        <f t="shared" si="6"/>
        <v>39.5</v>
      </c>
      <c r="AA21" s="396">
        <f t="shared" si="6"/>
        <v>39.5</v>
      </c>
      <c r="AB21" s="396">
        <f t="shared" si="6"/>
        <v>37.5</v>
      </c>
      <c r="AC21" s="396">
        <f t="shared" si="6"/>
        <v>37.5</v>
      </c>
      <c r="AD21" s="396">
        <f t="shared" si="6"/>
        <v>38</v>
      </c>
      <c r="AE21" s="396">
        <f t="shared" si="6"/>
        <v>38</v>
      </c>
      <c r="AF21" s="396">
        <f t="shared" si="10"/>
        <v>48.996884735202485</v>
      </c>
      <c r="AG21" s="396">
        <f t="shared" si="10"/>
        <v>48.996884735202485</v>
      </c>
      <c r="AH21" s="396">
        <f t="shared" si="10"/>
        <v>50.499999999999993</v>
      </c>
      <c r="AI21" s="397">
        <f t="shared" si="11"/>
        <v>41.166147455867076</v>
      </c>
      <c r="AJ21" s="396">
        <f>+IFERROR(VLOOKUP($C21,'Kitsap Regulated - Price Out'!$C$10:$AG$39,31,FALSE),0)</f>
        <v>5.9834801762114536</v>
      </c>
      <c r="AL21" s="393">
        <v>64</v>
      </c>
      <c r="AO21" s="393">
        <v>1</v>
      </c>
      <c r="AP21" s="396">
        <f t="shared" si="7"/>
        <v>50.499999999999993</v>
      </c>
      <c r="AQ21" s="396"/>
      <c r="AR21" s="407">
        <f>+IFERROR(VLOOKUP($C21,'[41]Kitsap Regulated - Price Out'!$C$10:$S$39,17,FALSE),0)</f>
        <v>651.96000000000015</v>
      </c>
      <c r="AS21" s="407">
        <f t="shared" si="12"/>
        <v>5396.5050000000001</v>
      </c>
      <c r="AT21" s="408">
        <f t="shared" si="13"/>
        <v>10.108534438443884</v>
      </c>
      <c r="AU21" s="409">
        <f t="shared" si="8"/>
        <v>5719.3636161440545</v>
      </c>
      <c r="AV21" s="409">
        <f t="shared" si="14"/>
        <v>322.85861614405439</v>
      </c>
      <c r="AW21" s="410">
        <f t="shared" si="9"/>
        <v>5.2972337337904671E-2</v>
      </c>
    </row>
    <row r="22" spans="1:49" s="393" customFormat="1">
      <c r="A22" s="393" t="str">
        <f t="shared" si="2"/>
        <v>MASON CO-REGULATEDResidential96RM1</v>
      </c>
      <c r="B22" s="393">
        <f t="shared" si="3"/>
        <v>1</v>
      </c>
      <c r="C22" s="398" t="s">
        <v>213</v>
      </c>
      <c r="D22" s="405" t="s">
        <v>214</v>
      </c>
      <c r="E22" s="406">
        <v>11.77</v>
      </c>
      <c r="F22" s="406">
        <v>11.85</v>
      </c>
      <c r="G22" s="406">
        <v>11.88</v>
      </c>
      <c r="H22" s="395"/>
      <c r="I22" s="396">
        <v>435.48999999999995</v>
      </c>
      <c r="J22" s="396">
        <v>450.3</v>
      </c>
      <c r="K22" s="396">
        <v>404.03000000000003</v>
      </c>
      <c r="L22" s="396">
        <v>432.52499999999998</v>
      </c>
      <c r="M22" s="396">
        <v>432.52499999999998</v>
      </c>
      <c r="N22" s="396">
        <v>385.125</v>
      </c>
      <c r="O22" s="396">
        <v>396.97500000000002</v>
      </c>
      <c r="P22" s="396">
        <v>396.97500000000002</v>
      </c>
      <c r="Q22" s="396">
        <v>396.97500000000002</v>
      </c>
      <c r="R22" s="396">
        <v>481.09500000000003</v>
      </c>
      <c r="S22" s="396">
        <v>504.85500000000002</v>
      </c>
      <c r="T22" s="396">
        <v>504.9</v>
      </c>
      <c r="U22" s="396">
        <f t="shared" si="4"/>
        <v>5221.7699999999986</v>
      </c>
      <c r="V22" s="396"/>
      <c r="W22" s="396">
        <f t="shared" si="5"/>
        <v>37</v>
      </c>
      <c r="X22" s="396">
        <f t="shared" si="6"/>
        <v>38</v>
      </c>
      <c r="Y22" s="396">
        <f t="shared" si="6"/>
        <v>34.095358649789034</v>
      </c>
      <c r="Z22" s="396">
        <f t="shared" si="6"/>
        <v>36.5</v>
      </c>
      <c r="AA22" s="396">
        <f t="shared" si="6"/>
        <v>36.5</v>
      </c>
      <c r="AB22" s="396">
        <f t="shared" si="6"/>
        <v>32.5</v>
      </c>
      <c r="AC22" s="396">
        <f t="shared" si="6"/>
        <v>33.5</v>
      </c>
      <c r="AD22" s="396">
        <f t="shared" si="6"/>
        <v>33.5</v>
      </c>
      <c r="AE22" s="396">
        <f t="shared" si="6"/>
        <v>33.5</v>
      </c>
      <c r="AF22" s="396">
        <f t="shared" si="10"/>
        <v>40.496212121212118</v>
      </c>
      <c r="AG22" s="396">
        <f t="shared" si="10"/>
        <v>42.496212121212118</v>
      </c>
      <c r="AH22" s="396">
        <f t="shared" si="10"/>
        <v>42.499999999999993</v>
      </c>
      <c r="AI22" s="397">
        <f t="shared" si="11"/>
        <v>36.715648574351107</v>
      </c>
      <c r="AJ22" s="396">
        <f>+IFERROR(VLOOKUP($C22,'Kitsap Regulated - Price Out'!$C$10:$AG$39,31,FALSE),0)</f>
        <v>4.0547062350119907</v>
      </c>
      <c r="AL22" s="393">
        <v>96</v>
      </c>
      <c r="AO22" s="393">
        <v>1</v>
      </c>
      <c r="AP22" s="396">
        <f t="shared" si="7"/>
        <v>42.499999999999993</v>
      </c>
      <c r="AQ22" s="396"/>
      <c r="AR22" s="407">
        <f>+IFERROR(VLOOKUP($C22,'[41]Kitsap Regulated - Price Out'!$C$10:$S$39,17,FALSE),0)</f>
        <v>541.05999999999995</v>
      </c>
      <c r="AS22" s="407">
        <f t="shared" si="12"/>
        <v>5762.8299999999981</v>
      </c>
      <c r="AT22" s="408">
        <f t="shared" si="13"/>
        <v>12.470341550229838</v>
      </c>
      <c r="AU22" s="409">
        <f t="shared" si="8"/>
        <v>6101.0429951617625</v>
      </c>
      <c r="AV22" s="409">
        <f t="shared" si="14"/>
        <v>338.21299516176441</v>
      </c>
      <c r="AW22" s="410">
        <f t="shared" si="9"/>
        <v>5.2349497909691005E-2</v>
      </c>
    </row>
    <row r="23" spans="1:49" s="393" customFormat="1">
      <c r="A23" s="393" t="str">
        <f t="shared" si="2"/>
        <v>MASON CO-REGULATEDResidentialEXPUR</v>
      </c>
      <c r="B23" s="393">
        <f t="shared" si="3"/>
        <v>1</v>
      </c>
      <c r="C23" s="398" t="s">
        <v>215</v>
      </c>
      <c r="D23" s="405" t="s">
        <v>216</v>
      </c>
      <c r="E23" s="406">
        <v>4.51</v>
      </c>
      <c r="F23" s="406">
        <v>4.55</v>
      </c>
      <c r="G23" s="406">
        <v>4.5599999999999996</v>
      </c>
      <c r="H23" s="395"/>
      <c r="I23" s="396">
        <v>687.88</v>
      </c>
      <c r="J23" s="396">
        <v>361.76</v>
      </c>
      <c r="K23" s="396">
        <v>257.22000000000003</v>
      </c>
      <c r="L23" s="396">
        <v>291.23</v>
      </c>
      <c r="M23" s="396">
        <v>452.49</v>
      </c>
      <c r="N23" s="396">
        <v>714.44</v>
      </c>
      <c r="O23" s="396">
        <v>809.93000000000006</v>
      </c>
      <c r="P23" s="396">
        <v>1437.98</v>
      </c>
      <c r="Q23" s="396">
        <v>1365.1599999999999</v>
      </c>
      <c r="R23" s="396">
        <v>1528.48</v>
      </c>
      <c r="S23" s="396">
        <v>1281.4099999999999</v>
      </c>
      <c r="T23" s="396">
        <v>1279.08</v>
      </c>
      <c r="U23" s="396">
        <f t="shared" si="4"/>
        <v>10467.06</v>
      </c>
      <c r="V23" s="396"/>
      <c r="W23" s="396">
        <f t="shared" si="5"/>
        <v>152.52328159645234</v>
      </c>
      <c r="X23" s="396">
        <f t="shared" si="6"/>
        <v>79.507692307692309</v>
      </c>
      <c r="Y23" s="396">
        <f t="shared" si="6"/>
        <v>56.531868131868137</v>
      </c>
      <c r="Z23" s="396">
        <f t="shared" si="6"/>
        <v>64.00659340659341</v>
      </c>
      <c r="AA23" s="396">
        <f t="shared" si="6"/>
        <v>99.448351648351661</v>
      </c>
      <c r="AB23" s="396">
        <f t="shared" si="6"/>
        <v>157.01978021978024</v>
      </c>
      <c r="AC23" s="396">
        <f t="shared" si="6"/>
        <v>178.00659340659342</v>
      </c>
      <c r="AD23" s="396">
        <f t="shared" si="6"/>
        <v>316.03956043956043</v>
      </c>
      <c r="AE23" s="396">
        <f t="shared" si="6"/>
        <v>300.03516483516484</v>
      </c>
      <c r="AF23" s="396">
        <f t="shared" si="10"/>
        <v>335.19298245614038</v>
      </c>
      <c r="AG23" s="396">
        <f t="shared" si="10"/>
        <v>281.01096491228071</v>
      </c>
      <c r="AH23" s="396">
        <f t="shared" si="10"/>
        <v>280.5</v>
      </c>
      <c r="AI23" s="397">
        <f t="shared" si="11"/>
        <v>191.65190278003979</v>
      </c>
      <c r="AJ23" s="396">
        <f>+IFERROR(VLOOKUP($C23,'Kitsap Regulated - Price Out'!$C$10:$AG$39,31,FALSE),0)</f>
        <v>18.79084249084249</v>
      </c>
      <c r="AR23" s="407">
        <f>+IFERROR(VLOOKUP($C23,'[41]Kitsap Regulated - Price Out'!$C$10:$S$39,17,FALSE),0)</f>
        <v>1025.98</v>
      </c>
      <c r="AS23" s="407">
        <f t="shared" si="12"/>
        <v>11493.039999999999</v>
      </c>
      <c r="AT23" s="408">
        <f t="shared" si="13"/>
        <v>4.7865957465528668</v>
      </c>
      <c r="AU23" s="409">
        <f t="shared" si="8"/>
        <v>12087.652192878162</v>
      </c>
      <c r="AV23" s="409">
        <f t="shared" si="14"/>
        <v>594.61219287816311</v>
      </c>
      <c r="AW23" s="410">
        <f t="shared" si="9"/>
        <v>5.1999065176454279E-2</v>
      </c>
    </row>
    <row r="24" spans="1:49" s="393" customFormat="1">
      <c r="A24" s="393" t="str">
        <f t="shared" si="2"/>
        <v>MASON CO-REGULATEDResidentialEXTRAR</v>
      </c>
      <c r="B24" s="393">
        <f t="shared" si="3"/>
        <v>1</v>
      </c>
      <c r="C24" s="398" t="s">
        <v>217</v>
      </c>
      <c r="D24" s="405" t="s">
        <v>218</v>
      </c>
      <c r="E24" s="406">
        <v>4.51</v>
      </c>
      <c r="F24" s="406">
        <v>4.55</v>
      </c>
      <c r="G24" s="406">
        <v>4.5599999999999996</v>
      </c>
      <c r="H24" s="395"/>
      <c r="I24" s="396">
        <v>2462.46</v>
      </c>
      <c r="J24" s="396">
        <v>2274</v>
      </c>
      <c r="K24" s="396">
        <v>1619.8400000000001</v>
      </c>
      <c r="L24" s="396">
        <v>1838.21</v>
      </c>
      <c r="M24" s="396">
        <v>3275.11</v>
      </c>
      <c r="N24" s="396">
        <v>3214.5800000000004</v>
      </c>
      <c r="O24" s="396">
        <v>2429.96</v>
      </c>
      <c r="P24" s="396">
        <v>4418.05</v>
      </c>
      <c r="Q24" s="396">
        <v>4482.04</v>
      </c>
      <c r="R24" s="396">
        <v>4702.9000000000005</v>
      </c>
      <c r="S24" s="396">
        <v>3898.86</v>
      </c>
      <c r="T24" s="396">
        <v>3207.9700000000003</v>
      </c>
      <c r="U24" s="396">
        <f t="shared" si="4"/>
        <v>37823.980000000003</v>
      </c>
      <c r="V24" s="396"/>
      <c r="W24" s="396">
        <f t="shared" si="5"/>
        <v>546</v>
      </c>
      <c r="X24" s="396">
        <f t="shared" si="6"/>
        <v>499.7802197802198</v>
      </c>
      <c r="Y24" s="396">
        <f t="shared" si="6"/>
        <v>356.00879120879125</v>
      </c>
      <c r="Z24" s="396">
        <f t="shared" si="6"/>
        <v>404.00219780219783</v>
      </c>
      <c r="AA24" s="396">
        <f t="shared" si="6"/>
        <v>719.80439560439561</v>
      </c>
      <c r="AB24" s="396">
        <f t="shared" si="6"/>
        <v>706.501098901099</v>
      </c>
      <c r="AC24" s="396">
        <f t="shared" si="6"/>
        <v>534.05714285714294</v>
      </c>
      <c r="AD24" s="396">
        <f t="shared" si="6"/>
        <v>971.00000000000011</v>
      </c>
      <c r="AE24" s="396">
        <f t="shared" si="6"/>
        <v>985.06373626373625</v>
      </c>
      <c r="AF24" s="396">
        <f t="shared" si="10"/>
        <v>1031.3377192982459</v>
      </c>
      <c r="AG24" s="396">
        <f t="shared" si="10"/>
        <v>855.01315789473699</v>
      </c>
      <c r="AH24" s="396">
        <f t="shared" si="10"/>
        <v>703.50219298245622</v>
      </c>
      <c r="AI24" s="397">
        <f t="shared" si="11"/>
        <v>692.67255438275185</v>
      </c>
      <c r="AJ24" s="396">
        <f>+IFERROR(VLOOKUP($C24,'Kitsap Regulated - Price Out'!$C$10:$AG$39,31,FALSE),0)</f>
        <v>135.02326007326008</v>
      </c>
      <c r="AR24" s="407">
        <f>+IFERROR(VLOOKUP($C24,'[41]Kitsap Regulated - Price Out'!$C$10:$S$39,17,FALSE),0)</f>
        <v>7372.27</v>
      </c>
      <c r="AS24" s="407">
        <f t="shared" si="12"/>
        <v>45196.25</v>
      </c>
      <c r="AT24" s="408">
        <f t="shared" si="13"/>
        <v>4.7865957465528668</v>
      </c>
      <c r="AU24" s="409">
        <f t="shared" si="8"/>
        <v>47542.143178977087</v>
      </c>
      <c r="AV24" s="409">
        <f t="shared" si="14"/>
        <v>2345.8931789770868</v>
      </c>
      <c r="AW24" s="410">
        <f t="shared" si="9"/>
        <v>5.1999065176454279E-2</v>
      </c>
    </row>
    <row r="25" spans="1:49" s="393" customFormat="1">
      <c r="A25" s="393" t="str">
        <f t="shared" si="2"/>
        <v>MASON CO-REGULATEDResidential35ROCC1</v>
      </c>
      <c r="B25" s="393">
        <f t="shared" si="3"/>
        <v>1</v>
      </c>
      <c r="C25" s="398" t="s">
        <v>219</v>
      </c>
      <c r="D25" s="405" t="s">
        <v>220</v>
      </c>
      <c r="E25" s="406">
        <v>6.45</v>
      </c>
      <c r="F25" s="406">
        <v>6.49</v>
      </c>
      <c r="G25" s="406">
        <v>6.51</v>
      </c>
      <c r="H25" s="395"/>
      <c r="I25" s="396">
        <v>1915.65</v>
      </c>
      <c r="J25" s="396">
        <v>1886.3700000000001</v>
      </c>
      <c r="K25" s="396">
        <v>1791.24</v>
      </c>
      <c r="L25" s="396">
        <v>2024.88</v>
      </c>
      <c r="M25" s="396">
        <v>2647.92</v>
      </c>
      <c r="N25" s="396">
        <v>2827.7</v>
      </c>
      <c r="O25" s="396">
        <v>2920.5</v>
      </c>
      <c r="P25" s="396">
        <v>4276.91</v>
      </c>
      <c r="Q25" s="396">
        <v>4075.7200000000003</v>
      </c>
      <c r="R25" s="396">
        <v>3935.35</v>
      </c>
      <c r="S25" s="396">
        <v>2916.48</v>
      </c>
      <c r="T25" s="396">
        <v>2480.31</v>
      </c>
      <c r="U25" s="396">
        <f t="shared" si="4"/>
        <v>33699.03</v>
      </c>
      <c r="V25" s="396"/>
      <c r="W25" s="396">
        <f t="shared" si="5"/>
        <v>297</v>
      </c>
      <c r="X25" s="396">
        <f t="shared" si="6"/>
        <v>290.65793528505395</v>
      </c>
      <c r="Y25" s="396">
        <f t="shared" si="6"/>
        <v>276</v>
      </c>
      <c r="Z25" s="396">
        <f t="shared" si="6"/>
        <v>312</v>
      </c>
      <c r="AA25" s="396">
        <f t="shared" si="6"/>
        <v>408</v>
      </c>
      <c r="AB25" s="396">
        <f t="shared" si="6"/>
        <v>435.70107858243449</v>
      </c>
      <c r="AC25" s="396">
        <f t="shared" si="6"/>
        <v>450</v>
      </c>
      <c r="AD25" s="396">
        <f t="shared" si="6"/>
        <v>659</v>
      </c>
      <c r="AE25" s="396">
        <f t="shared" si="6"/>
        <v>628</v>
      </c>
      <c r="AF25" s="396">
        <f t="shared" si="10"/>
        <v>604.50844854070658</v>
      </c>
      <c r="AG25" s="396">
        <f t="shared" si="10"/>
        <v>448</v>
      </c>
      <c r="AH25" s="396">
        <f t="shared" si="10"/>
        <v>381</v>
      </c>
      <c r="AI25" s="397">
        <f t="shared" si="11"/>
        <v>432.48895520068294</v>
      </c>
      <c r="AJ25" s="396">
        <f>+IFERROR(VLOOKUP($C25,'Kitsap Regulated - Price Out'!$C$10:$AG$39,31,FALSE),0)</f>
        <v>44.832562917308678</v>
      </c>
      <c r="AL25" s="393">
        <v>35</v>
      </c>
      <c r="AO25" s="393">
        <v>1</v>
      </c>
      <c r="AP25" s="396">
        <f>+AH25*AO25</f>
        <v>381</v>
      </c>
      <c r="AQ25" s="396"/>
      <c r="AR25" s="407">
        <f>+IFERROR(VLOOKUP($C25,'[41]Kitsap Regulated - Price Out'!$C$10:$S$39,17,FALSE),0)</f>
        <v>3491.5599999999995</v>
      </c>
      <c r="AS25" s="407">
        <f t="shared" si="12"/>
        <v>37190.589999999997</v>
      </c>
      <c r="AT25" s="408">
        <f t="shared" si="13"/>
        <v>6.8334952434340268</v>
      </c>
      <c r="AU25" s="409">
        <f t="shared" si="8"/>
        <v>39141.291883776052</v>
      </c>
      <c r="AV25" s="409">
        <f t="shared" si="14"/>
        <v>1950.7018837760552</v>
      </c>
      <c r="AW25" s="410">
        <f t="shared" si="9"/>
        <v>5.2926847986752942E-2</v>
      </c>
    </row>
    <row r="26" spans="1:49" s="393" customFormat="1">
      <c r="A26" s="393" t="str">
        <f t="shared" si="2"/>
        <v>MASON CO-REGULATEDResidential48ROCC1</v>
      </c>
      <c r="B26" s="393">
        <f t="shared" si="3"/>
        <v>1</v>
      </c>
      <c r="C26" s="398" t="s">
        <v>221</v>
      </c>
      <c r="D26" s="405" t="s">
        <v>222</v>
      </c>
      <c r="E26" s="406">
        <v>8.08</v>
      </c>
      <c r="F26" s="406">
        <v>8.1300000000000008</v>
      </c>
      <c r="G26" s="406">
        <v>8.15</v>
      </c>
      <c r="H26" s="395"/>
      <c r="I26" s="396">
        <v>168.96</v>
      </c>
      <c r="J26" s="396">
        <v>203.25</v>
      </c>
      <c r="K26" s="396">
        <v>130.08000000000001</v>
      </c>
      <c r="L26" s="396">
        <v>203.25</v>
      </c>
      <c r="M26" s="396">
        <v>276.42</v>
      </c>
      <c r="N26" s="396">
        <v>382.11</v>
      </c>
      <c r="O26" s="396">
        <v>430.89</v>
      </c>
      <c r="P26" s="396">
        <v>520.32000000000005</v>
      </c>
      <c r="Q26" s="396">
        <v>650.4</v>
      </c>
      <c r="R26" s="396">
        <v>578.67000000000007</v>
      </c>
      <c r="S26" s="396">
        <v>448.25</v>
      </c>
      <c r="T26" s="396">
        <v>317.85000000000002</v>
      </c>
      <c r="U26" s="396">
        <f t="shared" si="4"/>
        <v>4310.4500000000007</v>
      </c>
      <c r="V26" s="396"/>
      <c r="W26" s="396">
        <f t="shared" si="5"/>
        <v>20.910891089108912</v>
      </c>
      <c r="X26" s="396">
        <f t="shared" si="6"/>
        <v>24.999999999999996</v>
      </c>
      <c r="Y26" s="396">
        <f t="shared" si="6"/>
        <v>16</v>
      </c>
      <c r="Z26" s="396">
        <f t="shared" si="6"/>
        <v>24.999999999999996</v>
      </c>
      <c r="AA26" s="396">
        <f t="shared" si="6"/>
        <v>34</v>
      </c>
      <c r="AB26" s="396">
        <f t="shared" si="6"/>
        <v>47</v>
      </c>
      <c r="AC26" s="396">
        <f t="shared" si="6"/>
        <v>52.999999999999993</v>
      </c>
      <c r="AD26" s="396">
        <f t="shared" si="6"/>
        <v>64</v>
      </c>
      <c r="AE26" s="396">
        <f t="shared" si="6"/>
        <v>79.999999999999986</v>
      </c>
      <c r="AF26" s="396">
        <f t="shared" si="10"/>
        <v>71.002453987730064</v>
      </c>
      <c r="AG26" s="396">
        <f t="shared" si="10"/>
        <v>55</v>
      </c>
      <c r="AH26" s="396">
        <f t="shared" si="10"/>
        <v>39</v>
      </c>
      <c r="AI26" s="397">
        <f t="shared" si="11"/>
        <v>44.159445423069911</v>
      </c>
      <c r="AJ26" s="396">
        <f>+IFERROR(VLOOKUP($C26,'Kitsap Regulated - Price Out'!$C$10:$AG$39,31,FALSE),0)</f>
        <v>8.4889298892988929</v>
      </c>
      <c r="AL26" s="393">
        <v>48</v>
      </c>
      <c r="AO26" s="393">
        <v>1</v>
      </c>
      <c r="AP26" s="396">
        <f>+AH26*AO26</f>
        <v>39</v>
      </c>
      <c r="AQ26" s="396"/>
      <c r="AR26" s="407">
        <f>+IFERROR(VLOOKUP($C26,'[41]Kitsap Regulated - Price Out'!$C$10:$S$39,17,FALSE),0)</f>
        <v>828.18</v>
      </c>
      <c r="AS26" s="407">
        <f t="shared" si="12"/>
        <v>5138.630000000001</v>
      </c>
      <c r="AT26" s="408">
        <f t="shared" si="13"/>
        <v>8.5549902049135671</v>
      </c>
      <c r="AU26" s="409">
        <f t="shared" si="8"/>
        <v>5404.8760212231409</v>
      </c>
      <c r="AV26" s="409">
        <f t="shared" si="14"/>
        <v>266.24602122313991</v>
      </c>
      <c r="AW26" s="410">
        <f t="shared" si="9"/>
        <v>5.2274317947548124E-2</v>
      </c>
    </row>
    <row r="27" spans="1:49" s="411" customFormat="1">
      <c r="A27" s="411" t="str">
        <f t="shared" si="2"/>
        <v>MASON CO-REGULATEDResidential64ROCC1</v>
      </c>
      <c r="B27" s="411">
        <f t="shared" si="3"/>
        <v>1</v>
      </c>
      <c r="C27" s="412" t="s">
        <v>223</v>
      </c>
      <c r="D27" s="413" t="s">
        <v>224</v>
      </c>
      <c r="E27" s="414">
        <v>9.5399999999999991</v>
      </c>
      <c r="F27" s="414">
        <v>9.6</v>
      </c>
      <c r="G27" s="414">
        <v>9.6300000000000008</v>
      </c>
      <c r="H27" s="415"/>
      <c r="I27" s="416">
        <v>248.13</v>
      </c>
      <c r="J27" s="416">
        <v>335.96999999999997</v>
      </c>
      <c r="K27" s="416">
        <v>259.23</v>
      </c>
      <c r="L27" s="416">
        <v>273.38</v>
      </c>
      <c r="M27" s="416">
        <v>393.63</v>
      </c>
      <c r="N27" s="416">
        <v>470.43</v>
      </c>
      <c r="O27" s="416">
        <v>422.43</v>
      </c>
      <c r="P27" s="416">
        <v>681.63</v>
      </c>
      <c r="Q27" s="416">
        <v>585.63</v>
      </c>
      <c r="R27" s="416">
        <v>616.32000000000005</v>
      </c>
      <c r="S27" s="416">
        <v>394.83</v>
      </c>
      <c r="T27" s="416">
        <v>317.78999999999996</v>
      </c>
      <c r="U27" s="416">
        <f t="shared" si="4"/>
        <v>4999.4000000000005</v>
      </c>
      <c r="V27" s="416"/>
      <c r="W27" s="416">
        <f t="shared" si="5"/>
        <v>26.009433962264154</v>
      </c>
      <c r="X27" s="416">
        <f t="shared" si="6"/>
        <v>34.996874999999996</v>
      </c>
      <c r="Y27" s="416">
        <f t="shared" si="6"/>
        <v>27.003125000000004</v>
      </c>
      <c r="Z27" s="416">
        <f t="shared" si="6"/>
        <v>28.477083333333333</v>
      </c>
      <c r="AA27" s="416">
        <f t="shared" si="6"/>
        <v>41.003125000000004</v>
      </c>
      <c r="AB27" s="416">
        <f t="shared" si="6"/>
        <v>49.003125000000004</v>
      </c>
      <c r="AC27" s="416">
        <f t="shared" si="6"/>
        <v>44.003125000000004</v>
      </c>
      <c r="AD27" s="416">
        <f t="shared" si="6"/>
        <v>71.003124999999997</v>
      </c>
      <c r="AE27" s="416">
        <f t="shared" si="6"/>
        <v>61.003125000000004</v>
      </c>
      <c r="AF27" s="416">
        <f t="shared" si="10"/>
        <v>64</v>
      </c>
      <c r="AG27" s="416">
        <f t="shared" si="10"/>
        <v>40.999999999999993</v>
      </c>
      <c r="AH27" s="416">
        <f t="shared" si="10"/>
        <v>32.999999999999993</v>
      </c>
      <c r="AI27" s="417">
        <f t="shared" si="11"/>
        <v>43.375178524633128</v>
      </c>
      <c r="AJ27" s="396">
        <f>+IFERROR(VLOOKUP($C27,'Kitsap Regulated - Price Out'!$C$10:$AG$39,31,FALSE),0)</f>
        <v>3.6618055555555551</v>
      </c>
      <c r="AL27" s="411">
        <v>64</v>
      </c>
      <c r="AO27" s="411">
        <v>1</v>
      </c>
      <c r="AP27" s="416">
        <f>+AH27*AO27</f>
        <v>32.999999999999993</v>
      </c>
      <c r="AQ27" s="416"/>
      <c r="AR27" s="417">
        <f>+IFERROR(VLOOKUP($C27,'[41]Kitsap Regulated - Price Out'!$C$10:$S$39,17,FALSE),0)</f>
        <v>421.84000000000003</v>
      </c>
      <c r="AS27" s="417">
        <f t="shared" si="12"/>
        <v>5421.2400000000007</v>
      </c>
      <c r="AT27" s="414">
        <f t="shared" si="13"/>
        <v>10.108534438443884</v>
      </c>
      <c r="AU27" s="418">
        <f t="shared" si="8"/>
        <v>5705.6996814614886</v>
      </c>
      <c r="AV27" s="418">
        <f t="shared" si="14"/>
        <v>284.45968146148789</v>
      </c>
      <c r="AW27" s="419">
        <f t="shared" si="9"/>
        <v>5.2972337337904671E-2</v>
      </c>
    </row>
    <row r="28" spans="1:49" s="411" customFormat="1">
      <c r="A28" s="411" t="str">
        <f t="shared" si="2"/>
        <v>MASON CO-REGULATEDResidential96ROCC1</v>
      </c>
      <c r="B28" s="411">
        <f t="shared" si="3"/>
        <v>1</v>
      </c>
      <c r="C28" s="412" t="s">
        <v>225</v>
      </c>
      <c r="D28" s="413" t="s">
        <v>226</v>
      </c>
      <c r="E28" s="414">
        <v>11.77</v>
      </c>
      <c r="F28" s="414">
        <v>11.85</v>
      </c>
      <c r="G28" s="414">
        <v>11.88</v>
      </c>
      <c r="H28" s="415"/>
      <c r="I28" s="416">
        <v>729.85</v>
      </c>
      <c r="J28" s="416">
        <v>710.63</v>
      </c>
      <c r="K28" s="416">
        <v>509.58000000000004</v>
      </c>
      <c r="L28" s="416">
        <v>746.57999999999993</v>
      </c>
      <c r="M28" s="416">
        <v>841.38</v>
      </c>
      <c r="N28" s="416">
        <v>1048.7550000000001</v>
      </c>
      <c r="O28" s="416">
        <v>1036.9050000000002</v>
      </c>
      <c r="P28" s="416">
        <v>1499.0550000000001</v>
      </c>
      <c r="Q28" s="416">
        <v>1416.1050000000002</v>
      </c>
      <c r="R28" s="416">
        <v>1467.24</v>
      </c>
      <c r="S28" s="416">
        <v>1075.2</v>
      </c>
      <c r="T28" s="416">
        <v>861.3</v>
      </c>
      <c r="U28" s="416">
        <f t="shared" si="4"/>
        <v>11942.58</v>
      </c>
      <c r="V28" s="416"/>
      <c r="W28" s="416">
        <f t="shared" si="5"/>
        <v>62.00934579439253</v>
      </c>
      <c r="X28" s="416">
        <f t="shared" si="6"/>
        <v>59.968776371308017</v>
      </c>
      <c r="Y28" s="416">
        <f t="shared" si="6"/>
        <v>43.002531645569626</v>
      </c>
      <c r="Z28" s="416">
        <f t="shared" si="6"/>
        <v>63.002531645569618</v>
      </c>
      <c r="AA28" s="416">
        <f t="shared" si="6"/>
        <v>71.002531645569618</v>
      </c>
      <c r="AB28" s="416">
        <f t="shared" si="6"/>
        <v>88.502531645569633</v>
      </c>
      <c r="AC28" s="416">
        <f t="shared" si="6"/>
        <v>87.502531645569633</v>
      </c>
      <c r="AD28" s="416">
        <f t="shared" si="6"/>
        <v>126.50253164556963</v>
      </c>
      <c r="AE28" s="416">
        <f t="shared" si="6"/>
        <v>119.50253164556965</v>
      </c>
      <c r="AF28" s="416">
        <f t="shared" si="10"/>
        <v>123.50505050505049</v>
      </c>
      <c r="AG28" s="416">
        <f t="shared" si="10"/>
        <v>90.505050505050505</v>
      </c>
      <c r="AH28" s="416">
        <f t="shared" si="10"/>
        <v>72.499999999999986</v>
      </c>
      <c r="AI28" s="417">
        <f t="shared" si="11"/>
        <v>83.958828724565748</v>
      </c>
      <c r="AJ28" s="396">
        <f>+IFERROR(VLOOKUP($C28,'Kitsap Regulated - Price Out'!$C$10:$AG$39,31,FALSE),0)</f>
        <v>8.0008438818565413</v>
      </c>
      <c r="AL28" s="411">
        <v>96</v>
      </c>
      <c r="AO28" s="411">
        <v>1</v>
      </c>
      <c r="AP28" s="416">
        <f>+AH28*AO28</f>
        <v>72.499999999999986</v>
      </c>
      <c r="AQ28" s="416"/>
      <c r="AR28" s="417">
        <f>+IFERROR(VLOOKUP($C28,'[41]Kitsap Regulated - Price Out'!$C$10:$S$39,17,FALSE),0)</f>
        <v>1137.72</v>
      </c>
      <c r="AS28" s="417">
        <f t="shared" si="12"/>
        <v>13080.3</v>
      </c>
      <c r="AT28" s="414">
        <f t="shared" si="13"/>
        <v>12.470341550229838</v>
      </c>
      <c r="AU28" s="418">
        <f t="shared" si="8"/>
        <v>13761.222314992807</v>
      </c>
      <c r="AV28" s="418">
        <f t="shared" si="14"/>
        <v>680.92231499280751</v>
      </c>
      <c r="AW28" s="419">
        <f t="shared" si="9"/>
        <v>5.2349497909691005E-2</v>
      </c>
    </row>
    <row r="29" spans="1:49" s="223" customFormat="1">
      <c r="A29" s="223" t="str">
        <f t="shared" si="2"/>
        <v>MASON CO-REGULATEDResidentialDRVNRE1</v>
      </c>
      <c r="B29" s="223">
        <f t="shared" si="3"/>
        <v>1</v>
      </c>
      <c r="C29" s="59" t="s">
        <v>227</v>
      </c>
      <c r="D29" s="252" t="s">
        <v>228</v>
      </c>
      <c r="E29" s="253">
        <v>2.41</v>
      </c>
      <c r="F29" s="253">
        <v>2.41</v>
      </c>
      <c r="G29" s="253">
        <f>1.11*2.17</f>
        <v>2.4087000000000001</v>
      </c>
      <c r="H29" s="254"/>
      <c r="I29" s="255">
        <v>199.43500000000003</v>
      </c>
      <c r="J29" s="255">
        <v>201.23500000000001</v>
      </c>
      <c r="K29" s="255">
        <v>198.82500000000002</v>
      </c>
      <c r="L29" s="255">
        <v>202.44</v>
      </c>
      <c r="M29" s="255">
        <v>201.23</v>
      </c>
      <c r="N29" s="255">
        <v>199.43</v>
      </c>
      <c r="O29" s="255">
        <v>201.84</v>
      </c>
      <c r="P29" s="255">
        <v>194.73</v>
      </c>
      <c r="Q29" s="255">
        <v>189.91</v>
      </c>
      <c r="R29" s="255">
        <v>221.72</v>
      </c>
      <c r="S29" s="255">
        <v>228.46</v>
      </c>
      <c r="T29" s="255">
        <v>228.95</v>
      </c>
      <c r="U29" s="255">
        <f t="shared" si="4"/>
        <v>2468.2049999999999</v>
      </c>
      <c r="V29" s="255"/>
      <c r="W29" s="255">
        <f t="shared" si="5"/>
        <v>82.753112033195023</v>
      </c>
      <c r="X29" s="255">
        <f t="shared" si="6"/>
        <v>83.5</v>
      </c>
      <c r="Y29" s="255">
        <f t="shared" si="6"/>
        <v>82.5</v>
      </c>
      <c r="Z29" s="255">
        <f t="shared" si="6"/>
        <v>84</v>
      </c>
      <c r="AA29" s="255">
        <f t="shared" si="6"/>
        <v>83.497925311203304</v>
      </c>
      <c r="AB29" s="255">
        <f t="shared" si="6"/>
        <v>82.751037344398341</v>
      </c>
      <c r="AC29" s="255">
        <f t="shared" si="6"/>
        <v>83.751037344398341</v>
      </c>
      <c r="AD29" s="255">
        <f t="shared" si="6"/>
        <v>80.800829875518659</v>
      </c>
      <c r="AE29" s="255">
        <f t="shared" si="6"/>
        <v>78.800829875518673</v>
      </c>
      <c r="AF29" s="255">
        <f t="shared" si="10"/>
        <v>92.049653339975919</v>
      </c>
      <c r="AG29" s="255">
        <f t="shared" si="10"/>
        <v>94.847843234940015</v>
      </c>
      <c r="AH29" s="255">
        <f t="shared" si="10"/>
        <v>95.051272470627296</v>
      </c>
      <c r="AI29" s="256">
        <f t="shared" si="11"/>
        <v>85.358628402481301</v>
      </c>
      <c r="AJ29" s="255">
        <f>+IFERROR(VLOOKUP($C29,'Kitsap Regulated - Price Out'!$C$10:$AG$39,31,FALSE),0)</f>
        <v>7.4801760285631245</v>
      </c>
      <c r="AR29" s="257">
        <f>+IFERROR(VLOOKUP($C29,'[41]Kitsap Regulated - Price Out'!$C$10:$S$39,17,FALSE),0)</f>
        <v>216.21000000000004</v>
      </c>
      <c r="AS29" s="257">
        <f t="shared" si="12"/>
        <v>2684.415</v>
      </c>
      <c r="AT29" s="258">
        <f t="shared" si="13"/>
        <v>2.52839324007059</v>
      </c>
      <c r="AU29" s="259">
        <f t="shared" si="8"/>
        <v>2816.7960664762591</v>
      </c>
      <c r="AV29" s="259">
        <f t="shared" si="14"/>
        <v>132.38106647625909</v>
      </c>
      <c r="AW29" s="260">
        <f t="shared" si="9"/>
        <v>4.9125825755431458E-2</v>
      </c>
    </row>
    <row r="30" spans="1:49" s="223" customFormat="1">
      <c r="A30" s="223" t="str">
        <f t="shared" si="2"/>
        <v>MASON CO-REGULATEDResidentialDRVNRW1</v>
      </c>
      <c r="B30" s="223">
        <f t="shared" si="3"/>
        <v>1</v>
      </c>
      <c r="C30" s="59" t="s">
        <v>229</v>
      </c>
      <c r="D30" s="252" t="s">
        <v>230</v>
      </c>
      <c r="E30" s="253">
        <v>4.8099999999999996</v>
      </c>
      <c r="F30" s="253">
        <v>4.8099999999999996</v>
      </c>
      <c r="G30" s="253">
        <f>1.11*4.33</f>
        <v>4.8063000000000002</v>
      </c>
      <c r="H30" s="254"/>
      <c r="I30" s="255">
        <v>359.56</v>
      </c>
      <c r="J30" s="255">
        <v>367.96499999999997</v>
      </c>
      <c r="K30" s="255">
        <v>365.565</v>
      </c>
      <c r="L30" s="255">
        <v>357.54500000000002</v>
      </c>
      <c r="M30" s="255">
        <v>367.44499999999999</v>
      </c>
      <c r="N30" s="255">
        <v>368.565</v>
      </c>
      <c r="O30" s="255">
        <v>385.39499999999998</v>
      </c>
      <c r="P30" s="255">
        <v>401.24</v>
      </c>
      <c r="Q30" s="255">
        <v>400.04</v>
      </c>
      <c r="R30" s="255">
        <v>494.9</v>
      </c>
      <c r="S30" s="255">
        <v>468.08</v>
      </c>
      <c r="T30" s="255">
        <v>457.22500000000002</v>
      </c>
      <c r="U30" s="255">
        <f t="shared" si="4"/>
        <v>4793.5250000000005</v>
      </c>
      <c r="V30" s="255"/>
      <c r="W30" s="255">
        <f t="shared" si="5"/>
        <v>74.752598752598757</v>
      </c>
      <c r="X30" s="255">
        <f t="shared" si="6"/>
        <v>76.5</v>
      </c>
      <c r="Y30" s="255">
        <f t="shared" si="6"/>
        <v>76.0010395010395</v>
      </c>
      <c r="Z30" s="255">
        <f t="shared" si="6"/>
        <v>74.333679833679838</v>
      </c>
      <c r="AA30" s="255">
        <f t="shared" si="6"/>
        <v>76.391891891891902</v>
      </c>
      <c r="AB30" s="255">
        <f t="shared" si="6"/>
        <v>76.624740124740129</v>
      </c>
      <c r="AC30" s="255">
        <f t="shared" si="6"/>
        <v>80.123700623700628</v>
      </c>
      <c r="AD30" s="255">
        <f t="shared" si="6"/>
        <v>83.417879417879433</v>
      </c>
      <c r="AE30" s="255">
        <f t="shared" si="6"/>
        <v>83.168399168399176</v>
      </c>
      <c r="AF30" s="255">
        <f t="shared" si="10"/>
        <v>102.96901982814222</v>
      </c>
      <c r="AG30" s="255">
        <f t="shared" si="10"/>
        <v>97.388843809167128</v>
      </c>
      <c r="AH30" s="255">
        <f t="shared" si="10"/>
        <v>95.13034974928739</v>
      </c>
      <c r="AI30" s="256">
        <f t="shared" si="11"/>
        <v>83.066845225043849</v>
      </c>
      <c r="AJ30" s="255">
        <f>+IFERROR(VLOOKUP($C30,'Kitsap Regulated - Price Out'!$C$10:$AG$39,31,FALSE),0)</f>
        <v>16.214135613673719</v>
      </c>
      <c r="AR30" s="257">
        <f>+IFERROR(VLOOKUP($C30,'[41]Kitsap Regulated - Price Out'!$C$10:$S$39,17,FALSE),0)</f>
        <v>935.15999999999985</v>
      </c>
      <c r="AS30" s="257">
        <f t="shared" si="12"/>
        <v>5728.6850000000004</v>
      </c>
      <c r="AT30" s="258">
        <f t="shared" si="13"/>
        <v>5.0451348983897031</v>
      </c>
      <c r="AU30" s="259">
        <f t="shared" si="8"/>
        <v>6010.631294109281</v>
      </c>
      <c r="AV30" s="259">
        <f t="shared" si="14"/>
        <v>281.94629410928064</v>
      </c>
      <c r="AW30" s="260">
        <f t="shared" si="9"/>
        <v>4.8884594259813618E-2</v>
      </c>
    </row>
    <row r="31" spans="1:49" s="223" customFormat="1">
      <c r="A31" s="223" t="str">
        <f t="shared" si="2"/>
        <v>MASON CO-REGULATEDResidentialDRVNRM2</v>
      </c>
      <c r="B31" s="223">
        <f t="shared" si="3"/>
        <v>1</v>
      </c>
      <c r="C31" s="59" t="s">
        <v>231</v>
      </c>
      <c r="D31" s="252" t="s">
        <v>232</v>
      </c>
      <c r="E31" s="253">
        <v>1.4</v>
      </c>
      <c r="F31" s="253">
        <v>1.4</v>
      </c>
      <c r="G31" s="253">
        <v>1.4</v>
      </c>
      <c r="H31" s="254"/>
      <c r="I31" s="255">
        <v>1.4</v>
      </c>
      <c r="J31" s="255">
        <v>1.4</v>
      </c>
      <c r="K31" s="255">
        <v>1.4</v>
      </c>
      <c r="L31" s="255">
        <v>1.4</v>
      </c>
      <c r="M31" s="255">
        <v>1.4</v>
      </c>
      <c r="N31" s="255">
        <v>1.4</v>
      </c>
      <c r="O31" s="255">
        <v>1.4</v>
      </c>
      <c r="P31" s="255">
        <v>1.4</v>
      </c>
      <c r="Q31" s="255">
        <v>1.4</v>
      </c>
      <c r="R31" s="255">
        <v>1.4</v>
      </c>
      <c r="S31" s="255">
        <v>0</v>
      </c>
      <c r="T31" s="255">
        <v>0</v>
      </c>
      <c r="U31" s="255">
        <f t="shared" si="4"/>
        <v>14.000000000000002</v>
      </c>
      <c r="V31" s="255"/>
      <c r="W31" s="255">
        <f t="shared" si="5"/>
        <v>1</v>
      </c>
      <c r="X31" s="255">
        <f t="shared" ref="X31:AE44" si="15">IFERROR(J31/$F31,0)</f>
        <v>1</v>
      </c>
      <c r="Y31" s="255">
        <f t="shared" si="15"/>
        <v>1</v>
      </c>
      <c r="Z31" s="255">
        <f t="shared" si="15"/>
        <v>1</v>
      </c>
      <c r="AA31" s="255">
        <f t="shared" si="15"/>
        <v>1</v>
      </c>
      <c r="AB31" s="255">
        <f t="shared" si="15"/>
        <v>1</v>
      </c>
      <c r="AC31" s="255">
        <f t="shared" si="15"/>
        <v>1</v>
      </c>
      <c r="AD31" s="255">
        <f t="shared" si="15"/>
        <v>1</v>
      </c>
      <c r="AE31" s="255">
        <f t="shared" si="15"/>
        <v>1</v>
      </c>
      <c r="AF31" s="255">
        <f t="shared" si="10"/>
        <v>1</v>
      </c>
      <c r="AG31" s="255">
        <f t="shared" si="10"/>
        <v>0</v>
      </c>
      <c r="AH31" s="255">
        <f t="shared" si="10"/>
        <v>0</v>
      </c>
      <c r="AI31" s="256">
        <f t="shared" si="11"/>
        <v>0.83333333333333337</v>
      </c>
      <c r="AJ31" s="255">
        <f>+IFERROR(VLOOKUP($C31,'Kitsap Regulated - Price Out'!$C$10:$AG$39,31,FALSE),0)</f>
        <v>0</v>
      </c>
      <c r="AR31" s="257">
        <f>+IFERROR(VLOOKUP($C31,'[41]Kitsap Regulated - Price Out'!$C$10:$S$39,17,FALSE),0)</f>
        <v>0</v>
      </c>
      <c r="AS31" s="257">
        <f t="shared" si="12"/>
        <v>14.000000000000002</v>
      </c>
      <c r="AT31" s="258">
        <f t="shared" si="13"/>
        <v>1.4695688695557048</v>
      </c>
      <c r="AU31" s="259">
        <f t="shared" si="8"/>
        <v>14.695688695557047</v>
      </c>
      <c r="AV31" s="259">
        <f t="shared" si="14"/>
        <v>0.69568869555704538</v>
      </c>
      <c r="AW31" s="260">
        <f t="shared" si="9"/>
        <v>4.9692049682646323E-2</v>
      </c>
    </row>
    <row r="32" spans="1:49" s="223" customFormat="1">
      <c r="A32" s="223" t="str">
        <f t="shared" si="2"/>
        <v>MASON CO-REGULATEDResidentialDRVNRW2</v>
      </c>
      <c r="B32" s="223">
        <f t="shared" si="3"/>
        <v>1</v>
      </c>
      <c r="C32" s="59" t="s">
        <v>233</v>
      </c>
      <c r="D32" s="252" t="s">
        <v>234</v>
      </c>
      <c r="E32" s="253">
        <v>6.06</v>
      </c>
      <c r="F32" s="253">
        <v>6.06</v>
      </c>
      <c r="G32" s="253">
        <f>1.4*4.33</f>
        <v>6.0619999999999994</v>
      </c>
      <c r="H32" s="254"/>
      <c r="I32" s="255">
        <v>60.6</v>
      </c>
      <c r="J32" s="255">
        <v>60.6</v>
      </c>
      <c r="K32" s="255">
        <v>63.29</v>
      </c>
      <c r="L32" s="255">
        <v>69.015000000000001</v>
      </c>
      <c r="M32" s="255">
        <v>69.015000000000001</v>
      </c>
      <c r="N32" s="255">
        <v>66.66</v>
      </c>
      <c r="O32" s="255">
        <v>66.66</v>
      </c>
      <c r="P32" s="255">
        <v>66.66</v>
      </c>
      <c r="Q32" s="255">
        <v>72.72</v>
      </c>
      <c r="R32" s="255">
        <v>78.78</v>
      </c>
      <c r="S32" s="255">
        <v>78.78</v>
      </c>
      <c r="T32" s="255">
        <v>72.72</v>
      </c>
      <c r="U32" s="255">
        <f t="shared" si="4"/>
        <v>825.49999999999989</v>
      </c>
      <c r="V32" s="255"/>
      <c r="W32" s="255">
        <f t="shared" si="5"/>
        <v>10</v>
      </c>
      <c r="X32" s="255">
        <f t="shared" si="15"/>
        <v>10</v>
      </c>
      <c r="Y32" s="255">
        <f t="shared" si="15"/>
        <v>10.443894389438944</v>
      </c>
      <c r="Z32" s="255">
        <f t="shared" si="15"/>
        <v>11.388613861386139</v>
      </c>
      <c r="AA32" s="255">
        <f t="shared" si="15"/>
        <v>11.388613861386139</v>
      </c>
      <c r="AB32" s="255">
        <f t="shared" si="15"/>
        <v>11</v>
      </c>
      <c r="AC32" s="255">
        <f t="shared" si="15"/>
        <v>11</v>
      </c>
      <c r="AD32" s="255">
        <f t="shared" si="15"/>
        <v>11</v>
      </c>
      <c r="AE32" s="255">
        <f t="shared" si="15"/>
        <v>12</v>
      </c>
      <c r="AF32" s="255">
        <f t="shared" si="10"/>
        <v>12.995710986473112</v>
      </c>
      <c r="AG32" s="255">
        <f t="shared" si="10"/>
        <v>12.995710986473112</v>
      </c>
      <c r="AH32" s="255">
        <f t="shared" si="10"/>
        <v>11.996040910590565</v>
      </c>
      <c r="AI32" s="256">
        <f t="shared" si="11"/>
        <v>11.350715416312335</v>
      </c>
      <c r="AJ32" s="255">
        <f>+IFERROR(VLOOKUP($C32,'Kitsap Regulated - Price Out'!$C$10:$AG$39,31,FALSE),0)</f>
        <v>1.119954910370615</v>
      </c>
      <c r="AR32" s="257">
        <f>+IFERROR(VLOOKUP($C32,'[41]Kitsap Regulated - Price Out'!$C$10:$S$39,17,FALSE),0)</f>
        <v>81.47</v>
      </c>
      <c r="AS32" s="257">
        <f t="shared" si="12"/>
        <v>906.96999999999991</v>
      </c>
      <c r="AT32" s="258">
        <f t="shared" si="13"/>
        <v>6.3632332051762015</v>
      </c>
      <c r="AU32" s="259">
        <f t="shared" si="8"/>
        <v>952.24540216265382</v>
      </c>
      <c r="AV32" s="259">
        <f t="shared" si="14"/>
        <v>45.275402162653904</v>
      </c>
      <c r="AW32" s="260">
        <f t="shared" si="9"/>
        <v>5.0038482702343547E-2</v>
      </c>
    </row>
    <row r="33" spans="1:49" s="223" customFormat="1">
      <c r="A33" s="223" t="str">
        <f t="shared" si="2"/>
        <v>MASON CO-REGULATEDResidentialDRVNRM1</v>
      </c>
      <c r="B33" s="223">
        <f t="shared" si="3"/>
        <v>1</v>
      </c>
      <c r="C33" s="59" t="s">
        <v>235</v>
      </c>
      <c r="D33" s="252" t="s">
        <v>236</v>
      </c>
      <c r="E33" s="253">
        <v>1.1100000000000001</v>
      </c>
      <c r="F33" s="253">
        <v>1.1100000000000001</v>
      </c>
      <c r="G33" s="253">
        <v>1.1100000000000001</v>
      </c>
      <c r="H33" s="254"/>
      <c r="I33" s="255">
        <v>8.8800000000000008</v>
      </c>
      <c r="J33" s="255">
        <v>8.8800000000000008</v>
      </c>
      <c r="K33" s="255">
        <v>8.8800000000000008</v>
      </c>
      <c r="L33" s="255">
        <v>8.8800000000000008</v>
      </c>
      <c r="M33" s="255">
        <v>9.99</v>
      </c>
      <c r="N33" s="255">
        <v>11.100000000000001</v>
      </c>
      <c r="O33" s="255">
        <v>11.100000000000001</v>
      </c>
      <c r="P33" s="255">
        <v>9.99</v>
      </c>
      <c r="Q33" s="255">
        <v>9.99</v>
      </c>
      <c r="R33" s="255">
        <v>9.99</v>
      </c>
      <c r="S33" s="255">
        <v>9.99</v>
      </c>
      <c r="T33" s="255">
        <v>9.99</v>
      </c>
      <c r="U33" s="255">
        <f t="shared" si="4"/>
        <v>117.65999999999998</v>
      </c>
      <c r="V33" s="255"/>
      <c r="W33" s="255">
        <f t="shared" si="5"/>
        <v>8</v>
      </c>
      <c r="X33" s="255">
        <f t="shared" si="15"/>
        <v>8</v>
      </c>
      <c r="Y33" s="255">
        <f t="shared" si="15"/>
        <v>8</v>
      </c>
      <c r="Z33" s="255">
        <f t="shared" si="15"/>
        <v>8</v>
      </c>
      <c r="AA33" s="255">
        <f t="shared" si="15"/>
        <v>9</v>
      </c>
      <c r="AB33" s="255">
        <f t="shared" si="15"/>
        <v>10</v>
      </c>
      <c r="AC33" s="255">
        <f t="shared" si="15"/>
        <v>10</v>
      </c>
      <c r="AD33" s="255">
        <f t="shared" si="15"/>
        <v>9</v>
      </c>
      <c r="AE33" s="255">
        <f t="shared" si="15"/>
        <v>9</v>
      </c>
      <c r="AF33" s="255">
        <f t="shared" si="10"/>
        <v>9</v>
      </c>
      <c r="AG33" s="255">
        <f t="shared" si="10"/>
        <v>9</v>
      </c>
      <c r="AH33" s="255">
        <f t="shared" si="10"/>
        <v>9</v>
      </c>
      <c r="AI33" s="256">
        <f t="shared" si="11"/>
        <v>8.8333333333333339</v>
      </c>
      <c r="AJ33" s="255">
        <f>+IFERROR(VLOOKUP($C33,'Kitsap Regulated - Price Out'!$C$10:$AG$39,31,FALSE),0)</f>
        <v>0</v>
      </c>
      <c r="AR33" s="257">
        <f>+IFERROR(VLOOKUP($C33,'[41]Kitsap Regulated - Price Out'!$C$10:$S$39,17,FALSE),0)</f>
        <v>0</v>
      </c>
      <c r="AS33" s="257">
        <f t="shared" si="12"/>
        <v>117.65999999999998</v>
      </c>
      <c r="AT33" s="258">
        <f t="shared" si="13"/>
        <v>1.1651581751477376</v>
      </c>
      <c r="AU33" s="259">
        <f t="shared" si="8"/>
        <v>123.50676656566019</v>
      </c>
      <c r="AV33" s="259">
        <f t="shared" si="14"/>
        <v>5.8467665656602037</v>
      </c>
      <c r="AW33" s="260">
        <f t="shared" si="9"/>
        <v>4.9692049682646358E-2</v>
      </c>
    </row>
    <row r="34" spans="1:49" s="223" customFormat="1">
      <c r="A34" s="223" t="str">
        <f t="shared" si="2"/>
        <v>MASON CO-REGULATEDResidentialDRVNRE2</v>
      </c>
      <c r="B34" s="223">
        <f t="shared" si="3"/>
        <v>1</v>
      </c>
      <c r="C34" s="59" t="s">
        <v>237</v>
      </c>
      <c r="D34" s="252" t="s">
        <v>238</v>
      </c>
      <c r="E34" s="253">
        <v>3.04</v>
      </c>
      <c r="F34" s="253">
        <v>3.04</v>
      </c>
      <c r="G34" s="253">
        <f>1.4*2.17</f>
        <v>3.0379999999999998</v>
      </c>
      <c r="H34" s="254"/>
      <c r="I34" s="255">
        <v>54.11</v>
      </c>
      <c r="J34" s="255">
        <v>54.72</v>
      </c>
      <c r="K34" s="255">
        <v>53.2</v>
      </c>
      <c r="L34" s="255">
        <v>54.72</v>
      </c>
      <c r="M34" s="255">
        <v>51.68</v>
      </c>
      <c r="N34" s="255">
        <v>48.64</v>
      </c>
      <c r="O34" s="255">
        <v>48.64</v>
      </c>
      <c r="P34" s="255">
        <v>48.64</v>
      </c>
      <c r="Q34" s="255">
        <v>48.64</v>
      </c>
      <c r="R34" s="255">
        <v>57.76</v>
      </c>
      <c r="S34" s="255">
        <v>51.68</v>
      </c>
      <c r="T34" s="255">
        <v>54.72</v>
      </c>
      <c r="U34" s="255">
        <f t="shared" si="4"/>
        <v>627.15</v>
      </c>
      <c r="V34" s="255"/>
      <c r="W34" s="255">
        <f t="shared" si="5"/>
        <v>17.799342105263158</v>
      </c>
      <c r="X34" s="255">
        <f t="shared" si="15"/>
        <v>18</v>
      </c>
      <c r="Y34" s="255">
        <f t="shared" si="15"/>
        <v>17.5</v>
      </c>
      <c r="Z34" s="255">
        <f t="shared" si="15"/>
        <v>18</v>
      </c>
      <c r="AA34" s="255">
        <f t="shared" si="15"/>
        <v>17</v>
      </c>
      <c r="AB34" s="255">
        <f t="shared" si="15"/>
        <v>16</v>
      </c>
      <c r="AC34" s="255">
        <f t="shared" si="15"/>
        <v>16</v>
      </c>
      <c r="AD34" s="255">
        <f t="shared" si="15"/>
        <v>16</v>
      </c>
      <c r="AE34" s="255">
        <f t="shared" si="15"/>
        <v>16</v>
      </c>
      <c r="AF34" s="255">
        <f t="shared" si="10"/>
        <v>19.012508229098092</v>
      </c>
      <c r="AG34" s="255">
        <f t="shared" si="10"/>
        <v>17.011191573403558</v>
      </c>
      <c r="AH34" s="255">
        <f t="shared" si="10"/>
        <v>18.011849901250823</v>
      </c>
      <c r="AI34" s="256">
        <f t="shared" si="11"/>
        <v>17.19457431741797</v>
      </c>
      <c r="AJ34" s="255">
        <f>+IFERROR(VLOOKUP($C34,'Kitsap Regulated - Price Out'!$C$10:$AG$39,31,FALSE),0)</f>
        <v>2.244075049374588</v>
      </c>
      <c r="AR34" s="257">
        <f>+IFERROR(VLOOKUP($C34,'[41]Kitsap Regulated - Price Out'!$C$10:$S$39,17,FALSE),0)</f>
        <v>81.810000000000016</v>
      </c>
      <c r="AS34" s="257">
        <f t="shared" si="12"/>
        <v>708.96</v>
      </c>
      <c r="AT34" s="258">
        <f t="shared" si="13"/>
        <v>3.1889644469358793</v>
      </c>
      <c r="AU34" s="259">
        <f t="shared" si="8"/>
        <v>743.86994072584923</v>
      </c>
      <c r="AV34" s="259">
        <f t="shared" si="14"/>
        <v>34.909940725849196</v>
      </c>
      <c r="AW34" s="260">
        <f t="shared" si="9"/>
        <v>4.9001462807855029E-2</v>
      </c>
    </row>
    <row r="35" spans="1:49" s="223" customFormat="1">
      <c r="A35" s="223" t="str">
        <f t="shared" si="2"/>
        <v>MASON CO-REGULATEDResidentialDRVNROC1</v>
      </c>
      <c r="B35" s="223">
        <f t="shared" si="3"/>
        <v>1</v>
      </c>
      <c r="C35" s="59" t="s">
        <v>239</v>
      </c>
      <c r="D35" s="252" t="s">
        <v>240</v>
      </c>
      <c r="E35" s="253">
        <v>1.1100000000000001</v>
      </c>
      <c r="F35" s="253">
        <v>1.1100000000000001</v>
      </c>
      <c r="G35" s="253">
        <v>1.1100000000000001</v>
      </c>
      <c r="H35" s="254"/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5">
        <v>0</v>
      </c>
      <c r="P35" s="255">
        <v>0</v>
      </c>
      <c r="Q35" s="255">
        <v>1.1100000000000001</v>
      </c>
      <c r="R35" s="255">
        <v>0</v>
      </c>
      <c r="S35" s="255">
        <v>0</v>
      </c>
      <c r="T35" s="255">
        <v>1.1100000000000001</v>
      </c>
      <c r="U35" s="255">
        <f t="shared" si="4"/>
        <v>2.2200000000000002</v>
      </c>
      <c r="V35" s="255"/>
      <c r="W35" s="255">
        <f t="shared" si="5"/>
        <v>0</v>
      </c>
      <c r="X35" s="255">
        <f t="shared" si="15"/>
        <v>0</v>
      </c>
      <c r="Y35" s="255">
        <f t="shared" si="15"/>
        <v>0</v>
      </c>
      <c r="Z35" s="255">
        <f t="shared" si="15"/>
        <v>0</v>
      </c>
      <c r="AA35" s="255">
        <f t="shared" si="15"/>
        <v>0</v>
      </c>
      <c r="AB35" s="255">
        <f t="shared" si="15"/>
        <v>0</v>
      </c>
      <c r="AC35" s="255">
        <f t="shared" si="15"/>
        <v>0</v>
      </c>
      <c r="AD35" s="255">
        <f t="shared" si="15"/>
        <v>0</v>
      </c>
      <c r="AE35" s="255">
        <f t="shared" si="15"/>
        <v>1</v>
      </c>
      <c r="AF35" s="255">
        <f t="shared" si="10"/>
        <v>0</v>
      </c>
      <c r="AG35" s="255">
        <f t="shared" si="10"/>
        <v>0</v>
      </c>
      <c r="AH35" s="255">
        <f t="shared" si="10"/>
        <v>1</v>
      </c>
      <c r="AI35" s="256">
        <f t="shared" si="11"/>
        <v>0.16666666666666666</v>
      </c>
      <c r="AJ35" s="255">
        <f>+IFERROR(VLOOKUP($C35,'Kitsap Regulated - Price Out'!$C$10:$AG$39,31,FALSE),0)</f>
        <v>0</v>
      </c>
      <c r="AR35" s="257">
        <f>+IFERROR(VLOOKUP($C35,'[41]Kitsap Regulated - Price Out'!$C$10:$S$39,17,FALSE),0)</f>
        <v>0</v>
      </c>
      <c r="AS35" s="257">
        <f t="shared" si="12"/>
        <v>2.2200000000000002</v>
      </c>
      <c r="AT35" s="258">
        <f t="shared" si="13"/>
        <v>1.1651581751477376</v>
      </c>
      <c r="AU35" s="259">
        <f t="shared" si="8"/>
        <v>2.3303163502954751</v>
      </c>
      <c r="AV35" s="259">
        <f t="shared" si="14"/>
        <v>0.11031635029547493</v>
      </c>
      <c r="AW35" s="260">
        <f t="shared" si="9"/>
        <v>4.9692049682646358E-2</v>
      </c>
    </row>
    <row r="36" spans="1:49" s="223" customFormat="1">
      <c r="A36" s="223" t="str">
        <f t="shared" si="2"/>
        <v>MASON CO-REGULATEDResidentialWLKNRE1</v>
      </c>
      <c r="B36" s="223">
        <f t="shared" si="3"/>
        <v>1</v>
      </c>
      <c r="C36" s="59" t="s">
        <v>241</v>
      </c>
      <c r="D36" s="252" t="s">
        <v>242</v>
      </c>
      <c r="E36" s="253">
        <v>1.28</v>
      </c>
      <c r="F36" s="253">
        <v>1.28</v>
      </c>
      <c r="G36" s="253">
        <f>0.59*2.17</f>
        <v>1.2803</v>
      </c>
      <c r="H36" s="254"/>
      <c r="I36" s="255">
        <v>58.050000000000004</v>
      </c>
      <c r="J36" s="255">
        <v>64</v>
      </c>
      <c r="K36" s="255">
        <v>65.790000000000006</v>
      </c>
      <c r="L36" s="255">
        <v>64</v>
      </c>
      <c r="M36" s="255">
        <v>63.49</v>
      </c>
      <c r="N36" s="255">
        <v>64.13</v>
      </c>
      <c r="O36" s="255">
        <v>59.649999999999991</v>
      </c>
      <c r="P36" s="255">
        <v>64.319999999999993</v>
      </c>
      <c r="Q36" s="255">
        <v>59.58</v>
      </c>
      <c r="R36" s="255">
        <v>69.12</v>
      </c>
      <c r="S36" s="255">
        <v>69.37</v>
      </c>
      <c r="T36" s="255">
        <v>70.334999999999994</v>
      </c>
      <c r="U36" s="255">
        <f t="shared" si="4"/>
        <v>771.83500000000004</v>
      </c>
      <c r="V36" s="255"/>
      <c r="W36" s="255">
        <f t="shared" si="5"/>
        <v>45.3515625</v>
      </c>
      <c r="X36" s="255">
        <f t="shared" si="15"/>
        <v>50</v>
      </c>
      <c r="Y36" s="255">
        <f t="shared" si="15"/>
        <v>51.398437500000007</v>
      </c>
      <c r="Z36" s="255">
        <f t="shared" si="15"/>
        <v>50</v>
      </c>
      <c r="AA36" s="255">
        <f t="shared" si="15"/>
        <v>49.6015625</v>
      </c>
      <c r="AB36" s="255">
        <f t="shared" si="15"/>
        <v>50.101562499999993</v>
      </c>
      <c r="AC36" s="255">
        <f t="shared" si="15"/>
        <v>46.601562499999993</v>
      </c>
      <c r="AD36" s="255">
        <f t="shared" si="15"/>
        <v>50.249999999999993</v>
      </c>
      <c r="AE36" s="255">
        <f t="shared" si="15"/>
        <v>46.546875</v>
      </c>
      <c r="AF36" s="255">
        <f t="shared" si="10"/>
        <v>53.987346715613533</v>
      </c>
      <c r="AG36" s="255">
        <f t="shared" si="10"/>
        <v>54.182613449972663</v>
      </c>
      <c r="AH36" s="255">
        <f t="shared" si="10"/>
        <v>54.936343044598921</v>
      </c>
      <c r="AI36" s="256">
        <f t="shared" si="11"/>
        <v>50.246488809182097</v>
      </c>
      <c r="AJ36" s="255">
        <f>+IFERROR(VLOOKUP($C36,'Kitsap Regulated - Price Out'!$C$10:$AG$39,31,FALSE),0)</f>
        <v>4.4201879767762771</v>
      </c>
      <c r="AR36" s="257">
        <f>+IFERROR(VLOOKUP($C36,'[41]Kitsap Regulated - Price Out'!$C$10:$S$39,17,FALSE),0)</f>
        <v>67.91</v>
      </c>
      <c r="AS36" s="257">
        <f t="shared" si="12"/>
        <v>839.745</v>
      </c>
      <c r="AT36" s="258">
        <f t="shared" si="13"/>
        <v>1.343920731208692</v>
      </c>
      <c r="AU36" s="259">
        <f t="shared" si="8"/>
        <v>881.61216286721287</v>
      </c>
      <c r="AV36" s="259">
        <f t="shared" si="14"/>
        <v>41.867162867212869</v>
      </c>
      <c r="AW36" s="260">
        <f t="shared" si="9"/>
        <v>4.9938071256790638E-2</v>
      </c>
    </row>
    <row r="37" spans="1:49" s="223" customFormat="1">
      <c r="A37" s="223" t="str">
        <f t="shared" si="2"/>
        <v>MASON CO-REGULATEDResidentialWLKNRM1</v>
      </c>
      <c r="B37" s="223">
        <f t="shared" si="3"/>
        <v>1</v>
      </c>
      <c r="C37" s="59" t="s">
        <v>243</v>
      </c>
      <c r="D37" s="252" t="s">
        <v>244</v>
      </c>
      <c r="E37" s="253">
        <v>0.59</v>
      </c>
      <c r="F37" s="253">
        <v>0.59</v>
      </c>
      <c r="G37" s="253">
        <v>0.59</v>
      </c>
      <c r="H37" s="254"/>
      <c r="I37" s="255">
        <v>4.13</v>
      </c>
      <c r="J37" s="255">
        <v>4.13</v>
      </c>
      <c r="K37" s="255">
        <v>5.8999999999999995</v>
      </c>
      <c r="L37" s="255">
        <v>5.8999999999999995</v>
      </c>
      <c r="M37" s="255">
        <v>5.8999999999999995</v>
      </c>
      <c r="N37" s="255">
        <v>6.4899999999999993</v>
      </c>
      <c r="O37" s="255">
        <v>7.67</v>
      </c>
      <c r="P37" s="255">
        <v>9.4400000000000013</v>
      </c>
      <c r="Q37" s="255">
        <v>7.67</v>
      </c>
      <c r="R37" s="255">
        <v>5.9</v>
      </c>
      <c r="S37" s="255">
        <v>4.7200000000000006</v>
      </c>
      <c r="T37" s="255">
        <v>4.72</v>
      </c>
      <c r="U37" s="255">
        <f t="shared" si="4"/>
        <v>72.570000000000007</v>
      </c>
      <c r="V37" s="255"/>
      <c r="W37" s="255">
        <f t="shared" si="5"/>
        <v>7</v>
      </c>
      <c r="X37" s="255">
        <f t="shared" si="15"/>
        <v>7</v>
      </c>
      <c r="Y37" s="255">
        <f t="shared" si="15"/>
        <v>10</v>
      </c>
      <c r="Z37" s="255">
        <f t="shared" si="15"/>
        <v>10</v>
      </c>
      <c r="AA37" s="255">
        <f t="shared" si="15"/>
        <v>10</v>
      </c>
      <c r="AB37" s="255">
        <f t="shared" si="15"/>
        <v>11</v>
      </c>
      <c r="AC37" s="255">
        <f t="shared" si="15"/>
        <v>13</v>
      </c>
      <c r="AD37" s="255">
        <f t="shared" si="15"/>
        <v>16.000000000000004</v>
      </c>
      <c r="AE37" s="255">
        <f t="shared" si="15"/>
        <v>13</v>
      </c>
      <c r="AF37" s="255">
        <f t="shared" si="10"/>
        <v>10.000000000000002</v>
      </c>
      <c r="AG37" s="255">
        <f t="shared" si="10"/>
        <v>8.0000000000000018</v>
      </c>
      <c r="AH37" s="255">
        <f t="shared" si="10"/>
        <v>8</v>
      </c>
      <c r="AI37" s="256">
        <f t="shared" si="11"/>
        <v>10.25</v>
      </c>
      <c r="AJ37" s="255">
        <f>+IFERROR(VLOOKUP($C37,'Kitsap Regulated - Price Out'!$C$10:$AG$39,31,FALSE),0)</f>
        <v>0</v>
      </c>
      <c r="AR37" s="257">
        <f>+IFERROR(VLOOKUP($C37,'[41]Kitsap Regulated - Price Out'!$C$10:$S$39,17,FALSE),0)</f>
        <v>0</v>
      </c>
      <c r="AS37" s="257">
        <f t="shared" si="12"/>
        <v>72.570000000000007</v>
      </c>
      <c r="AT37" s="258">
        <f t="shared" si="13"/>
        <v>0.61931830931276133</v>
      </c>
      <c r="AU37" s="259">
        <f t="shared" si="8"/>
        <v>76.176152045469649</v>
      </c>
      <c r="AV37" s="259">
        <f t="shared" si="14"/>
        <v>3.6061520454696421</v>
      </c>
      <c r="AW37" s="260">
        <f t="shared" si="9"/>
        <v>4.9692049682646372E-2</v>
      </c>
    </row>
    <row r="38" spans="1:49" s="223" customFormat="1">
      <c r="A38" s="223" t="str">
        <f t="shared" si="2"/>
        <v>MASON CO-REGULATEDResidentialWLKNRW1</v>
      </c>
      <c r="B38" s="223">
        <f t="shared" si="3"/>
        <v>1</v>
      </c>
      <c r="C38" s="59" t="s">
        <v>245</v>
      </c>
      <c r="D38" s="252" t="s">
        <v>246</v>
      </c>
      <c r="E38" s="253">
        <v>2.5499999999999998</v>
      </c>
      <c r="F38" s="253">
        <v>2.5499999999999998</v>
      </c>
      <c r="G38" s="253">
        <f>0.59*4.33</f>
        <v>2.5547</v>
      </c>
      <c r="H38" s="254"/>
      <c r="I38" s="255">
        <v>121.37500000000001</v>
      </c>
      <c r="J38" s="255">
        <v>118.36499999999999</v>
      </c>
      <c r="K38" s="255">
        <v>121.19499999999999</v>
      </c>
      <c r="L38" s="255">
        <v>133.73500000000001</v>
      </c>
      <c r="M38" s="255">
        <v>135.49500000000003</v>
      </c>
      <c r="N38" s="255">
        <v>142.51500000000001</v>
      </c>
      <c r="O38" s="255">
        <v>154.535</v>
      </c>
      <c r="P38" s="255">
        <v>156.82499999999999</v>
      </c>
      <c r="Q38" s="255">
        <v>157.595</v>
      </c>
      <c r="R38" s="255">
        <v>205.69499999999999</v>
      </c>
      <c r="S38" s="255">
        <v>182.02500000000001</v>
      </c>
      <c r="T38" s="255">
        <v>161.5</v>
      </c>
      <c r="U38" s="255">
        <f t="shared" si="4"/>
        <v>1790.855</v>
      </c>
      <c r="V38" s="255"/>
      <c r="W38" s="255">
        <f t="shared" si="5"/>
        <v>47.598039215686285</v>
      </c>
      <c r="X38" s="255">
        <f t="shared" si="15"/>
        <v>46.417647058823533</v>
      </c>
      <c r="Y38" s="255">
        <f t="shared" si="15"/>
        <v>47.52745098039216</v>
      </c>
      <c r="Z38" s="255">
        <f t="shared" si="15"/>
        <v>52.445098039215694</v>
      </c>
      <c r="AA38" s="255">
        <f t="shared" si="15"/>
        <v>53.135294117647078</v>
      </c>
      <c r="AB38" s="255">
        <f t="shared" si="15"/>
        <v>55.888235294117656</v>
      </c>
      <c r="AC38" s="255">
        <f t="shared" si="15"/>
        <v>60.601960784313725</v>
      </c>
      <c r="AD38" s="255">
        <f t="shared" si="15"/>
        <v>61.5</v>
      </c>
      <c r="AE38" s="255">
        <f t="shared" si="15"/>
        <v>61.801960784313728</v>
      </c>
      <c r="AF38" s="255">
        <f t="shared" si="10"/>
        <v>80.51630328414295</v>
      </c>
      <c r="AG38" s="255">
        <f t="shared" si="10"/>
        <v>71.25102751790817</v>
      </c>
      <c r="AH38" s="255">
        <f t="shared" si="10"/>
        <v>63.216816064508556</v>
      </c>
      <c r="AI38" s="256">
        <f t="shared" si="11"/>
        <v>58.491652761755795</v>
      </c>
      <c r="AJ38" s="255">
        <f>+IFERROR(VLOOKUP($C38,'Kitsap Regulated - Price Out'!$C$10:$AG$39,31,FALSE),0)</f>
        <v>9.6759567333411614</v>
      </c>
      <c r="AR38" s="257">
        <f>+IFERROR(VLOOKUP($C38,'[41]Kitsap Regulated - Price Out'!$C$10:$S$39,17,FALSE),0)</f>
        <v>296.63</v>
      </c>
      <c r="AS38" s="257">
        <f t="shared" si="12"/>
        <v>2087.4850000000001</v>
      </c>
      <c r="AT38" s="258">
        <f t="shared" si="13"/>
        <v>2.6816482793242566</v>
      </c>
      <c r="AU38" s="259">
        <f t="shared" si="8"/>
        <v>2193.6186324980954</v>
      </c>
      <c r="AV38" s="259">
        <f t="shared" si="14"/>
        <v>106.13363249809527</v>
      </c>
      <c r="AW38" s="260">
        <f t="shared" si="9"/>
        <v>5.1626776205590912E-2</v>
      </c>
    </row>
    <row r="39" spans="1:49" s="223" customFormat="1">
      <c r="A39" s="223" t="str">
        <f t="shared" si="2"/>
        <v>MASON CO-REGULATEDResidentialWLKNRW2</v>
      </c>
      <c r="B39" s="223">
        <f t="shared" si="3"/>
        <v>1</v>
      </c>
      <c r="C39" s="59" t="s">
        <v>247</v>
      </c>
      <c r="D39" s="252" t="s">
        <v>248</v>
      </c>
      <c r="E39" s="253">
        <v>0.34</v>
      </c>
      <c r="F39" s="253">
        <v>0.34</v>
      </c>
      <c r="G39" s="253">
        <v>0.34</v>
      </c>
      <c r="H39" s="254"/>
      <c r="I39" s="255">
        <v>24.89</v>
      </c>
      <c r="J39" s="255">
        <v>27.88</v>
      </c>
      <c r="K39" s="255">
        <v>33.32</v>
      </c>
      <c r="L39" s="255">
        <v>38.42</v>
      </c>
      <c r="M39" s="255">
        <v>38.760000000000005</v>
      </c>
      <c r="N39" s="255">
        <v>38.42</v>
      </c>
      <c r="O39" s="255">
        <v>38.08</v>
      </c>
      <c r="P39" s="255">
        <v>35.119999999999997</v>
      </c>
      <c r="Q39" s="255">
        <v>35.119999999999997</v>
      </c>
      <c r="R39" s="255">
        <v>47.09</v>
      </c>
      <c r="S39" s="255">
        <v>48.17</v>
      </c>
      <c r="T39" s="255">
        <v>50.05</v>
      </c>
      <c r="U39" s="255">
        <f t="shared" si="4"/>
        <v>455.32000000000005</v>
      </c>
      <c r="V39" s="255"/>
      <c r="W39" s="255">
        <f t="shared" si="5"/>
        <v>73.205882352941174</v>
      </c>
      <c r="X39" s="255">
        <f t="shared" si="15"/>
        <v>81.999999999999986</v>
      </c>
      <c r="Y39" s="255">
        <f t="shared" si="15"/>
        <v>98</v>
      </c>
      <c r="Z39" s="255">
        <f t="shared" si="15"/>
        <v>113</v>
      </c>
      <c r="AA39" s="255">
        <f t="shared" si="15"/>
        <v>114</v>
      </c>
      <c r="AB39" s="255">
        <f t="shared" si="15"/>
        <v>113</v>
      </c>
      <c r="AC39" s="255">
        <f t="shared" si="15"/>
        <v>111.99999999999999</v>
      </c>
      <c r="AD39" s="255">
        <f t="shared" si="15"/>
        <v>103.29411764705881</v>
      </c>
      <c r="AE39" s="255">
        <f t="shared" si="15"/>
        <v>103.29411764705881</v>
      </c>
      <c r="AF39" s="255">
        <f t="shared" si="10"/>
        <v>138.5</v>
      </c>
      <c r="AG39" s="255">
        <f t="shared" si="10"/>
        <v>141.67647058823528</v>
      </c>
      <c r="AH39" s="255">
        <f t="shared" si="10"/>
        <v>147.20588235294116</v>
      </c>
      <c r="AI39" s="256">
        <f t="shared" si="11"/>
        <v>111.59803921568628</v>
      </c>
      <c r="AJ39" s="255">
        <f>+IFERROR(VLOOKUP($C39,'Kitsap Regulated - Price Out'!$C$10:$AG$39,31,FALSE),0)</f>
        <v>4.0242820422489265</v>
      </c>
      <c r="AR39" s="257">
        <f>+IFERROR(VLOOKUP($C39,'[41]Kitsap Regulated - Price Out'!$C$10:$S$39,17,FALSE),0)</f>
        <v>123.36999999999998</v>
      </c>
      <c r="AS39" s="257">
        <f t="shared" si="12"/>
        <v>578.69000000000005</v>
      </c>
      <c r="AT39" s="258">
        <f t="shared" si="13"/>
        <v>0.35689529689209976</v>
      </c>
      <c r="AU39" s="259">
        <f t="shared" si="8"/>
        <v>495.18075207245431</v>
      </c>
      <c r="AV39" s="259">
        <f t="shared" si="14"/>
        <v>-83.509247927545744</v>
      </c>
      <c r="AW39" s="260">
        <f t="shared" si="9"/>
        <v>4.9692049682646268E-2</v>
      </c>
    </row>
    <row r="40" spans="1:49" s="223" customFormat="1">
      <c r="A40" s="223" t="str">
        <f t="shared" si="2"/>
        <v>MASON CO-REGULATEDResidentialREDELIVER</v>
      </c>
      <c r="B40" s="223">
        <f t="shared" si="3"/>
        <v>1</v>
      </c>
      <c r="C40" s="59" t="s">
        <v>249</v>
      </c>
      <c r="D40" s="252" t="s">
        <v>250</v>
      </c>
      <c r="E40" s="253">
        <v>16.940000000000001</v>
      </c>
      <c r="F40" s="253">
        <v>16.940000000000001</v>
      </c>
      <c r="G40" s="253">
        <v>16.989999999999998</v>
      </c>
      <c r="H40" s="254"/>
      <c r="I40" s="255">
        <v>158.46</v>
      </c>
      <c r="J40" s="255">
        <v>104.64</v>
      </c>
      <c r="K40" s="255">
        <v>86.2</v>
      </c>
      <c r="L40" s="255">
        <v>296.98</v>
      </c>
      <c r="M40" s="255">
        <v>343.3</v>
      </c>
      <c r="N40" s="255">
        <v>220.22</v>
      </c>
      <c r="O40" s="255">
        <v>135.52000000000001</v>
      </c>
      <c r="P40" s="255">
        <v>118.58</v>
      </c>
      <c r="Q40" s="255">
        <v>152.46</v>
      </c>
      <c r="R40" s="255">
        <v>194.39</v>
      </c>
      <c r="S40" s="255">
        <v>120.43</v>
      </c>
      <c r="T40" s="255">
        <v>141.32</v>
      </c>
      <c r="U40" s="255">
        <f t="shared" si="4"/>
        <v>2072.5</v>
      </c>
      <c r="V40" s="255"/>
      <c r="W40" s="255">
        <f t="shared" si="5"/>
        <v>9.3541912632821713</v>
      </c>
      <c r="X40" s="255">
        <f t="shared" si="15"/>
        <v>6.1770956316410857</v>
      </c>
      <c r="Y40" s="255">
        <f t="shared" si="15"/>
        <v>5.0885478158205428</v>
      </c>
      <c r="Z40" s="255">
        <f t="shared" si="15"/>
        <v>17.531286894923259</v>
      </c>
      <c r="AA40" s="255">
        <f t="shared" si="15"/>
        <v>20.265643447461628</v>
      </c>
      <c r="AB40" s="255">
        <f t="shared" si="15"/>
        <v>12.999999999999998</v>
      </c>
      <c r="AC40" s="255">
        <f t="shared" si="15"/>
        <v>8</v>
      </c>
      <c r="AD40" s="255">
        <f t="shared" si="15"/>
        <v>6.9999999999999991</v>
      </c>
      <c r="AE40" s="255">
        <f t="shared" si="15"/>
        <v>9</v>
      </c>
      <c r="AF40" s="255">
        <f t="shared" si="10"/>
        <v>11.441436138905239</v>
      </c>
      <c r="AG40" s="255">
        <f t="shared" si="10"/>
        <v>7.0882872277810485</v>
      </c>
      <c r="AH40" s="255">
        <f t="shared" si="10"/>
        <v>8.3178340200117713</v>
      </c>
      <c r="AI40" s="256">
        <f t="shared" si="11"/>
        <v>10.188693536652229</v>
      </c>
      <c r="AJ40" s="255">
        <f>+IFERROR(VLOOKUP($C40,'Kitsap Regulated - Price Out'!$C$10:$AG$39,31,FALSE),0)</f>
        <v>1.5907123179850453</v>
      </c>
      <c r="AR40" s="257">
        <f>+IFERROR(VLOOKUP($C40,'[41]Kitsap Regulated - Price Out'!$C$10:$S$39,17,FALSE),0)</f>
        <v>323.36</v>
      </c>
      <c r="AS40" s="257">
        <f t="shared" si="12"/>
        <v>2395.86</v>
      </c>
      <c r="AT40" s="258">
        <f t="shared" si="13"/>
        <v>17.834267924108158</v>
      </c>
      <c r="AU40" s="259">
        <f t="shared" si="8"/>
        <v>2520.9249599809127</v>
      </c>
      <c r="AV40" s="259">
        <f t="shared" si="14"/>
        <v>125.06495998091259</v>
      </c>
      <c r="AW40" s="260">
        <f t="shared" si="9"/>
        <v>5.2790314292098954E-2</v>
      </c>
    </row>
    <row r="41" spans="1:49" s="223" customFormat="1">
      <c r="A41" s="223" t="str">
        <f t="shared" si="2"/>
        <v>MASON CO-REGULATEDResidentialRESTART</v>
      </c>
      <c r="B41" s="223">
        <f t="shared" si="3"/>
        <v>1</v>
      </c>
      <c r="C41" s="59" t="s">
        <v>251</v>
      </c>
      <c r="D41" s="252" t="s">
        <v>252</v>
      </c>
      <c r="E41" s="253">
        <v>5.31</v>
      </c>
      <c r="F41" s="253">
        <v>5.31</v>
      </c>
      <c r="G41" s="253">
        <v>5.32</v>
      </c>
      <c r="H41" s="254"/>
      <c r="I41" s="255">
        <v>906.69999999999993</v>
      </c>
      <c r="J41" s="255">
        <v>27.49</v>
      </c>
      <c r="K41" s="255">
        <v>847.82</v>
      </c>
      <c r="L41" s="255">
        <v>61.230000000000004</v>
      </c>
      <c r="M41" s="255">
        <v>16.399999999999999</v>
      </c>
      <c r="N41" s="255">
        <v>0</v>
      </c>
      <c r="O41" s="255">
        <v>644.30000000000007</v>
      </c>
      <c r="P41" s="255">
        <v>5.31</v>
      </c>
      <c r="Q41" s="255">
        <v>1076.9499999999998</v>
      </c>
      <c r="R41" s="255">
        <v>32.880000000000003</v>
      </c>
      <c r="S41" s="255">
        <v>1188.4399999999998</v>
      </c>
      <c r="T41" s="255">
        <v>27.080000000000002</v>
      </c>
      <c r="U41" s="255">
        <f t="shared" si="4"/>
        <v>4834.5999999999995</v>
      </c>
      <c r="V41" s="255"/>
      <c r="W41" s="255">
        <f t="shared" si="5"/>
        <v>170.7532956685499</v>
      </c>
      <c r="X41" s="255">
        <f t="shared" si="15"/>
        <v>5.1770244821092284</v>
      </c>
      <c r="Y41" s="255">
        <f t="shared" si="15"/>
        <v>159.66478342749531</v>
      </c>
      <c r="Z41" s="255">
        <f t="shared" si="15"/>
        <v>11.531073446327685</v>
      </c>
      <c r="AA41" s="255">
        <f t="shared" si="15"/>
        <v>3.0885122410546137</v>
      </c>
      <c r="AB41" s="255">
        <f t="shared" si="15"/>
        <v>0</v>
      </c>
      <c r="AC41" s="255">
        <f t="shared" si="15"/>
        <v>121.33709981167611</v>
      </c>
      <c r="AD41" s="255">
        <f t="shared" si="15"/>
        <v>1</v>
      </c>
      <c r="AE41" s="255">
        <f t="shared" si="15"/>
        <v>202.81544256120526</v>
      </c>
      <c r="AF41" s="255">
        <f t="shared" si="10"/>
        <v>6.1804511278195493</v>
      </c>
      <c r="AG41" s="255">
        <f t="shared" si="10"/>
        <v>223.39097744360899</v>
      </c>
      <c r="AH41" s="255">
        <f t="shared" si="10"/>
        <v>5.0902255639097742</v>
      </c>
      <c r="AI41" s="256">
        <f t="shared" si="11"/>
        <v>75.835740481146374</v>
      </c>
      <c r="AJ41" s="255">
        <f>+IFERROR(VLOOKUP($C41,'Kitsap Regulated - Price Out'!$C$10:$AG$39,31,FALSE),0)</f>
        <v>16.297289504036904</v>
      </c>
      <c r="AR41" s="257">
        <f>+IFERROR(VLOOKUP($C41,'[41]Kitsap Regulated - Price Out'!$C$10:$S$39,17,FALSE),0)</f>
        <v>1130.3799999999999</v>
      </c>
      <c r="AS41" s="257">
        <f t="shared" si="12"/>
        <v>5964.98</v>
      </c>
      <c r="AT41" s="258">
        <f t="shared" si="13"/>
        <v>5.5843617043116787</v>
      </c>
      <c r="AU41" s="259">
        <f t="shared" si="8"/>
        <v>6174.0499722174845</v>
      </c>
      <c r="AV41" s="259">
        <f t="shared" si="14"/>
        <v>209.06997221748497</v>
      </c>
      <c r="AW41" s="260">
        <f t="shared" si="9"/>
        <v>5.1668870868489467E-2</v>
      </c>
    </row>
    <row r="42" spans="1:49" s="223" customFormat="1">
      <c r="A42" s="224" t="str">
        <f t="shared" si="2"/>
        <v>MASON CO-REGULATEDResidentialSTAIR-RES</v>
      </c>
      <c r="B42" s="224">
        <f t="shared" si="3"/>
        <v>1</v>
      </c>
      <c r="C42" s="59" t="s">
        <v>253</v>
      </c>
      <c r="D42" s="252" t="s">
        <v>254</v>
      </c>
      <c r="E42" s="253">
        <v>0.1</v>
      </c>
      <c r="F42" s="253">
        <v>0.1</v>
      </c>
      <c r="G42" s="253">
        <v>0.1</v>
      </c>
      <c r="H42" s="254"/>
      <c r="I42" s="255">
        <v>7.2</v>
      </c>
      <c r="J42" s="255">
        <v>7.2</v>
      </c>
      <c r="K42" s="255">
        <v>7.2</v>
      </c>
      <c r="L42" s="255">
        <v>7.2</v>
      </c>
      <c r="M42" s="255">
        <v>7.2</v>
      </c>
      <c r="N42" s="255">
        <v>7.2</v>
      </c>
      <c r="O42" s="255">
        <v>7.2</v>
      </c>
      <c r="P42" s="255">
        <v>7.2</v>
      </c>
      <c r="Q42" s="255">
        <v>7.2</v>
      </c>
      <c r="R42" s="255">
        <v>7.2</v>
      </c>
      <c r="S42" s="255">
        <v>7.2</v>
      </c>
      <c r="T42" s="255">
        <v>7.2</v>
      </c>
      <c r="U42" s="255">
        <f t="shared" si="4"/>
        <v>86.40000000000002</v>
      </c>
      <c r="V42" s="255"/>
      <c r="W42" s="255">
        <f t="shared" si="5"/>
        <v>72</v>
      </c>
      <c r="X42" s="255">
        <f t="shared" si="15"/>
        <v>72</v>
      </c>
      <c r="Y42" s="255">
        <f t="shared" si="15"/>
        <v>72</v>
      </c>
      <c r="Z42" s="255">
        <f t="shared" si="15"/>
        <v>72</v>
      </c>
      <c r="AA42" s="255">
        <f t="shared" si="15"/>
        <v>72</v>
      </c>
      <c r="AB42" s="255">
        <f t="shared" si="15"/>
        <v>72</v>
      </c>
      <c r="AC42" s="255">
        <f t="shared" si="15"/>
        <v>72</v>
      </c>
      <c r="AD42" s="255">
        <f t="shared" si="15"/>
        <v>72</v>
      </c>
      <c r="AE42" s="255">
        <f t="shared" si="15"/>
        <v>72</v>
      </c>
      <c r="AF42" s="255">
        <f t="shared" si="10"/>
        <v>72</v>
      </c>
      <c r="AG42" s="255">
        <f t="shared" si="10"/>
        <v>72</v>
      </c>
      <c r="AH42" s="255">
        <f t="shared" si="10"/>
        <v>72</v>
      </c>
      <c r="AI42" s="256">
        <f t="shared" si="11"/>
        <v>72</v>
      </c>
      <c r="AJ42" s="255">
        <f>+IFERROR(VLOOKUP($C42,'Kitsap Regulated - Price Out'!$C$10:$AG$39,31,FALSE),0)</f>
        <v>0</v>
      </c>
      <c r="AK42" s="269" t="s">
        <v>255</v>
      </c>
      <c r="AL42" s="270">
        <f>+SUM(AP10:AP13,AP15:AP22,AP25:AP28)</f>
        <v>13958.085827114834</v>
      </c>
      <c r="AR42" s="257">
        <f>+IFERROR(VLOOKUP($C42,'[41]Kitsap Regulated - Price Out'!$C$10:$S$39,17,FALSE),0)</f>
        <v>0</v>
      </c>
      <c r="AS42" s="257">
        <f t="shared" si="12"/>
        <v>86.40000000000002</v>
      </c>
      <c r="AT42" s="258">
        <f t="shared" si="13"/>
        <v>0.10496920496826463</v>
      </c>
      <c r="AU42" s="259">
        <f t="shared" si="8"/>
        <v>90.693393092580649</v>
      </c>
      <c r="AV42" s="259">
        <f t="shared" si="14"/>
        <v>4.2933930925806294</v>
      </c>
      <c r="AW42" s="260">
        <f t="shared" si="9"/>
        <v>4.9692049682646261E-2</v>
      </c>
    </row>
    <row r="43" spans="1:49" s="393" customFormat="1">
      <c r="A43" s="399" t="str">
        <f t="shared" si="2"/>
        <v>MASON CO-REGULATEDResidentialOFOWR</v>
      </c>
      <c r="B43" s="399">
        <f t="shared" si="3"/>
        <v>1</v>
      </c>
      <c r="C43" s="398" t="s">
        <v>256</v>
      </c>
      <c r="D43" s="405" t="s">
        <v>257</v>
      </c>
      <c r="E43" s="406">
        <v>4.51</v>
      </c>
      <c r="F43" s="406">
        <v>4.55</v>
      </c>
      <c r="G43" s="406">
        <v>4.5599999999999996</v>
      </c>
      <c r="H43" s="395"/>
      <c r="I43" s="396">
        <v>2146.7600000000002</v>
      </c>
      <c r="J43" s="396">
        <v>1510.1599999999999</v>
      </c>
      <c r="K43" s="396">
        <v>1483.3</v>
      </c>
      <c r="L43" s="396">
        <v>1169.3899999999999</v>
      </c>
      <c r="M43" s="396">
        <v>2043.53</v>
      </c>
      <c r="N43" s="396">
        <v>2197.69</v>
      </c>
      <c r="O43" s="396">
        <v>1888.25</v>
      </c>
      <c r="P43" s="396">
        <v>3098.55</v>
      </c>
      <c r="Q43" s="396">
        <v>2803.09</v>
      </c>
      <c r="R43" s="396">
        <v>2866.19</v>
      </c>
      <c r="S43" s="396">
        <v>3050.67</v>
      </c>
      <c r="T43" s="396">
        <v>2913.84</v>
      </c>
      <c r="U43" s="396">
        <f t="shared" si="4"/>
        <v>27171.420000000002</v>
      </c>
      <c r="V43" s="396"/>
      <c r="W43" s="396">
        <f t="shared" si="5"/>
        <v>476.00000000000006</v>
      </c>
      <c r="X43" s="396">
        <f t="shared" si="15"/>
        <v>331.90329670329669</v>
      </c>
      <c r="Y43" s="396">
        <f t="shared" si="15"/>
        <v>326</v>
      </c>
      <c r="Z43" s="396">
        <f t="shared" si="15"/>
        <v>257.00879120879119</v>
      </c>
      <c r="AA43" s="396">
        <f t="shared" si="15"/>
        <v>449.12747252747255</v>
      </c>
      <c r="AB43" s="396">
        <f t="shared" si="15"/>
        <v>483.00879120879125</v>
      </c>
      <c r="AC43" s="396">
        <f t="shared" si="15"/>
        <v>415</v>
      </c>
      <c r="AD43" s="396">
        <f t="shared" si="15"/>
        <v>681.00000000000011</v>
      </c>
      <c r="AE43" s="396">
        <f t="shared" si="15"/>
        <v>616.06373626373636</v>
      </c>
      <c r="AF43" s="396">
        <f t="shared" si="10"/>
        <v>628.55043859649129</v>
      </c>
      <c r="AG43" s="396">
        <f t="shared" si="10"/>
        <v>669.00657894736844</v>
      </c>
      <c r="AH43" s="396">
        <f t="shared" si="10"/>
        <v>639.00000000000011</v>
      </c>
      <c r="AI43" s="397">
        <f t="shared" si="11"/>
        <v>497.63909212132893</v>
      </c>
      <c r="AJ43" s="396">
        <f>+IFERROR(VLOOKUP($C43,'Kitsap Regulated - Price Out'!$C$10:$AG$39,31,FALSE),0)</f>
        <v>97.445226917057894</v>
      </c>
      <c r="AK43" s="402" t="s">
        <v>57</v>
      </c>
      <c r="AL43" s="403">
        <f>+AP14</f>
        <v>8</v>
      </c>
      <c r="AR43" s="407">
        <f>+IFERROR(VLOOKUP($C43,'[41]Kitsap Regulated - Price Out'!$C$10:$S$39,17,FALSE),0)</f>
        <v>4981.3999999999987</v>
      </c>
      <c r="AS43" s="407">
        <f t="shared" si="12"/>
        <v>32152.82</v>
      </c>
      <c r="AT43" s="408">
        <f t="shared" si="13"/>
        <v>4.7865957465528668</v>
      </c>
      <c r="AU43" s="409">
        <f t="shared" si="8"/>
        <v>34181.136844193425</v>
      </c>
      <c r="AV43" s="409">
        <f t="shared" si="14"/>
        <v>2028.3168441934249</v>
      </c>
      <c r="AW43" s="410">
        <f t="shared" si="9"/>
        <v>5.1999065176454279E-2</v>
      </c>
    </row>
    <row r="44" spans="1:49" s="223" customFormat="1">
      <c r="A44" s="223" t="str">
        <f t="shared" si="2"/>
        <v>MASON CO-REGULATEDResidentialADJOTHR</v>
      </c>
      <c r="B44" s="223">
        <f t="shared" si="3"/>
        <v>1</v>
      </c>
      <c r="C44" s="59" t="s">
        <v>258</v>
      </c>
      <c r="D44" s="252" t="s">
        <v>259</v>
      </c>
      <c r="E44" s="253">
        <v>0</v>
      </c>
      <c r="F44" s="253">
        <v>0</v>
      </c>
      <c r="G44" s="253">
        <v>0</v>
      </c>
      <c r="H44" s="254"/>
      <c r="I44" s="255">
        <v>-4.6199999999999992</v>
      </c>
      <c r="J44" s="255">
        <v>-151.43</v>
      </c>
      <c r="K44" s="255">
        <v>0</v>
      </c>
      <c r="L44" s="255">
        <v>-24.16</v>
      </c>
      <c r="M44" s="255">
        <v>0</v>
      </c>
      <c r="N44" s="255">
        <v>-75.78</v>
      </c>
      <c r="O44" s="255">
        <v>0</v>
      </c>
      <c r="P44" s="255">
        <v>-0.48</v>
      </c>
      <c r="Q44" s="255">
        <v>-61.81</v>
      </c>
      <c r="R44" s="255">
        <v>-10.65</v>
      </c>
      <c r="S44" s="255">
        <v>-1</v>
      </c>
      <c r="T44" s="255">
        <v>0</v>
      </c>
      <c r="U44" s="255">
        <f t="shared" si="4"/>
        <v>-329.93</v>
      </c>
      <c r="V44" s="255"/>
      <c r="W44" s="255">
        <f t="shared" si="5"/>
        <v>0</v>
      </c>
      <c r="X44" s="255">
        <f t="shared" si="15"/>
        <v>0</v>
      </c>
      <c r="Y44" s="255">
        <f t="shared" si="15"/>
        <v>0</v>
      </c>
      <c r="Z44" s="255">
        <f t="shared" si="15"/>
        <v>0</v>
      </c>
      <c r="AA44" s="255">
        <f t="shared" si="15"/>
        <v>0</v>
      </c>
      <c r="AB44" s="255">
        <f t="shared" si="15"/>
        <v>0</v>
      </c>
      <c r="AC44" s="255">
        <f t="shared" si="15"/>
        <v>0</v>
      </c>
      <c r="AD44" s="255">
        <f t="shared" si="15"/>
        <v>0</v>
      </c>
      <c r="AE44" s="255">
        <f t="shared" si="15"/>
        <v>0</v>
      </c>
      <c r="AF44" s="255">
        <f t="shared" si="10"/>
        <v>0</v>
      </c>
      <c r="AG44" s="255">
        <f t="shared" si="10"/>
        <v>0</v>
      </c>
      <c r="AH44" s="255">
        <f t="shared" si="10"/>
        <v>0</v>
      </c>
      <c r="AI44" s="256">
        <f t="shared" si="11"/>
        <v>0</v>
      </c>
      <c r="AJ44" s="255">
        <f>+IFERROR(VLOOKUP($C44,'Kitsap Regulated - Price Out'!$C$10:$AG$39,31,FALSE),0)</f>
        <v>0</v>
      </c>
      <c r="AK44" s="224"/>
      <c r="AL44" s="224"/>
      <c r="AR44" s="257">
        <f>+IFERROR(VLOOKUP($C44,'[41]Kitsap Regulated - Price Out'!$C$10:$S$39,17,FALSE),0)</f>
        <v>-250.51</v>
      </c>
      <c r="AS44" s="257">
        <f t="shared" si="12"/>
        <v>-580.44000000000005</v>
      </c>
      <c r="AT44" s="258">
        <f t="shared" si="13"/>
        <v>0</v>
      </c>
      <c r="AU44" s="259">
        <f t="shared" si="8"/>
        <v>0</v>
      </c>
      <c r="AV44" s="259">
        <f t="shared" si="14"/>
        <v>580.44000000000005</v>
      </c>
      <c r="AW44" s="260">
        <f t="shared" si="9"/>
        <v>0</v>
      </c>
    </row>
    <row r="45" spans="1:49">
      <c r="C45" s="59"/>
      <c r="D45" s="252"/>
      <c r="E45" s="253"/>
      <c r="F45" s="253"/>
      <c r="G45" s="253"/>
      <c r="H45" s="254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6"/>
      <c r="AJ45" s="255">
        <f>+IFERROR(VLOOKUP($C45,'Kitsap Regulated - Price Out'!$C$10:$AG$39,31,FALSE),0)</f>
        <v>0</v>
      </c>
      <c r="AR45" s="242"/>
      <c r="AS45" s="242"/>
      <c r="AU45" s="271"/>
      <c r="AV45" s="271"/>
    </row>
    <row r="46" spans="1:49" ht="12">
      <c r="B46" s="224">
        <f>COUNTIF(C:C,C46)</f>
        <v>0</v>
      </c>
      <c r="C46" s="272"/>
      <c r="D46" s="273" t="s">
        <v>103</v>
      </c>
      <c r="E46" s="254"/>
      <c r="F46" s="254"/>
      <c r="G46" s="254"/>
      <c r="H46" s="254"/>
      <c r="I46" s="274">
        <f t="shared" ref="I46:U46" si="16">SUM(I10:I45)</f>
        <v>204244.81000000003</v>
      </c>
      <c r="J46" s="274">
        <f t="shared" si="16"/>
        <v>205650.56000000006</v>
      </c>
      <c r="K46" s="274">
        <f t="shared" si="16"/>
        <v>203813.34000000005</v>
      </c>
      <c r="L46" s="274">
        <f t="shared" si="16"/>
        <v>207841.74000000005</v>
      </c>
      <c r="M46" s="274">
        <f t="shared" si="16"/>
        <v>215302.54</v>
      </c>
      <c r="N46" s="274">
        <f t="shared" si="16"/>
        <v>223935.95500000002</v>
      </c>
      <c r="O46" s="274">
        <f t="shared" si="16"/>
        <v>227165.31499999994</v>
      </c>
      <c r="P46" s="274">
        <f t="shared" si="16"/>
        <v>240012.37999999998</v>
      </c>
      <c r="Q46" s="274">
        <f t="shared" si="16"/>
        <v>242656.82</v>
      </c>
      <c r="R46" s="274">
        <f t="shared" si="16"/>
        <v>297880.97000000003</v>
      </c>
      <c r="S46" s="274">
        <f t="shared" si="16"/>
        <v>293141.25999999995</v>
      </c>
      <c r="T46" s="274">
        <f t="shared" si="16"/>
        <v>288901.77499999985</v>
      </c>
      <c r="U46" s="274">
        <f t="shared" si="16"/>
        <v>2850547.4649999999</v>
      </c>
      <c r="W46" s="275">
        <f t="shared" ref="W46:AJ46" si="17">+SUM(W10:W22)</f>
        <v>10035.010347132569</v>
      </c>
      <c r="X46" s="275">
        <f t="shared" si="17"/>
        <v>10076.878365699735</v>
      </c>
      <c r="Y46" s="275">
        <f t="shared" si="17"/>
        <v>10008.718184959449</v>
      </c>
      <c r="Z46" s="275">
        <f t="shared" si="17"/>
        <v>10187.883785962604</v>
      </c>
      <c r="AA46" s="275">
        <f t="shared" si="17"/>
        <v>10373.415765798967</v>
      </c>
      <c r="AB46" s="275">
        <f t="shared" si="17"/>
        <v>10693.05937854259</v>
      </c>
      <c r="AC46" s="275">
        <f t="shared" si="17"/>
        <v>10857.024049954667</v>
      </c>
      <c r="AD46" s="275">
        <f t="shared" si="17"/>
        <v>11139.305773235352</v>
      </c>
      <c r="AE46" s="275">
        <f t="shared" si="17"/>
        <v>11231.047802699677</v>
      </c>
      <c r="AF46" s="275">
        <f t="shared" si="17"/>
        <v>13724.831814477106</v>
      </c>
      <c r="AG46" s="275">
        <f t="shared" si="17"/>
        <v>13586.116302574097</v>
      </c>
      <c r="AH46" s="275">
        <f t="shared" si="17"/>
        <v>13440.585827114834</v>
      </c>
      <c r="AI46" s="275">
        <f t="shared" si="17"/>
        <v>11279.489783179304</v>
      </c>
      <c r="AJ46" s="275">
        <f t="shared" si="17"/>
        <v>1771.8500863494955</v>
      </c>
      <c r="AR46" s="274">
        <f>SUM(AR10:AR45)</f>
        <v>435579.91</v>
      </c>
      <c r="AS46" s="274">
        <f>SUM(AS10:AS45)</f>
        <v>3286127.375</v>
      </c>
      <c r="AU46" s="276">
        <f>SUM(AU10:AU45)</f>
        <v>3500126.8717263462</v>
      </c>
      <c r="AV46" s="276">
        <f>SUM(AV10:AV45)</f>
        <v>213999.49672634713</v>
      </c>
      <c r="AW46" s="277">
        <f>+AV46/(AR46+U46)</f>
        <v>6.5122094278633108E-2</v>
      </c>
    </row>
    <row r="47" spans="1:49" ht="12">
      <c r="C47" s="272"/>
      <c r="D47" s="273"/>
      <c r="E47" s="254"/>
      <c r="F47" s="254"/>
      <c r="G47" s="254"/>
      <c r="H47" s="254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J47" s="404">
        <f>+SUM(AJ10:AJ45)-'Kitsap Regulated - Price Out'!AG41</f>
        <v>-0.16574367088651343</v>
      </c>
      <c r="AR47" s="242">
        <f>+AR46-'[41]Kitsap Regulated - Price Out'!S40</f>
        <v>-301.67999999993481</v>
      </c>
      <c r="AS47" s="242"/>
      <c r="AU47" s="271"/>
      <c r="AV47" s="280">
        <f>+AU46-U46-AR46-AV46</f>
        <v>-7.5669959187507629E-10</v>
      </c>
    </row>
    <row r="48" spans="1:49" ht="12">
      <c r="C48" s="272"/>
      <c r="D48" s="272"/>
      <c r="E48" s="254"/>
      <c r="F48" s="254"/>
      <c r="G48" s="254"/>
      <c r="H48" s="254"/>
      <c r="I48" s="281"/>
      <c r="J48" s="255"/>
      <c r="K48" s="255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J48" s="224"/>
      <c r="AR48" s="242"/>
      <c r="AS48" s="242"/>
      <c r="AU48" s="271"/>
      <c r="AV48" s="271"/>
    </row>
    <row r="49" spans="1:52" ht="12">
      <c r="B49" s="224">
        <f t="shared" ref="B49:B58" si="18">COUNTIF(C:C,C49)</f>
        <v>1</v>
      </c>
      <c r="C49" s="282" t="s">
        <v>104</v>
      </c>
      <c r="D49" s="282" t="s">
        <v>104</v>
      </c>
      <c r="E49" s="254"/>
      <c r="F49" s="254"/>
      <c r="G49" s="254"/>
      <c r="H49" s="254"/>
      <c r="I49" s="281"/>
      <c r="J49" s="255"/>
      <c r="K49" s="255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W49" s="279">
        <f t="shared" ref="W49:W65" si="19">IFERROR(I49/$E49,0)</f>
        <v>0</v>
      </c>
      <c r="X49" s="279">
        <f t="shared" ref="X49:AH65" si="20">IFERROR(J49/$F49,0)</f>
        <v>0</v>
      </c>
      <c r="Y49" s="279">
        <f t="shared" si="20"/>
        <v>0</v>
      </c>
      <c r="Z49" s="279">
        <f t="shared" si="20"/>
        <v>0</v>
      </c>
      <c r="AA49" s="279">
        <f t="shared" si="20"/>
        <v>0</v>
      </c>
      <c r="AB49" s="279">
        <f t="shared" si="20"/>
        <v>0</v>
      </c>
      <c r="AC49" s="279">
        <f t="shared" si="20"/>
        <v>0</v>
      </c>
      <c r="AD49" s="279">
        <f t="shared" si="20"/>
        <v>0</v>
      </c>
      <c r="AE49" s="279">
        <f t="shared" si="20"/>
        <v>0</v>
      </c>
      <c r="AF49" s="279">
        <f t="shared" si="20"/>
        <v>0</v>
      </c>
      <c r="AG49" s="279">
        <f t="shared" si="20"/>
        <v>0</v>
      </c>
      <c r="AH49" s="279">
        <f t="shared" si="20"/>
        <v>0</v>
      </c>
      <c r="AJ49" s="224"/>
      <c r="AR49" s="242"/>
      <c r="AS49" s="242"/>
      <c r="AU49" s="271"/>
      <c r="AV49" s="271"/>
    </row>
    <row r="50" spans="1:52" s="223" customFormat="1" ht="15.75" customHeight="1">
      <c r="A50" s="224" t="str">
        <f t="shared" ref="A50:A56" si="21">$A$1&amp;"Residential"&amp;C50</f>
        <v>MASON CO-REGULATEDResidentialDRVNRE1RECY</v>
      </c>
      <c r="B50" s="224">
        <f t="shared" si="18"/>
        <v>1</v>
      </c>
      <c r="C50" s="283" t="s">
        <v>260</v>
      </c>
      <c r="D50" s="252" t="s">
        <v>261</v>
      </c>
      <c r="E50" s="253">
        <v>2.63</v>
      </c>
      <c r="F50" s="253">
        <v>2.63</v>
      </c>
      <c r="G50" s="253">
        <f>1.21*2.17</f>
        <v>2.6256999999999997</v>
      </c>
      <c r="H50" s="254"/>
      <c r="I50" s="255">
        <v>262.69499999999999</v>
      </c>
      <c r="J50" s="255">
        <v>269.83999999999997</v>
      </c>
      <c r="K50" s="255">
        <v>267.46999999999997</v>
      </c>
      <c r="L50" s="255">
        <v>263.66000000000003</v>
      </c>
      <c r="M50" s="255">
        <v>267.61</v>
      </c>
      <c r="N50" s="255">
        <v>264.83499999999998</v>
      </c>
      <c r="O50" s="255">
        <v>279.30500000000001</v>
      </c>
      <c r="P50" s="255">
        <v>279.96499999999997</v>
      </c>
      <c r="Q50" s="255">
        <v>281.28499999999997</v>
      </c>
      <c r="R50" s="255">
        <v>326.91500000000002</v>
      </c>
      <c r="S50" s="255">
        <v>321.64500000000004</v>
      </c>
      <c r="T50" s="255">
        <v>318.625</v>
      </c>
      <c r="U50" s="255">
        <f t="shared" ref="U50:U64" si="22">SUM(I50:T50)</f>
        <v>3403.85</v>
      </c>
      <c r="V50" s="255"/>
      <c r="W50" s="255">
        <f t="shared" si="19"/>
        <v>99.884030418250958</v>
      </c>
      <c r="X50" s="255">
        <f t="shared" si="20"/>
        <v>102.60076045627376</v>
      </c>
      <c r="Y50" s="255">
        <f t="shared" si="20"/>
        <v>101.69961977186311</v>
      </c>
      <c r="Z50" s="255">
        <f t="shared" si="20"/>
        <v>100.25095057034221</v>
      </c>
      <c r="AA50" s="255">
        <f t="shared" si="20"/>
        <v>101.75285171102662</v>
      </c>
      <c r="AB50" s="255">
        <f t="shared" si="20"/>
        <v>100.6977186311787</v>
      </c>
      <c r="AC50" s="255">
        <f t="shared" si="20"/>
        <v>106.19961977186313</v>
      </c>
      <c r="AD50" s="255">
        <f t="shared" si="20"/>
        <v>106.45057034220532</v>
      </c>
      <c r="AE50" s="255">
        <f t="shared" si="20"/>
        <v>106.95247148288972</v>
      </c>
      <c r="AF50" s="255">
        <f t="shared" ref="AF50:AH65" si="23">IFERROR(R50/$G50,0)</f>
        <v>124.50584606009828</v>
      </c>
      <c r="AG50" s="255">
        <f t="shared" si="23"/>
        <v>122.49876223483264</v>
      </c>
      <c r="AH50" s="255">
        <f t="shared" si="23"/>
        <v>121.3485927562174</v>
      </c>
      <c r="AI50" s="256">
        <f t="shared" ref="AI50:AI64" si="24">AVERAGE(W50:AH50)</f>
        <v>107.9034828505868</v>
      </c>
      <c r="AJ50" s="255">
        <f>+IFERROR(VLOOKUP($C50,'Kitsap Regulated - Price Out'!$C$44:$AG$55,31,FALSE),0)</f>
        <v>12.484765967170661</v>
      </c>
      <c r="AK50" s="224"/>
      <c r="AL50" s="224"/>
      <c r="AM50" s="224"/>
      <c r="AN50" s="224"/>
      <c r="AO50" s="224"/>
      <c r="AP50" s="224"/>
      <c r="AQ50" s="224"/>
      <c r="AR50" s="257">
        <f>+IFERROR(VLOOKUP($C50,'[41]Kitsap Regulated - Price Out'!$C$44:$S$53,17,FALSE),0)</f>
        <v>393.375</v>
      </c>
      <c r="AS50" s="257">
        <f t="shared" ref="AS50:AS54" si="25">AR50+U50</f>
        <v>3797.2249999999999</v>
      </c>
      <c r="AT50" s="258">
        <f>+IFERROR($G50*(1+$AW$2),0)</f>
        <v>2.8300826561069075</v>
      </c>
      <c r="AU50" s="259">
        <f t="shared" ref="AU50:AU64" si="26">+$AT50*(AI50+AJ50)*12</f>
        <v>4088.5043397386189</v>
      </c>
      <c r="AV50" s="259">
        <f t="shared" ref="AV50:AV64" si="27">+AU50-U50-AR50</f>
        <v>291.279339738619</v>
      </c>
      <c r="AW50" s="284">
        <f t="shared" ref="AW50:AW64" si="28">+IFERROR((AT50-F50)/F50,0)</f>
        <v>7.6077055553957246E-2</v>
      </c>
    </row>
    <row r="51" spans="1:52" s="223" customFormat="1" ht="12.75">
      <c r="A51" s="224" t="str">
        <f t="shared" si="21"/>
        <v>MASON CO-REGULATEDResidentialDRVNRE1RECYMA</v>
      </c>
      <c r="B51" s="224">
        <f t="shared" si="18"/>
        <v>1</v>
      </c>
      <c r="C51" s="283" t="s">
        <v>262</v>
      </c>
      <c r="D51" s="252" t="s">
        <v>261</v>
      </c>
      <c r="E51" s="253">
        <v>2.63</v>
      </c>
      <c r="F51" s="253">
        <v>2.63</v>
      </c>
      <c r="G51" s="253">
        <f>1.21*2.17</f>
        <v>2.6256999999999997</v>
      </c>
      <c r="H51" s="254"/>
      <c r="I51" s="255">
        <v>65.75</v>
      </c>
      <c r="J51" s="255">
        <v>60.49</v>
      </c>
      <c r="K51" s="255">
        <v>60.49</v>
      </c>
      <c r="L51" s="255">
        <v>57.86</v>
      </c>
      <c r="M51" s="255">
        <v>60.49</v>
      </c>
      <c r="N51" s="255">
        <v>60.49</v>
      </c>
      <c r="O51" s="255">
        <v>57.86</v>
      </c>
      <c r="P51" s="255">
        <v>56.55</v>
      </c>
      <c r="Q51" s="255">
        <v>94.68</v>
      </c>
      <c r="R51" s="255">
        <v>96.88</v>
      </c>
      <c r="S51" s="255">
        <v>99.94</v>
      </c>
      <c r="T51" s="255">
        <v>97.31</v>
      </c>
      <c r="U51" s="255">
        <f t="shared" si="22"/>
        <v>868.79</v>
      </c>
      <c r="V51" s="255"/>
      <c r="W51" s="255">
        <f t="shared" si="19"/>
        <v>25</v>
      </c>
      <c r="X51" s="255">
        <f t="shared" si="20"/>
        <v>23</v>
      </c>
      <c r="Y51" s="255">
        <f t="shared" si="20"/>
        <v>23</v>
      </c>
      <c r="Z51" s="255">
        <f t="shared" si="20"/>
        <v>22</v>
      </c>
      <c r="AA51" s="255">
        <f t="shared" si="20"/>
        <v>23</v>
      </c>
      <c r="AB51" s="255">
        <f t="shared" si="20"/>
        <v>23</v>
      </c>
      <c r="AC51" s="255">
        <f t="shared" si="20"/>
        <v>22</v>
      </c>
      <c r="AD51" s="255">
        <f t="shared" si="20"/>
        <v>21.50190114068441</v>
      </c>
      <c r="AE51" s="255">
        <f t="shared" si="20"/>
        <v>36.000000000000007</v>
      </c>
      <c r="AF51" s="255">
        <f t="shared" si="23"/>
        <v>36.896827512663293</v>
      </c>
      <c r="AG51" s="255">
        <f t="shared" si="23"/>
        <v>38.062231024107859</v>
      </c>
      <c r="AH51" s="255">
        <f t="shared" si="23"/>
        <v>37.060593365578711</v>
      </c>
      <c r="AI51" s="256">
        <f t="shared" si="24"/>
        <v>27.543462753586187</v>
      </c>
      <c r="AJ51" s="255">
        <f>+IFERROR(VLOOKUP($C51,'Kitsap Regulated - Price Out'!$C$44:$AG$55,31,FALSE),0)</f>
        <v>9.4596996356527168</v>
      </c>
      <c r="AR51" s="257">
        <f>+IFERROR(VLOOKUP($C51,'[41]Kitsap Regulated - Price Out'!$C$44:$S$53,17,FALSE),0)</f>
        <v>298.05999999999995</v>
      </c>
      <c r="AS51" s="257">
        <f t="shared" si="25"/>
        <v>1166.8499999999999</v>
      </c>
      <c r="AT51" s="258">
        <f t="shared" ref="AT51:AT64" si="29">+IFERROR($G51*(1+$AW$2),0)</f>
        <v>2.8300826561069075</v>
      </c>
      <c r="AU51" s="259">
        <f t="shared" si="26"/>
        <v>1256.6640971867093</v>
      </c>
      <c r="AV51" s="259">
        <f t="shared" si="27"/>
        <v>89.814097186709432</v>
      </c>
      <c r="AW51" s="284">
        <f t="shared" si="28"/>
        <v>7.6077055553957246E-2</v>
      </c>
    </row>
    <row r="52" spans="1:52" s="223" customFormat="1" ht="15.75" customHeight="1">
      <c r="A52" s="223" t="str">
        <f t="shared" si="21"/>
        <v>MASON CO-REGULATEDResidentialDRVNRE2RECY</v>
      </c>
      <c r="B52" s="223">
        <f t="shared" si="18"/>
        <v>1</v>
      </c>
      <c r="C52" s="285" t="s">
        <v>263</v>
      </c>
      <c r="D52" s="252" t="s">
        <v>264</v>
      </c>
      <c r="E52" s="253">
        <v>3.3</v>
      </c>
      <c r="F52" s="253">
        <v>3.3</v>
      </c>
      <c r="G52" s="253">
        <f>1.52*2.17</f>
        <v>3.2984</v>
      </c>
      <c r="H52" s="254"/>
      <c r="I52" s="255">
        <v>75.239999999999995</v>
      </c>
      <c r="J52" s="255">
        <v>75.900000000000006</v>
      </c>
      <c r="K52" s="255">
        <v>75.570000000000007</v>
      </c>
      <c r="L52" s="255">
        <v>80.19</v>
      </c>
      <c r="M52" s="255">
        <v>80.19</v>
      </c>
      <c r="N52" s="255">
        <v>79.2</v>
      </c>
      <c r="O52" s="255">
        <v>79.2</v>
      </c>
      <c r="P52" s="255">
        <v>79.2</v>
      </c>
      <c r="Q52" s="255">
        <v>82.5</v>
      </c>
      <c r="R52" s="255">
        <v>95.7</v>
      </c>
      <c r="S52" s="255">
        <v>84.15</v>
      </c>
      <c r="T52" s="255">
        <v>85.8</v>
      </c>
      <c r="U52" s="255">
        <f t="shared" si="22"/>
        <v>972.84</v>
      </c>
      <c r="V52" s="255"/>
      <c r="W52" s="255">
        <f t="shared" si="19"/>
        <v>22.8</v>
      </c>
      <c r="X52" s="255">
        <f t="shared" si="20"/>
        <v>23.000000000000004</v>
      </c>
      <c r="Y52" s="255">
        <f t="shared" si="20"/>
        <v>22.900000000000002</v>
      </c>
      <c r="Z52" s="255">
        <f t="shared" si="20"/>
        <v>24.3</v>
      </c>
      <c r="AA52" s="255">
        <f t="shared" si="20"/>
        <v>24.3</v>
      </c>
      <c r="AB52" s="255">
        <f t="shared" si="20"/>
        <v>24.000000000000004</v>
      </c>
      <c r="AC52" s="255">
        <f t="shared" si="20"/>
        <v>24.000000000000004</v>
      </c>
      <c r="AD52" s="255">
        <f t="shared" si="20"/>
        <v>24.000000000000004</v>
      </c>
      <c r="AE52" s="255">
        <f t="shared" si="20"/>
        <v>25</v>
      </c>
      <c r="AF52" s="255">
        <f t="shared" si="23"/>
        <v>29.014067426631094</v>
      </c>
      <c r="AG52" s="255">
        <f t="shared" si="23"/>
        <v>25.512369633761825</v>
      </c>
      <c r="AH52" s="255">
        <f t="shared" si="23"/>
        <v>26.012612175600289</v>
      </c>
      <c r="AI52" s="256">
        <f t="shared" si="24"/>
        <v>24.569920769666101</v>
      </c>
      <c r="AJ52" s="255">
        <f>+IFERROR(VLOOKUP($C52,'Kitsap Regulated - Price Out'!$C$44:$AG$55,31,FALSE),0)</f>
        <v>3.3665312474735223</v>
      </c>
      <c r="AK52" s="224"/>
      <c r="AL52" s="224"/>
      <c r="AM52" s="224"/>
      <c r="AN52" s="224"/>
      <c r="AO52" s="224"/>
      <c r="AP52" s="224"/>
      <c r="AQ52" s="224"/>
      <c r="AR52" s="257">
        <f>+IFERROR(VLOOKUP($C52,'[41]Kitsap Regulated - Price Out'!$C$44:$S$53,17,FALSE),0)</f>
        <v>133.25</v>
      </c>
      <c r="AS52" s="257">
        <f t="shared" si="25"/>
        <v>1106.0900000000001</v>
      </c>
      <c r="AT52" s="258">
        <f t="shared" si="29"/>
        <v>3.5551451547789252</v>
      </c>
      <c r="AU52" s="259">
        <f t="shared" si="26"/>
        <v>1191.8177043653743</v>
      </c>
      <c r="AV52" s="259">
        <f t="shared" si="27"/>
        <v>85.727704365374279</v>
      </c>
      <c r="AW52" s="284">
        <f t="shared" si="28"/>
        <v>7.7316713569371337E-2</v>
      </c>
    </row>
    <row r="53" spans="1:52" s="223" customFormat="1" ht="15.75" customHeight="1">
      <c r="A53" s="223" t="str">
        <f t="shared" si="21"/>
        <v>MASON CO-REGULATEDResidentialDRVNRE2RECYMA</v>
      </c>
      <c r="B53" s="223">
        <f t="shared" si="18"/>
        <v>1</v>
      </c>
      <c r="C53" s="285" t="s">
        <v>265</v>
      </c>
      <c r="D53" s="252" t="s">
        <v>264</v>
      </c>
      <c r="E53" s="253">
        <v>3.3</v>
      </c>
      <c r="F53" s="253">
        <v>3.3</v>
      </c>
      <c r="G53" s="253">
        <f>1.52*2.17</f>
        <v>3.2984</v>
      </c>
      <c r="H53" s="254"/>
      <c r="I53" s="255">
        <v>19.8</v>
      </c>
      <c r="J53" s="255">
        <v>19.8</v>
      </c>
      <c r="K53" s="255">
        <v>19.8</v>
      </c>
      <c r="L53" s="255">
        <v>19.8</v>
      </c>
      <c r="M53" s="255">
        <v>18.149999999999999</v>
      </c>
      <c r="N53" s="255">
        <v>16.5</v>
      </c>
      <c r="O53" s="255">
        <v>16.5</v>
      </c>
      <c r="P53" s="255">
        <v>16.5</v>
      </c>
      <c r="Q53" s="255">
        <v>16.5</v>
      </c>
      <c r="R53" s="255">
        <v>16.5</v>
      </c>
      <c r="S53" s="255">
        <v>16.5</v>
      </c>
      <c r="T53" s="255">
        <v>16.5</v>
      </c>
      <c r="U53" s="255">
        <f t="shared" si="22"/>
        <v>212.85</v>
      </c>
      <c r="V53" s="255"/>
      <c r="W53" s="255">
        <f t="shared" si="19"/>
        <v>6.0000000000000009</v>
      </c>
      <c r="X53" s="255">
        <f t="shared" si="20"/>
        <v>6.0000000000000009</v>
      </c>
      <c r="Y53" s="255">
        <f t="shared" si="20"/>
        <v>6.0000000000000009</v>
      </c>
      <c r="Z53" s="255">
        <f t="shared" si="20"/>
        <v>6.0000000000000009</v>
      </c>
      <c r="AA53" s="255">
        <f t="shared" si="20"/>
        <v>5.5</v>
      </c>
      <c r="AB53" s="255">
        <f t="shared" si="20"/>
        <v>5</v>
      </c>
      <c r="AC53" s="255">
        <f t="shared" si="20"/>
        <v>5</v>
      </c>
      <c r="AD53" s="255">
        <f t="shared" si="20"/>
        <v>5</v>
      </c>
      <c r="AE53" s="255">
        <f t="shared" si="20"/>
        <v>5</v>
      </c>
      <c r="AF53" s="255">
        <f t="shared" si="23"/>
        <v>5.0024254183846715</v>
      </c>
      <c r="AG53" s="255">
        <f t="shared" si="23"/>
        <v>5.0024254183846715</v>
      </c>
      <c r="AH53" s="255">
        <f t="shared" si="23"/>
        <v>5.0024254183846715</v>
      </c>
      <c r="AI53" s="256">
        <f t="shared" si="24"/>
        <v>5.3756063545961688</v>
      </c>
      <c r="AJ53" s="255">
        <f>+IFERROR(VLOOKUP($C53,'Kitsap Regulated - Price Out'!$C$44:$AG$55,31,FALSE),0)</f>
        <v>0</v>
      </c>
      <c r="AK53" s="224"/>
      <c r="AL53" s="224"/>
      <c r="AM53" s="224"/>
      <c r="AN53" s="224"/>
      <c r="AO53" s="224"/>
      <c r="AP53" s="224"/>
      <c r="AQ53" s="224"/>
      <c r="AR53" s="257">
        <f>+IFERROR(VLOOKUP($C53,'[41]Kitsap Regulated - Price Out'!$C$44:$S$53,17,FALSE),0)</f>
        <v>0</v>
      </c>
      <c r="AS53" s="257">
        <f t="shared" si="25"/>
        <v>212.85</v>
      </c>
      <c r="AT53" s="258">
        <f t="shared" si="29"/>
        <v>3.5551451547789252</v>
      </c>
      <c r="AU53" s="259">
        <f t="shared" si="26"/>
        <v>229.33273062649644</v>
      </c>
      <c r="AV53" s="259">
        <f t="shared" si="27"/>
        <v>16.482730626496448</v>
      </c>
      <c r="AW53" s="284">
        <f t="shared" si="28"/>
        <v>7.7316713569371337E-2</v>
      </c>
    </row>
    <row r="54" spans="1:52" s="223" customFormat="1" ht="15.75" customHeight="1">
      <c r="A54" s="223" t="str">
        <f t="shared" si="21"/>
        <v>MASON CO-REGULATEDResidentialDRVNRM1RECYMA</v>
      </c>
      <c r="B54" s="223">
        <f t="shared" si="18"/>
        <v>1</v>
      </c>
      <c r="C54" s="285" t="s">
        <v>266</v>
      </c>
      <c r="D54" s="252" t="s">
        <v>267</v>
      </c>
      <c r="E54" s="253">
        <v>1.1100000000000001</v>
      </c>
      <c r="F54" s="253">
        <v>1.1000000000000001</v>
      </c>
      <c r="G54" s="253">
        <v>1.21</v>
      </c>
      <c r="H54" s="254"/>
      <c r="I54" s="255">
        <v>1.1000000000000001</v>
      </c>
      <c r="J54" s="255">
        <v>1.1000000000000001</v>
      </c>
      <c r="K54" s="255">
        <v>0</v>
      </c>
      <c r="L54" s="255">
        <v>1.1000000000000001</v>
      </c>
      <c r="M54" s="255">
        <v>1.1000000000000001</v>
      </c>
      <c r="N54" s="255">
        <v>1.1000000000000001</v>
      </c>
      <c r="O54" s="255">
        <v>1.1000000000000001</v>
      </c>
      <c r="P54" s="255">
        <v>1.1000000000000001</v>
      </c>
      <c r="Q54" s="255">
        <v>1.1000000000000001</v>
      </c>
      <c r="R54" s="255">
        <v>1.1000000000000001</v>
      </c>
      <c r="S54" s="255">
        <v>1.1000000000000001</v>
      </c>
      <c r="T54" s="255">
        <v>1.1000000000000001</v>
      </c>
      <c r="U54" s="255">
        <f t="shared" si="22"/>
        <v>12.099999999999998</v>
      </c>
      <c r="V54" s="255"/>
      <c r="W54" s="255">
        <f t="shared" si="19"/>
        <v>0.99099099099099097</v>
      </c>
      <c r="X54" s="255">
        <f t="shared" si="20"/>
        <v>1</v>
      </c>
      <c r="Y54" s="255">
        <f t="shared" si="20"/>
        <v>0</v>
      </c>
      <c r="Z54" s="255">
        <f t="shared" si="20"/>
        <v>1</v>
      </c>
      <c r="AA54" s="255">
        <f t="shared" si="20"/>
        <v>1</v>
      </c>
      <c r="AB54" s="255">
        <f t="shared" si="20"/>
        <v>1</v>
      </c>
      <c r="AC54" s="255">
        <f t="shared" si="20"/>
        <v>1</v>
      </c>
      <c r="AD54" s="255">
        <f t="shared" si="20"/>
        <v>1</v>
      </c>
      <c r="AE54" s="255">
        <f t="shared" si="20"/>
        <v>1</v>
      </c>
      <c r="AF54" s="255">
        <f t="shared" si="23"/>
        <v>0.90909090909090917</v>
      </c>
      <c r="AG54" s="255">
        <f t="shared" si="23"/>
        <v>0.90909090909090917</v>
      </c>
      <c r="AH54" s="255">
        <f t="shared" si="23"/>
        <v>0.90909090909090917</v>
      </c>
      <c r="AI54" s="256">
        <f t="shared" si="24"/>
        <v>0.89318864318864344</v>
      </c>
      <c r="AJ54" s="255">
        <f>+IFERROR(VLOOKUP($C54,'Kitsap Regulated - Price Out'!$C$44:$AG$55,31,FALSE),0)</f>
        <v>0</v>
      </c>
      <c r="AK54" s="224"/>
      <c r="AL54" s="224"/>
      <c r="AM54" s="224"/>
      <c r="AN54" s="224"/>
      <c r="AO54" s="224"/>
      <c r="AP54" s="224"/>
      <c r="AQ54" s="224"/>
      <c r="AR54" s="257">
        <f>+IFERROR(VLOOKUP($C54,'[41]Kitsap Regulated - Price Out'!$C$44:$S$53,17,FALSE),0)</f>
        <v>0</v>
      </c>
      <c r="AS54" s="257">
        <f t="shared" si="25"/>
        <v>12.099999999999998</v>
      </c>
      <c r="AT54" s="258">
        <f t="shared" si="29"/>
        <v>1.3041855558096349</v>
      </c>
      <c r="AU54" s="259">
        <f t="shared" si="26"/>
        <v>13.978604724718016</v>
      </c>
      <c r="AV54" s="259">
        <f t="shared" si="27"/>
        <v>1.8786047247180182</v>
      </c>
      <c r="AW54" s="284">
        <f t="shared" si="28"/>
        <v>0.18562323255421345</v>
      </c>
    </row>
    <row r="55" spans="1:52" s="261" customFormat="1" ht="12">
      <c r="A55" s="261" t="str">
        <f t="shared" si="21"/>
        <v>MASON CO-REGULATEDResidentialRECYR</v>
      </c>
      <c r="B55" s="261">
        <f t="shared" si="18"/>
        <v>1</v>
      </c>
      <c r="C55" s="262" t="s">
        <v>268</v>
      </c>
      <c r="D55" s="262" t="s">
        <v>269</v>
      </c>
      <c r="E55" s="263">
        <v>8.33</v>
      </c>
      <c r="F55" s="263">
        <v>8.33</v>
      </c>
      <c r="G55" s="263">
        <v>8.35</v>
      </c>
      <c r="H55" s="264"/>
      <c r="I55" s="265">
        <v>83121.14</v>
      </c>
      <c r="J55" s="265">
        <v>83363.06</v>
      </c>
      <c r="K55" s="265">
        <v>82847.8</v>
      </c>
      <c r="L55" s="265">
        <v>84272.975000000006</v>
      </c>
      <c r="M55" s="265">
        <v>85745.625</v>
      </c>
      <c r="N55" s="265">
        <v>88620.540000000008</v>
      </c>
      <c r="O55" s="265">
        <v>89834.63</v>
      </c>
      <c r="P55" s="265">
        <v>92456.544999999998</v>
      </c>
      <c r="Q55" s="265">
        <v>93066.535000000003</v>
      </c>
      <c r="R55" s="265">
        <v>113976.33</v>
      </c>
      <c r="S55" s="265">
        <v>112694.99</v>
      </c>
      <c r="T55" s="265">
        <v>111512.145</v>
      </c>
      <c r="U55" s="265">
        <f t="shared" si="22"/>
        <v>1121512.3149999999</v>
      </c>
      <c r="V55" s="265"/>
      <c r="W55" s="265">
        <f t="shared" si="19"/>
        <v>9978.5282112845143</v>
      </c>
      <c r="X55" s="265">
        <f t="shared" si="20"/>
        <v>10007.570228091236</v>
      </c>
      <c r="Y55" s="265">
        <f t="shared" si="20"/>
        <v>9945.7142857142862</v>
      </c>
      <c r="Z55" s="265">
        <f t="shared" si="20"/>
        <v>10116.803721488595</v>
      </c>
      <c r="AA55" s="265">
        <f t="shared" si="20"/>
        <v>10293.59243697479</v>
      </c>
      <c r="AB55" s="265">
        <f t="shared" si="20"/>
        <v>10638.720288115246</v>
      </c>
      <c r="AC55" s="265">
        <f t="shared" si="20"/>
        <v>10784.469387755102</v>
      </c>
      <c r="AD55" s="265">
        <f t="shared" si="20"/>
        <v>11099.225090036014</v>
      </c>
      <c r="AE55" s="265">
        <f t="shared" si="20"/>
        <v>11172.453181272509</v>
      </c>
      <c r="AF55" s="265">
        <f t="shared" si="23"/>
        <v>13649.859880239521</v>
      </c>
      <c r="AG55" s="265">
        <f t="shared" si="23"/>
        <v>13496.405988023953</v>
      </c>
      <c r="AH55" s="265">
        <f t="shared" si="23"/>
        <v>13354.747904191618</v>
      </c>
      <c r="AI55" s="266">
        <f t="shared" si="24"/>
        <v>11211.507550265613</v>
      </c>
      <c r="AJ55" s="255">
        <f>+IFERROR(VLOOKUP($C55,'Kitsap Regulated - Price Out'!$C$44:$AG$55,31,FALSE),0)</f>
        <v>1714.6794217687075</v>
      </c>
      <c r="AL55" s="261">
        <v>96</v>
      </c>
      <c r="AO55" s="261">
        <v>1</v>
      </c>
      <c r="AP55" s="265">
        <f>+AH55*AO55</f>
        <v>13354.747904191618</v>
      </c>
      <c r="AQ55" s="265"/>
      <c r="AR55" s="266">
        <f>+IFERROR(VLOOKUP($C55,'[41]Kitsap Regulated - Price Out'!$C$44:$S$53,17,FALSE),0)</f>
        <v>171399.35500000004</v>
      </c>
      <c r="AS55" s="266">
        <f>AR55+U55</f>
        <v>1292911.67</v>
      </c>
      <c r="AT55" s="263">
        <f t="shared" si="29"/>
        <v>8.9999581743888015</v>
      </c>
      <c r="AU55" s="267">
        <f t="shared" si="26"/>
        <v>1396021.7052316598</v>
      </c>
      <c r="AV55" s="267">
        <f t="shared" si="27"/>
        <v>103110.03523165983</v>
      </c>
      <c r="AW55" s="268">
        <f t="shared" si="28"/>
        <v>8.0427151787371129E-2</v>
      </c>
      <c r="AY55" s="266"/>
      <c r="AZ55" s="266"/>
    </row>
    <row r="56" spans="1:52" s="223" customFormat="1" ht="15.75" customHeight="1">
      <c r="A56" s="223" t="str">
        <f t="shared" si="21"/>
        <v>MASON CO-REGULATEDResidentialRECYONLY</v>
      </c>
      <c r="B56" s="223">
        <f t="shared" si="18"/>
        <v>1</v>
      </c>
      <c r="C56" s="59" t="s">
        <v>270</v>
      </c>
      <c r="D56" s="252" t="s">
        <v>105</v>
      </c>
      <c r="E56" s="253">
        <v>8.83</v>
      </c>
      <c r="F56" s="253">
        <v>8.83</v>
      </c>
      <c r="G56" s="253">
        <v>8.85</v>
      </c>
      <c r="H56" s="254"/>
      <c r="I56" s="255">
        <v>409.67999999999995</v>
      </c>
      <c r="J56" s="255">
        <v>427.375</v>
      </c>
      <c r="K56" s="255">
        <v>434.435</v>
      </c>
      <c r="L56" s="255">
        <v>422.95499999999998</v>
      </c>
      <c r="M56" s="255">
        <v>458.27499999999998</v>
      </c>
      <c r="N56" s="255">
        <v>435.32</v>
      </c>
      <c r="O56" s="255">
        <v>444.15</v>
      </c>
      <c r="P56" s="255">
        <v>454.75</v>
      </c>
      <c r="Q56" s="255">
        <v>458.28000000000003</v>
      </c>
      <c r="R56" s="255">
        <v>548.67999999999995</v>
      </c>
      <c r="S56" s="255">
        <v>522.15</v>
      </c>
      <c r="T56" s="255">
        <v>539.85</v>
      </c>
      <c r="U56" s="255">
        <f t="shared" si="22"/>
        <v>5555.9000000000005</v>
      </c>
      <c r="V56" s="255"/>
      <c r="W56" s="255">
        <f t="shared" si="19"/>
        <v>46.396375990939973</v>
      </c>
      <c r="X56" s="255">
        <f t="shared" si="20"/>
        <v>48.400339750849376</v>
      </c>
      <c r="Y56" s="255">
        <f t="shared" si="20"/>
        <v>49.199886749716875</v>
      </c>
      <c r="Z56" s="255">
        <f t="shared" si="20"/>
        <v>47.899773499433749</v>
      </c>
      <c r="AA56" s="255">
        <f t="shared" si="20"/>
        <v>51.899773499433742</v>
      </c>
      <c r="AB56" s="255">
        <f t="shared" si="20"/>
        <v>49.300113250283125</v>
      </c>
      <c r="AC56" s="255">
        <f t="shared" si="20"/>
        <v>50.300113250283125</v>
      </c>
      <c r="AD56" s="255">
        <f t="shared" si="20"/>
        <v>51.500566251415627</v>
      </c>
      <c r="AE56" s="255">
        <f t="shared" si="20"/>
        <v>51.900339750849383</v>
      </c>
      <c r="AF56" s="255">
        <f t="shared" si="23"/>
        <v>61.99774011299435</v>
      </c>
      <c r="AG56" s="255">
        <f t="shared" si="23"/>
        <v>59</v>
      </c>
      <c r="AH56" s="255">
        <f t="shared" si="23"/>
        <v>61.000000000000007</v>
      </c>
      <c r="AI56" s="256">
        <f t="shared" si="24"/>
        <v>52.39958517551662</v>
      </c>
      <c r="AJ56" s="255">
        <f>+IFERROR(VLOOKUP($C56,'Kitsap Regulated - Price Out'!$C$44:$AG$55,31,FALSE),0)</f>
        <v>7.8625896564741398</v>
      </c>
      <c r="AL56" s="223">
        <v>96</v>
      </c>
      <c r="AO56" s="223">
        <v>1</v>
      </c>
      <c r="AP56" s="255">
        <f>+AH56*AO56</f>
        <v>61.000000000000007</v>
      </c>
      <c r="AQ56" s="255"/>
      <c r="AR56" s="257">
        <f>+IFERROR(VLOOKUP($C56,'[41]Kitsap Regulated - Price Out'!$C$44:$S$53,17,FALSE),0)</f>
        <v>833.11999999999989</v>
      </c>
      <c r="AS56" s="257">
        <f t="shared" ref="AS56:AS64" si="30">AR56+U56</f>
        <v>6389.02</v>
      </c>
      <c r="AT56" s="258">
        <f t="shared" si="29"/>
        <v>9.5388778255498092</v>
      </c>
      <c r="AU56" s="259">
        <f t="shared" si="26"/>
        <v>6898.0022786913887</v>
      </c>
      <c r="AV56" s="259">
        <f t="shared" si="27"/>
        <v>508.98227869138827</v>
      </c>
      <c r="AW56" s="284">
        <f t="shared" si="28"/>
        <v>8.0280614445051995E-2</v>
      </c>
    </row>
    <row r="57" spans="1:52" s="223" customFormat="1" ht="12">
      <c r="A57" s="223" t="str">
        <f>$A$1&amp;"COMMERCIAL RECYCLE"&amp;C57</f>
        <v>MASON CO-REGULATEDCOMMERCIAL RECYCLERECYCRMA</v>
      </c>
      <c r="B57" s="223">
        <f t="shared" si="18"/>
        <v>1</v>
      </c>
      <c r="C57" s="252" t="s">
        <v>271</v>
      </c>
      <c r="D57" s="252" t="s">
        <v>272</v>
      </c>
      <c r="E57" s="253">
        <v>8.33</v>
      </c>
      <c r="F57" s="253">
        <v>8.33</v>
      </c>
      <c r="G57" s="253">
        <v>8.35</v>
      </c>
      <c r="H57" s="254"/>
      <c r="I57" s="255">
        <v>4174.74</v>
      </c>
      <c r="J57" s="255">
        <v>4171.96</v>
      </c>
      <c r="K57" s="255">
        <v>4123.3599999999997</v>
      </c>
      <c r="L57" s="255">
        <v>4101.16</v>
      </c>
      <c r="M57" s="255">
        <v>4149.74</v>
      </c>
      <c r="N57" s="255">
        <v>4164.3149999999996</v>
      </c>
      <c r="O57" s="255">
        <v>4226.3450000000003</v>
      </c>
      <c r="P57" s="255">
        <v>4259.99</v>
      </c>
      <c r="Q57" s="255">
        <v>5368.71</v>
      </c>
      <c r="R57" s="255">
        <v>5339.54</v>
      </c>
      <c r="S57" s="255">
        <v>5335.55</v>
      </c>
      <c r="T57" s="255">
        <v>5267.5</v>
      </c>
      <c r="U57" s="255">
        <f t="shared" si="22"/>
        <v>54682.91</v>
      </c>
      <c r="V57" s="255"/>
      <c r="W57" s="255">
        <f t="shared" si="19"/>
        <v>501.16926770708278</v>
      </c>
      <c r="X57" s="255">
        <f t="shared" si="20"/>
        <v>500.83553421368549</v>
      </c>
      <c r="Y57" s="255">
        <f t="shared" si="20"/>
        <v>495.00120048019204</v>
      </c>
      <c r="Z57" s="255">
        <f t="shared" si="20"/>
        <v>492.33613445378148</v>
      </c>
      <c r="AA57" s="255">
        <f t="shared" si="20"/>
        <v>498.16806722689074</v>
      </c>
      <c r="AB57" s="255">
        <f t="shared" si="20"/>
        <v>499.91776710684269</v>
      </c>
      <c r="AC57" s="255">
        <f t="shared" si="20"/>
        <v>507.36434573829536</v>
      </c>
      <c r="AD57" s="255">
        <f t="shared" si="20"/>
        <v>511.40336134453776</v>
      </c>
      <c r="AE57" s="255">
        <f t="shared" si="20"/>
        <v>644.50300120048018</v>
      </c>
      <c r="AF57" s="255">
        <f t="shared" si="23"/>
        <v>639.46586826347311</v>
      </c>
      <c r="AG57" s="255">
        <f t="shared" si="23"/>
        <v>638.98802395209589</v>
      </c>
      <c r="AH57" s="255">
        <f t="shared" si="23"/>
        <v>630.83832335329339</v>
      </c>
      <c r="AI57" s="256">
        <f t="shared" si="24"/>
        <v>546.66590792005422</v>
      </c>
      <c r="AJ57" s="255">
        <f>+IFERROR(VLOOKUP($C57,'Kitsap Regulated - Price Out'!$C$44:$AG$55,31,FALSE),0)</f>
        <v>82.63925570228092</v>
      </c>
      <c r="AL57" s="223">
        <v>96</v>
      </c>
      <c r="AO57" s="223">
        <v>1</v>
      </c>
      <c r="AP57" s="255">
        <f>+AH57*AO57</f>
        <v>630.83832335329339</v>
      </c>
      <c r="AQ57" s="255"/>
      <c r="AR57" s="257">
        <f>+IFERROR(VLOOKUP($C57,'[41]Kitsap Regulated - Price Out'!$C$44:$S$53,17,FALSE),0)</f>
        <v>8260.6200000000008</v>
      </c>
      <c r="AS57" s="257">
        <f t="shared" si="30"/>
        <v>62943.530000000006</v>
      </c>
      <c r="AT57" s="258">
        <f t="shared" si="29"/>
        <v>8.9999581743888015</v>
      </c>
      <c r="AU57" s="259">
        <f t="shared" si="26"/>
        <v>67964.641818335018</v>
      </c>
      <c r="AV57" s="259">
        <f t="shared" si="27"/>
        <v>5021.1118183350136</v>
      </c>
      <c r="AW57" s="284">
        <f t="shared" si="28"/>
        <v>8.0427151787371129E-2</v>
      </c>
    </row>
    <row r="58" spans="1:52" s="223" customFormat="1" ht="12.75">
      <c r="A58" s="223" t="str">
        <f>$A$1&amp;"Residential"&amp;C58</f>
        <v>MASON CO-REGULATEDResidentialRECYRNB</v>
      </c>
      <c r="B58" s="223">
        <f t="shared" si="18"/>
        <v>1</v>
      </c>
      <c r="C58" s="286" t="s">
        <v>273</v>
      </c>
      <c r="D58" s="252" t="s">
        <v>274</v>
      </c>
      <c r="E58" s="253">
        <v>8.33</v>
      </c>
      <c r="F58" s="253">
        <v>8.33</v>
      </c>
      <c r="G58" s="253">
        <v>8.35</v>
      </c>
      <c r="H58" s="254"/>
      <c r="I58" s="255">
        <v>87.46</v>
      </c>
      <c r="J58" s="255">
        <v>74.97</v>
      </c>
      <c r="K58" s="255">
        <v>74.97</v>
      </c>
      <c r="L58" s="255">
        <v>66.64</v>
      </c>
      <c r="M58" s="255">
        <v>66.64</v>
      </c>
      <c r="N58" s="255">
        <v>66.64</v>
      </c>
      <c r="O58" s="255">
        <v>74.97</v>
      </c>
      <c r="P58" s="255">
        <v>74.97</v>
      </c>
      <c r="Q58" s="255">
        <v>74.97</v>
      </c>
      <c r="R58" s="255">
        <v>76.814999999999998</v>
      </c>
      <c r="S58" s="255">
        <v>76.814999999999998</v>
      </c>
      <c r="T58" s="255">
        <v>75.150000000000006</v>
      </c>
      <c r="U58" s="255">
        <f t="shared" si="22"/>
        <v>891.0100000000001</v>
      </c>
      <c r="V58" s="255"/>
      <c r="W58" s="255">
        <f t="shared" si="19"/>
        <v>10.499399759903961</v>
      </c>
      <c r="X58" s="255">
        <f t="shared" si="20"/>
        <v>9</v>
      </c>
      <c r="Y58" s="255">
        <f t="shared" si="20"/>
        <v>9</v>
      </c>
      <c r="Z58" s="255">
        <f t="shared" si="20"/>
        <v>8</v>
      </c>
      <c r="AA58" s="255">
        <f t="shared" si="20"/>
        <v>8</v>
      </c>
      <c r="AB58" s="255">
        <f t="shared" si="20"/>
        <v>8</v>
      </c>
      <c r="AC58" s="255">
        <f t="shared" si="20"/>
        <v>9</v>
      </c>
      <c r="AD58" s="255">
        <f t="shared" si="20"/>
        <v>9</v>
      </c>
      <c r="AE58" s="255">
        <f t="shared" si="20"/>
        <v>9</v>
      </c>
      <c r="AF58" s="255">
        <f t="shared" si="23"/>
        <v>9.1994011976047911</v>
      </c>
      <c r="AG58" s="255">
        <f t="shared" si="23"/>
        <v>9.1994011976047911</v>
      </c>
      <c r="AH58" s="255">
        <f t="shared" si="23"/>
        <v>9.0000000000000018</v>
      </c>
      <c r="AI58" s="256">
        <f t="shared" si="24"/>
        <v>8.9081835129261275</v>
      </c>
      <c r="AJ58" s="255">
        <f>+IFERROR(VLOOKUP($C58,'Kitsap Regulated - Price Out'!$C$44:$AG$55,31,FALSE),0)</f>
        <v>1.0833333333333333</v>
      </c>
      <c r="AR58" s="257">
        <f>+IFERROR(VLOOKUP($C58,'[41]Kitsap Regulated - Price Out'!$C$44:$S$53,17,FALSE),0)</f>
        <v>108.28999999999999</v>
      </c>
      <c r="AS58" s="257">
        <f t="shared" si="30"/>
        <v>999.30000000000007</v>
      </c>
      <c r="AT58" s="258">
        <f t="shared" si="29"/>
        <v>8.9999581743888015</v>
      </c>
      <c r="AU58" s="259">
        <f t="shared" si="26"/>
        <v>1079.0788045804352</v>
      </c>
      <c r="AV58" s="259">
        <f t="shared" si="27"/>
        <v>79.778804580435093</v>
      </c>
      <c r="AW58" s="284">
        <f t="shared" si="28"/>
        <v>8.0427151787371129E-2</v>
      </c>
    </row>
    <row r="59" spans="1:52" s="223" customFormat="1" ht="12">
      <c r="A59" s="223" t="str">
        <f>'Mason Co. Regulated - Price Out'!$A$1&amp;"COMMERCIAL RECYCLE"&amp;C59</f>
        <v>MASON CO-REGULATEDCOMMERCIAL RECYCLERECYRNBMA</v>
      </c>
      <c r="B59" s="223">
        <v>1</v>
      </c>
      <c r="C59" s="252" t="s">
        <v>275</v>
      </c>
      <c r="D59" s="252" t="s">
        <v>276</v>
      </c>
      <c r="E59" s="253">
        <v>8.33</v>
      </c>
      <c r="F59" s="253">
        <v>8.33</v>
      </c>
      <c r="G59" s="253">
        <v>8.35</v>
      </c>
      <c r="H59" s="254"/>
      <c r="I59" s="255">
        <v>20.83</v>
      </c>
      <c r="J59" s="255">
        <v>16.66</v>
      </c>
      <c r="K59" s="255">
        <v>24.99</v>
      </c>
      <c r="L59" s="255">
        <v>8.33</v>
      </c>
      <c r="M59" s="255">
        <v>8.33</v>
      </c>
      <c r="N59" s="255">
        <v>8.33</v>
      </c>
      <c r="O59" s="255">
        <v>16.66</v>
      </c>
      <c r="P59" s="255">
        <v>8.33</v>
      </c>
      <c r="Q59" s="255">
        <v>8.33</v>
      </c>
      <c r="R59" s="255">
        <v>8.33</v>
      </c>
      <c r="S59" s="255">
        <v>16.66</v>
      </c>
      <c r="T59" s="255">
        <v>8.33</v>
      </c>
      <c r="U59" s="255">
        <f t="shared" si="22"/>
        <v>154.10999999999999</v>
      </c>
      <c r="V59" s="255"/>
      <c r="W59" s="255">
        <f t="shared" si="19"/>
        <v>2.5006002400960381</v>
      </c>
      <c r="X59" s="255">
        <f t="shared" si="20"/>
        <v>2</v>
      </c>
      <c r="Y59" s="255">
        <f t="shared" si="20"/>
        <v>3</v>
      </c>
      <c r="Z59" s="255">
        <f t="shared" si="20"/>
        <v>1</v>
      </c>
      <c r="AA59" s="255">
        <f t="shared" si="20"/>
        <v>1</v>
      </c>
      <c r="AB59" s="255">
        <f t="shared" si="20"/>
        <v>1</v>
      </c>
      <c r="AC59" s="255">
        <f t="shared" si="20"/>
        <v>2</v>
      </c>
      <c r="AD59" s="255">
        <f t="shared" si="20"/>
        <v>1</v>
      </c>
      <c r="AE59" s="255">
        <f t="shared" si="20"/>
        <v>1</v>
      </c>
      <c r="AF59" s="255">
        <f t="shared" si="23"/>
        <v>0.99760479041916172</v>
      </c>
      <c r="AG59" s="255">
        <f t="shared" si="23"/>
        <v>1.9952095808383234</v>
      </c>
      <c r="AH59" s="255">
        <f t="shared" si="23"/>
        <v>0.99760479041916172</v>
      </c>
      <c r="AI59" s="256">
        <f t="shared" si="24"/>
        <v>1.5409182834810569</v>
      </c>
      <c r="AJ59" s="255">
        <f>+IFERROR(VLOOKUP($C59,'Kitsap Regulated - Price Out'!$C$44:$AG$55,31,FALSE),0)</f>
        <v>0</v>
      </c>
      <c r="AR59" s="257">
        <f>+IFERROR(VLOOKUP($C59,'[41]Kitsap Regulated - Price Out'!$C$44:$S$53,17,FALSE),0)</f>
        <v>0</v>
      </c>
      <c r="AS59" s="257">
        <f t="shared" si="30"/>
        <v>154.10999999999999</v>
      </c>
      <c r="AT59" s="258">
        <f t="shared" si="29"/>
        <v>8.9999581743888015</v>
      </c>
      <c r="AU59" s="259">
        <f t="shared" si="26"/>
        <v>166.41840121776599</v>
      </c>
      <c r="AV59" s="259">
        <f t="shared" si="27"/>
        <v>12.308401217766004</v>
      </c>
      <c r="AW59" s="284">
        <f t="shared" si="28"/>
        <v>8.0427151787371129E-2</v>
      </c>
    </row>
    <row r="60" spans="1:52" s="223" customFormat="1" ht="12">
      <c r="A60" s="223" t="str">
        <f>$A$1&amp;"Commercial - Rearload"&amp;C60</f>
        <v>MASON CO-REGULATEDCommercial - RearloadUNLOCKRECY</v>
      </c>
      <c r="B60" s="223">
        <f t="shared" ref="B60:B66" si="31">COUNTIF(C:C,C60)</f>
        <v>1</v>
      </c>
      <c r="C60" s="252" t="s">
        <v>277</v>
      </c>
      <c r="D60" s="252" t="s">
        <v>278</v>
      </c>
      <c r="E60" s="253">
        <v>2.5299999999999998</v>
      </c>
      <c r="F60" s="253">
        <v>2.5299999999999998</v>
      </c>
      <c r="G60" s="253"/>
      <c r="H60" s="254"/>
      <c r="I60" s="255">
        <v>0</v>
      </c>
      <c r="J60" s="255">
        <v>0</v>
      </c>
      <c r="K60" s="255">
        <v>0</v>
      </c>
      <c r="L60" s="255">
        <v>0</v>
      </c>
      <c r="M60" s="255">
        <v>0</v>
      </c>
      <c r="N60" s="255">
        <v>0</v>
      </c>
      <c r="O60" s="255">
        <v>5.08</v>
      </c>
      <c r="P60" s="255">
        <v>10.119999999999999</v>
      </c>
      <c r="Q60" s="255">
        <v>0</v>
      </c>
      <c r="R60" s="255">
        <v>10.16</v>
      </c>
      <c r="S60" s="255">
        <v>-5.08</v>
      </c>
      <c r="T60" s="255">
        <v>0</v>
      </c>
      <c r="U60" s="255">
        <f t="shared" si="22"/>
        <v>20.28</v>
      </c>
      <c r="V60" s="255"/>
      <c r="W60" s="255">
        <f t="shared" si="19"/>
        <v>0</v>
      </c>
      <c r="X60" s="255">
        <f t="shared" si="20"/>
        <v>0</v>
      </c>
      <c r="Y60" s="255">
        <f t="shared" si="20"/>
        <v>0</v>
      </c>
      <c r="Z60" s="255">
        <f t="shared" si="20"/>
        <v>0</v>
      </c>
      <c r="AA60" s="255">
        <f t="shared" si="20"/>
        <v>0</v>
      </c>
      <c r="AB60" s="255">
        <f t="shared" si="20"/>
        <v>0</v>
      </c>
      <c r="AC60" s="255">
        <f t="shared" si="20"/>
        <v>2.0079051383399213</v>
      </c>
      <c r="AD60" s="255">
        <f t="shared" si="20"/>
        <v>4</v>
      </c>
      <c r="AE60" s="255">
        <f t="shared" si="20"/>
        <v>0</v>
      </c>
      <c r="AF60" s="255">
        <f t="shared" si="23"/>
        <v>0</v>
      </c>
      <c r="AG60" s="255">
        <f t="shared" si="23"/>
        <v>0</v>
      </c>
      <c r="AH60" s="255">
        <f t="shared" si="23"/>
        <v>0</v>
      </c>
      <c r="AI60" s="256">
        <f t="shared" si="24"/>
        <v>0.50065876152832678</v>
      </c>
      <c r="AJ60" s="255">
        <f>+IFERROR(VLOOKUP($C60,'Kitsap Regulated - Price Out'!$C$44:$AG$55,31,FALSE),0)</f>
        <v>0</v>
      </c>
      <c r="AR60" s="257">
        <f>+IFERROR(VLOOKUP($C60,'[41]Kitsap Regulated - Price Out'!$C$44:$S$53,17,FALSE),0)</f>
        <v>0</v>
      </c>
      <c r="AS60" s="257">
        <f t="shared" si="30"/>
        <v>20.28</v>
      </c>
      <c r="AT60" s="258">
        <f t="shared" si="29"/>
        <v>0</v>
      </c>
      <c r="AU60" s="259">
        <f t="shared" si="26"/>
        <v>0</v>
      </c>
      <c r="AV60" s="259">
        <f t="shared" si="27"/>
        <v>-20.28</v>
      </c>
      <c r="AW60" s="284">
        <f t="shared" si="28"/>
        <v>-1</v>
      </c>
    </row>
    <row r="61" spans="1:52" s="223" customFormat="1" ht="12">
      <c r="A61" s="223" t="str">
        <f>$A$1&amp;"COMMERCIAL  FRONTLOAD"&amp;C61</f>
        <v>MASON CO-REGULATEDCOMMERCIAL  FRONTLOADWLKNRW2RECYMA</v>
      </c>
      <c r="B61" s="223">
        <f t="shared" si="31"/>
        <v>1</v>
      </c>
      <c r="C61" s="252" t="s">
        <v>279</v>
      </c>
      <c r="D61" s="252" t="s">
        <v>280</v>
      </c>
      <c r="E61" s="253">
        <v>0.34</v>
      </c>
      <c r="F61" s="253">
        <v>0.34</v>
      </c>
      <c r="G61" s="253">
        <v>0.34</v>
      </c>
      <c r="H61" s="254"/>
      <c r="I61" s="255">
        <v>0.17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255">
        <v>0</v>
      </c>
      <c r="P61" s="255">
        <v>0</v>
      </c>
      <c r="Q61" s="255">
        <v>7.48</v>
      </c>
      <c r="R61" s="255">
        <v>7.48</v>
      </c>
      <c r="S61" s="255">
        <v>7.48</v>
      </c>
      <c r="T61" s="255">
        <v>7.48</v>
      </c>
      <c r="U61" s="255">
        <f t="shared" si="22"/>
        <v>30.09</v>
      </c>
      <c r="V61" s="255"/>
      <c r="W61" s="255">
        <f t="shared" si="19"/>
        <v>0.5</v>
      </c>
      <c r="X61" s="255">
        <f t="shared" si="20"/>
        <v>0</v>
      </c>
      <c r="Y61" s="255">
        <f t="shared" si="20"/>
        <v>0</v>
      </c>
      <c r="Z61" s="255">
        <f t="shared" si="20"/>
        <v>0</v>
      </c>
      <c r="AA61" s="255">
        <f t="shared" si="20"/>
        <v>0</v>
      </c>
      <c r="AB61" s="255">
        <f t="shared" si="20"/>
        <v>0</v>
      </c>
      <c r="AC61" s="255">
        <f t="shared" si="20"/>
        <v>0</v>
      </c>
      <c r="AD61" s="255">
        <f t="shared" si="20"/>
        <v>0</v>
      </c>
      <c r="AE61" s="255">
        <f t="shared" si="20"/>
        <v>22</v>
      </c>
      <c r="AF61" s="255">
        <f t="shared" si="23"/>
        <v>22</v>
      </c>
      <c r="AG61" s="255">
        <f t="shared" si="23"/>
        <v>22</v>
      </c>
      <c r="AH61" s="255">
        <f t="shared" si="23"/>
        <v>22</v>
      </c>
      <c r="AI61" s="256">
        <f t="shared" si="24"/>
        <v>7.375</v>
      </c>
      <c r="AJ61" s="255">
        <f>+IFERROR(VLOOKUP($C61,'Kitsap Regulated - Price Out'!$C$44:$AG$55,31,FALSE),0)</f>
        <v>14.666666666666666</v>
      </c>
      <c r="AR61" s="257">
        <f>+IFERROR(VLOOKUP($C61,'[41]Kitsap Regulated - Price Out'!$C$44:$S$53,17,FALSE),0)</f>
        <v>59.840000000000018</v>
      </c>
      <c r="AS61" s="257">
        <f t="shared" si="30"/>
        <v>89.930000000000021</v>
      </c>
      <c r="AT61" s="258">
        <f t="shared" si="29"/>
        <v>0.36646536278948422</v>
      </c>
      <c r="AU61" s="259">
        <f t="shared" si="26"/>
        <v>96.93008845781857</v>
      </c>
      <c r="AV61" s="259">
        <f t="shared" si="27"/>
        <v>7.0000884578185492</v>
      </c>
      <c r="AW61" s="284">
        <f t="shared" si="28"/>
        <v>7.7839302322012319E-2</v>
      </c>
    </row>
    <row r="62" spans="1:52" s="223" customFormat="1" ht="12">
      <c r="A62" s="223" t="str">
        <f>$A$1&amp;"COMMERCIAL  FRONTLOAD"&amp;C62</f>
        <v>MASON CO-REGULATEDCOMMERCIAL  FRONTLOADWLKNRW2RECY</v>
      </c>
      <c r="B62" s="223">
        <f t="shared" si="31"/>
        <v>1</v>
      </c>
      <c r="C62" s="252" t="s">
        <v>281</v>
      </c>
      <c r="D62" s="252" t="s">
        <v>280</v>
      </c>
      <c r="E62" s="253">
        <v>0.34</v>
      </c>
      <c r="F62" s="253">
        <v>0.34</v>
      </c>
      <c r="G62" s="253">
        <v>0.34</v>
      </c>
      <c r="H62" s="254"/>
      <c r="I62" s="255">
        <v>1.63</v>
      </c>
      <c r="J62" s="255">
        <v>50.32</v>
      </c>
      <c r="K62" s="255">
        <v>2.52</v>
      </c>
      <c r="L62" s="255">
        <v>59.84</v>
      </c>
      <c r="M62" s="255">
        <v>0</v>
      </c>
      <c r="N62" s="255">
        <v>59.84</v>
      </c>
      <c r="O62" s="255">
        <v>0</v>
      </c>
      <c r="P62" s="255">
        <v>56.52</v>
      </c>
      <c r="Q62" s="255">
        <v>0</v>
      </c>
      <c r="R62" s="255">
        <v>71.06</v>
      </c>
      <c r="S62" s="255">
        <v>0.72</v>
      </c>
      <c r="T62" s="255">
        <v>73.22</v>
      </c>
      <c r="U62" s="255">
        <f t="shared" si="22"/>
        <v>375.67000000000007</v>
      </c>
      <c r="V62" s="255"/>
      <c r="W62" s="255">
        <f t="shared" si="19"/>
        <v>4.7941176470588225</v>
      </c>
      <c r="X62" s="255">
        <f t="shared" si="20"/>
        <v>148</v>
      </c>
      <c r="Y62" s="255">
        <f t="shared" si="20"/>
        <v>7.4117647058823524</v>
      </c>
      <c r="Z62" s="255">
        <f t="shared" si="20"/>
        <v>176</v>
      </c>
      <c r="AA62" s="255">
        <f t="shared" si="20"/>
        <v>0</v>
      </c>
      <c r="AB62" s="255">
        <f t="shared" si="20"/>
        <v>176</v>
      </c>
      <c r="AC62" s="255">
        <f t="shared" si="20"/>
        <v>0</v>
      </c>
      <c r="AD62" s="255">
        <f t="shared" si="20"/>
        <v>166.23529411764704</v>
      </c>
      <c r="AE62" s="255">
        <f t="shared" si="20"/>
        <v>0</v>
      </c>
      <c r="AF62" s="255">
        <f t="shared" si="23"/>
        <v>209</v>
      </c>
      <c r="AG62" s="255">
        <f t="shared" si="23"/>
        <v>2.117647058823529</v>
      </c>
      <c r="AH62" s="255">
        <f t="shared" si="23"/>
        <v>215.35294117647058</v>
      </c>
      <c r="AI62" s="256">
        <f t="shared" si="24"/>
        <v>92.075980392156865</v>
      </c>
      <c r="AJ62" s="255">
        <f>+IFERROR(VLOOKUP($C62,'Kitsap Regulated - Price Out'!$C$44:$AG$55,31,FALSE),0)</f>
        <v>16.5</v>
      </c>
      <c r="AR62" s="257">
        <f>+IFERROR(VLOOKUP($C62,'[41]Kitsap Regulated - Price Out'!$C$44:$S$53,17,FALSE),0)</f>
        <v>67.319999999999993</v>
      </c>
      <c r="AS62" s="257">
        <f t="shared" si="30"/>
        <v>442.99000000000007</v>
      </c>
      <c r="AT62" s="258">
        <f t="shared" si="29"/>
        <v>0.36646536278948422</v>
      </c>
      <c r="AU62" s="259">
        <f t="shared" si="26"/>
        <v>477.47203253562827</v>
      </c>
      <c r="AV62" s="259">
        <f t="shared" si="27"/>
        <v>34.482032535628207</v>
      </c>
      <c r="AW62" s="284">
        <f t="shared" si="28"/>
        <v>7.7839302322012319E-2</v>
      </c>
    </row>
    <row r="63" spans="1:52" s="223" customFormat="1" ht="12">
      <c r="A63" s="223" t="str">
        <f>$A$1&amp;"COMMERCIAL RECYCLE"&amp;C63</f>
        <v>MASON CO-REGULATEDCOMMERCIAL RECYCLEWLKNRE1RECY</v>
      </c>
      <c r="B63" s="223">
        <f t="shared" si="31"/>
        <v>1</v>
      </c>
      <c r="C63" s="252" t="s">
        <v>282</v>
      </c>
      <c r="D63" s="252" t="s">
        <v>283</v>
      </c>
      <c r="E63" s="253">
        <f t="shared" ref="E63:G64" si="32">0.59*2.17</f>
        <v>1.2803</v>
      </c>
      <c r="F63" s="253">
        <f t="shared" si="32"/>
        <v>1.2803</v>
      </c>
      <c r="G63" s="253">
        <f t="shared" si="32"/>
        <v>1.2803</v>
      </c>
      <c r="H63" s="254"/>
      <c r="I63" s="255">
        <v>1.1500000000000004</v>
      </c>
      <c r="J63" s="255">
        <v>219.39</v>
      </c>
      <c r="K63" s="255">
        <v>4.78</v>
      </c>
      <c r="L63" s="255">
        <v>237.19</v>
      </c>
      <c r="M63" s="255">
        <v>0.76000000000000023</v>
      </c>
      <c r="N63" s="255">
        <v>246.62</v>
      </c>
      <c r="O63" s="255">
        <v>2.1400000000000006</v>
      </c>
      <c r="P63" s="255">
        <v>262.93</v>
      </c>
      <c r="Q63" s="255">
        <v>3.6500000000000004</v>
      </c>
      <c r="R63" s="255">
        <v>298.58</v>
      </c>
      <c r="S63" s="255">
        <v>-4.92</v>
      </c>
      <c r="T63" s="255">
        <v>277.86</v>
      </c>
      <c r="U63" s="255">
        <f t="shared" si="22"/>
        <v>1550.13</v>
      </c>
      <c r="V63" s="255"/>
      <c r="W63" s="255">
        <f t="shared" si="19"/>
        <v>0.89822697805201934</v>
      </c>
      <c r="X63" s="255">
        <f t="shared" si="20"/>
        <v>171.35827540420212</v>
      </c>
      <c r="Y63" s="255">
        <f t="shared" si="20"/>
        <v>3.7334999609466535</v>
      </c>
      <c r="Z63" s="255">
        <f t="shared" si="20"/>
        <v>185.26126689057253</v>
      </c>
      <c r="AA63" s="255">
        <f t="shared" si="20"/>
        <v>0.59361087245176924</v>
      </c>
      <c r="AB63" s="255">
        <f t="shared" si="20"/>
        <v>192.62672811059909</v>
      </c>
      <c r="AC63" s="255">
        <f t="shared" si="20"/>
        <v>1.6714832461141924</v>
      </c>
      <c r="AD63" s="255">
        <f t="shared" si="20"/>
        <v>205.36592986018903</v>
      </c>
      <c r="AE63" s="255">
        <f t="shared" si="20"/>
        <v>2.8508943216433651</v>
      </c>
      <c r="AF63" s="255">
        <f t="shared" si="23"/>
        <v>233.2109661798016</v>
      </c>
      <c r="AG63" s="255">
        <f t="shared" si="23"/>
        <v>-3.8428493321877686</v>
      </c>
      <c r="AH63" s="255">
        <f t="shared" si="23"/>
        <v>217.02725923611655</v>
      </c>
      <c r="AI63" s="256">
        <f t="shared" si="24"/>
        <v>100.89627431070842</v>
      </c>
      <c r="AJ63" s="255">
        <f>+IFERROR(VLOOKUP($C63,'Kitsap Regulated - Price Out'!$C$44:$AG$55,31,FALSE),0)</f>
        <v>0</v>
      </c>
      <c r="AR63" s="257">
        <f>+IFERROR(VLOOKUP($C63,'[41]Kitsap Regulated - Price Out'!$C$44:$S$53,17,FALSE),0)</f>
        <v>0</v>
      </c>
      <c r="AS63" s="257">
        <f t="shared" si="30"/>
        <v>1550.13</v>
      </c>
      <c r="AT63" s="258">
        <f t="shared" si="29"/>
        <v>1.3799576587628724</v>
      </c>
      <c r="AU63" s="259">
        <f t="shared" si="26"/>
        <v>1670.7910377084208</v>
      </c>
      <c r="AV63" s="259">
        <f t="shared" si="27"/>
        <v>120.66103770842074</v>
      </c>
      <c r="AW63" s="284">
        <f t="shared" si="28"/>
        <v>7.7839302322012305E-2</v>
      </c>
    </row>
    <row r="64" spans="1:52" s="223" customFormat="1" ht="12">
      <c r="A64" s="223" t="str">
        <f>$A$1&amp;"COMMERCIAL  FRONTLOAD"&amp;C64</f>
        <v>MASON CO-REGULATEDCOMMERCIAL  FRONTLOADWLKNRE1RECYMA</v>
      </c>
      <c r="B64" s="223">
        <f t="shared" si="31"/>
        <v>1</v>
      </c>
      <c r="C64" s="252" t="s">
        <v>284</v>
      </c>
      <c r="D64" s="252" t="s">
        <v>283</v>
      </c>
      <c r="E64" s="253">
        <f t="shared" si="32"/>
        <v>1.2803</v>
      </c>
      <c r="F64" s="253">
        <f t="shared" si="32"/>
        <v>1.2803</v>
      </c>
      <c r="G64" s="253">
        <f t="shared" si="32"/>
        <v>1.2803</v>
      </c>
      <c r="H64" s="254"/>
      <c r="I64" s="255">
        <v>3.5700000000000003</v>
      </c>
      <c r="J64" s="255">
        <v>5.04</v>
      </c>
      <c r="K64" s="255">
        <v>5.04</v>
      </c>
      <c r="L64" s="255">
        <v>5.04</v>
      </c>
      <c r="M64" s="255">
        <v>5.04</v>
      </c>
      <c r="N64" s="255">
        <v>6.3</v>
      </c>
      <c r="O64" s="255">
        <v>7.56</v>
      </c>
      <c r="P64" s="255">
        <v>7.56</v>
      </c>
      <c r="Q64" s="255">
        <v>10.08</v>
      </c>
      <c r="R64" s="255">
        <v>10.08</v>
      </c>
      <c r="S64" s="255">
        <v>9.4499999999999993</v>
      </c>
      <c r="T64" s="255">
        <v>9.24</v>
      </c>
      <c r="U64" s="255">
        <f t="shared" si="22"/>
        <v>84</v>
      </c>
      <c r="V64" s="255"/>
      <c r="W64" s="255">
        <f t="shared" si="19"/>
        <v>2.7884089666484422</v>
      </c>
      <c r="X64" s="255">
        <f t="shared" si="20"/>
        <v>3.936577364680153</v>
      </c>
      <c r="Y64" s="255">
        <f t="shared" si="20"/>
        <v>3.936577364680153</v>
      </c>
      <c r="Z64" s="255">
        <f t="shared" si="20"/>
        <v>3.936577364680153</v>
      </c>
      <c r="AA64" s="255">
        <f t="shared" si="20"/>
        <v>3.936577364680153</v>
      </c>
      <c r="AB64" s="255">
        <f t="shared" si="20"/>
        <v>4.9207217058501911</v>
      </c>
      <c r="AC64" s="255">
        <f t="shared" si="20"/>
        <v>5.9048660470202297</v>
      </c>
      <c r="AD64" s="255">
        <f t="shared" si="20"/>
        <v>5.9048660470202297</v>
      </c>
      <c r="AE64" s="255">
        <f t="shared" si="20"/>
        <v>7.8731547293603059</v>
      </c>
      <c r="AF64" s="255">
        <f t="shared" si="23"/>
        <v>7.8731547293603059</v>
      </c>
      <c r="AG64" s="255">
        <f t="shared" si="23"/>
        <v>7.3810825587752866</v>
      </c>
      <c r="AH64" s="255">
        <f t="shared" si="23"/>
        <v>7.2170585019136144</v>
      </c>
      <c r="AI64" s="256">
        <f t="shared" si="24"/>
        <v>5.4674685620557684</v>
      </c>
      <c r="AJ64" s="255">
        <f>+IFERROR(VLOOKUP($C64,'Kitsap Regulated - Price Out'!$C$44:$AG$55,31,FALSE),0)</f>
        <v>1.3121924548933845</v>
      </c>
      <c r="AK64" s="269" t="s">
        <v>255</v>
      </c>
      <c r="AL64" s="270">
        <f>+SUM(AP55:AP57)</f>
        <v>14046.586227544911</v>
      </c>
      <c r="AR64" s="257">
        <f>+IFERROR(VLOOKUP($C64,'[41]Kitsap Regulated - Price Out'!$C$44:$S$53,17,FALSE),0)</f>
        <v>20.16</v>
      </c>
      <c r="AS64" s="257">
        <f t="shared" si="30"/>
        <v>104.16</v>
      </c>
      <c r="AT64" s="258">
        <f t="shared" si="29"/>
        <v>1.3799576587628724</v>
      </c>
      <c r="AU64" s="259">
        <f t="shared" si="26"/>
        <v>112.2677417298608</v>
      </c>
      <c r="AV64" s="259">
        <f t="shared" si="27"/>
        <v>8.1077417298608019</v>
      </c>
      <c r="AW64" s="284">
        <f t="shared" si="28"/>
        <v>7.7839302322012305E-2</v>
      </c>
    </row>
    <row r="65" spans="1:49" ht="15.75" customHeight="1">
      <c r="A65" s="223"/>
      <c r="B65" s="223">
        <f t="shared" si="31"/>
        <v>0</v>
      </c>
      <c r="C65" s="59"/>
      <c r="D65" s="59"/>
      <c r="E65" s="254"/>
      <c r="F65" s="254"/>
      <c r="G65" s="254"/>
      <c r="H65" s="254"/>
      <c r="I65" s="255"/>
      <c r="J65" s="255"/>
      <c r="K65" s="255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23"/>
      <c r="W65" s="255">
        <f t="shared" si="19"/>
        <v>0</v>
      </c>
      <c r="X65" s="255">
        <f t="shared" si="20"/>
        <v>0</v>
      </c>
      <c r="Y65" s="255">
        <f t="shared" si="20"/>
        <v>0</v>
      </c>
      <c r="Z65" s="255">
        <f t="shared" si="20"/>
        <v>0</v>
      </c>
      <c r="AA65" s="255">
        <f t="shared" si="20"/>
        <v>0</v>
      </c>
      <c r="AB65" s="255">
        <f t="shared" si="20"/>
        <v>0</v>
      </c>
      <c r="AC65" s="255">
        <f t="shared" si="20"/>
        <v>0</v>
      </c>
      <c r="AD65" s="255">
        <f t="shared" si="20"/>
        <v>0</v>
      </c>
      <c r="AE65" s="255">
        <f t="shared" si="20"/>
        <v>0</v>
      </c>
      <c r="AF65" s="255">
        <f t="shared" si="23"/>
        <v>0</v>
      </c>
      <c r="AG65" s="255">
        <f t="shared" si="23"/>
        <v>0</v>
      </c>
      <c r="AH65" s="255">
        <f t="shared" si="23"/>
        <v>0</v>
      </c>
      <c r="AI65" s="223"/>
      <c r="AJ65" s="59"/>
      <c r="AK65" s="269" t="s">
        <v>57</v>
      </c>
      <c r="AL65" s="270">
        <v>0</v>
      </c>
      <c r="AR65" s="242"/>
      <c r="AS65" s="242"/>
      <c r="AU65" s="271"/>
      <c r="AV65" s="271"/>
    </row>
    <row r="66" spans="1:49">
      <c r="A66" s="223"/>
      <c r="B66" s="223">
        <f t="shared" si="31"/>
        <v>0</v>
      </c>
      <c r="C66" s="272"/>
      <c r="D66" s="273" t="s">
        <v>106</v>
      </c>
      <c r="E66" s="254"/>
      <c r="F66" s="254"/>
      <c r="G66" s="254"/>
      <c r="H66" s="254"/>
      <c r="I66" s="274">
        <f t="shared" ref="I66:U66" si="33">SUM(I50:I64)</f>
        <v>88244.955000000016</v>
      </c>
      <c r="J66" s="274">
        <f t="shared" si="33"/>
        <v>88755.905000000013</v>
      </c>
      <c r="K66" s="274">
        <f t="shared" si="33"/>
        <v>87941.225000000006</v>
      </c>
      <c r="L66" s="274">
        <f t="shared" si="33"/>
        <v>89596.74</v>
      </c>
      <c r="M66" s="274">
        <f t="shared" si="33"/>
        <v>90861.949999999983</v>
      </c>
      <c r="N66" s="274">
        <f t="shared" si="33"/>
        <v>94030.030000000013</v>
      </c>
      <c r="O66" s="274">
        <f t="shared" si="33"/>
        <v>95045.5</v>
      </c>
      <c r="P66" s="274">
        <f t="shared" si="33"/>
        <v>98025.03</v>
      </c>
      <c r="Q66" s="274">
        <f t="shared" si="33"/>
        <v>99474.1</v>
      </c>
      <c r="R66" s="274">
        <f t="shared" si="33"/>
        <v>120884.15</v>
      </c>
      <c r="S66" s="274">
        <f t="shared" si="33"/>
        <v>119177.15000000001</v>
      </c>
      <c r="T66" s="274">
        <f t="shared" si="33"/>
        <v>118290.11000000002</v>
      </c>
      <c r="U66" s="274">
        <f t="shared" si="33"/>
        <v>1190326.8449999997</v>
      </c>
      <c r="V66" s="277">
        <f>U66-SUM(I66:T66)</f>
        <v>0</v>
      </c>
      <c r="W66" s="275">
        <f t="shared" ref="W66:AE66" si="34">SUM(W55:W59)</f>
        <v>10539.093854982537</v>
      </c>
      <c r="X66" s="275">
        <f t="shared" si="34"/>
        <v>10567.806102055771</v>
      </c>
      <c r="Y66" s="275">
        <f t="shared" si="34"/>
        <v>10501.915372944195</v>
      </c>
      <c r="Z66" s="275">
        <f t="shared" si="34"/>
        <v>10666.03962944181</v>
      </c>
      <c r="AA66" s="275">
        <f t="shared" si="34"/>
        <v>10852.660277701114</v>
      </c>
      <c r="AB66" s="275">
        <f t="shared" si="34"/>
        <v>11196.938168472372</v>
      </c>
      <c r="AC66" s="275">
        <f t="shared" si="34"/>
        <v>11353.13384674368</v>
      </c>
      <c r="AD66" s="275">
        <f t="shared" si="34"/>
        <v>11672.129017631967</v>
      </c>
      <c r="AE66" s="275">
        <f t="shared" si="34"/>
        <v>11878.856522223839</v>
      </c>
      <c r="AF66" s="275">
        <f t="shared" ref="AF66:AH66" si="35">SUM(AF55:AF59)</f>
        <v>14361.52049460401</v>
      </c>
      <c r="AG66" s="275">
        <f t="shared" si="35"/>
        <v>14205.588622754491</v>
      </c>
      <c r="AH66" s="275">
        <f t="shared" si="35"/>
        <v>14056.583832335329</v>
      </c>
      <c r="AI66" s="275">
        <f>SUM(AI55:AI59)</f>
        <v>11821.022145157591</v>
      </c>
      <c r="AR66" s="274">
        <f>SUM(AR50:AR64)</f>
        <v>181573.39000000004</v>
      </c>
      <c r="AS66" s="274">
        <f>SUM(AS50:AS64)</f>
        <v>1371900.2349999999</v>
      </c>
      <c r="AU66" s="276">
        <f>SUM(AU50:AU64)</f>
        <v>1481267.6049115583</v>
      </c>
      <c r="AV66" s="276">
        <f>SUM(AV50:AV64)</f>
        <v>109367.36991155808</v>
      </c>
      <c r="AW66" s="277">
        <f>+AV66/(U66+AV66)</f>
        <v>8.414853944625765E-2</v>
      </c>
    </row>
    <row r="67" spans="1:49">
      <c r="A67" s="223"/>
      <c r="B67" s="223"/>
      <c r="C67" s="272"/>
      <c r="D67" s="273"/>
      <c r="E67" s="254"/>
      <c r="F67" s="254"/>
      <c r="G67" s="254"/>
      <c r="H67" s="254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42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R67" s="242">
        <f>+AR66-'[41]Kitsap Regulated - Price Out'!S56</f>
        <v>0</v>
      </c>
      <c r="AS67" s="242"/>
      <c r="AU67" s="271"/>
      <c r="AV67" s="280">
        <f>+AU66-U66-AR66-AV66</f>
        <v>4.6566128730773926E-10</v>
      </c>
    </row>
    <row r="68" spans="1:49">
      <c r="A68" s="223"/>
      <c r="B68" s="223"/>
      <c r="E68" s="254"/>
      <c r="F68" s="254"/>
      <c r="G68" s="254"/>
      <c r="H68" s="253"/>
      <c r="I68" s="256"/>
      <c r="J68" s="256"/>
      <c r="K68" s="256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R68" s="242"/>
      <c r="AS68" s="242"/>
      <c r="AU68" s="271"/>
      <c r="AV68" s="271"/>
    </row>
    <row r="69" spans="1:49">
      <c r="A69" s="223"/>
      <c r="B69" s="223">
        <f>COUNTIF(C:C,C69)</f>
        <v>1</v>
      </c>
      <c r="C69" s="247" t="s">
        <v>285</v>
      </c>
      <c r="D69" s="247" t="s">
        <v>285</v>
      </c>
      <c r="E69" s="254"/>
      <c r="F69" s="254"/>
      <c r="G69" s="254"/>
      <c r="H69" s="287"/>
      <c r="I69" s="288"/>
      <c r="J69" s="256"/>
      <c r="K69" s="256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W69" s="279">
        <f t="shared" ref="W69:AD69" si="36">IFERROR(I69/$F69,0)</f>
        <v>0</v>
      </c>
      <c r="X69" s="279">
        <f t="shared" si="36"/>
        <v>0</v>
      </c>
      <c r="Y69" s="279">
        <f t="shared" si="36"/>
        <v>0</v>
      </c>
      <c r="Z69" s="279">
        <f t="shared" si="36"/>
        <v>0</v>
      </c>
      <c r="AA69" s="279">
        <f t="shared" si="36"/>
        <v>0</v>
      </c>
      <c r="AB69" s="279">
        <f t="shared" si="36"/>
        <v>0</v>
      </c>
      <c r="AC69" s="279">
        <f t="shared" si="36"/>
        <v>0</v>
      </c>
      <c r="AD69" s="279">
        <f t="shared" si="36"/>
        <v>0</v>
      </c>
      <c r="AE69" s="279">
        <f>IFERROR(Q69/#REF!,0)</f>
        <v>0</v>
      </c>
      <c r="AF69" s="279">
        <f>IFERROR(R69/#REF!,0)</f>
        <v>0</v>
      </c>
      <c r="AG69" s="279">
        <f>IFERROR(S69/#REF!,0)</f>
        <v>0</v>
      </c>
      <c r="AH69" s="279">
        <f>IFERROR(T69/#REF!,0)</f>
        <v>0</v>
      </c>
      <c r="AR69" s="242"/>
      <c r="AS69" s="242"/>
      <c r="AU69" s="271"/>
      <c r="AV69" s="271"/>
    </row>
    <row r="70" spans="1:49">
      <c r="A70" s="223"/>
      <c r="B70" s="223"/>
      <c r="C70" s="247"/>
      <c r="D70" s="247"/>
      <c r="E70" s="254"/>
      <c r="F70" s="254"/>
      <c r="G70" s="254"/>
      <c r="H70" s="287"/>
      <c r="I70" s="288"/>
      <c r="J70" s="256"/>
      <c r="K70" s="256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R70" s="242"/>
      <c r="AS70" s="242"/>
      <c r="AU70" s="271"/>
      <c r="AV70" s="271"/>
    </row>
    <row r="71" spans="1:49">
      <c r="A71" s="223"/>
      <c r="B71" s="223">
        <f t="shared" ref="B71:B101" si="37">COUNTIF(C:C,C71)</f>
        <v>1</v>
      </c>
      <c r="C71" s="251" t="s">
        <v>107</v>
      </c>
      <c r="D71" s="251" t="s">
        <v>107</v>
      </c>
      <c r="E71" s="254"/>
      <c r="F71" s="254"/>
      <c r="G71" s="254"/>
      <c r="H71" s="287"/>
      <c r="I71" s="288"/>
      <c r="J71" s="256"/>
      <c r="K71" s="256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W71" s="279">
        <f t="shared" ref="W71:W101" si="38">IFERROR(I71/$E71,0)</f>
        <v>0</v>
      </c>
      <c r="X71" s="279">
        <f t="shared" ref="X71:AH101" si="39">IFERROR(J71/$F71,0)</f>
        <v>0</v>
      </c>
      <c r="Y71" s="279">
        <f t="shared" si="39"/>
        <v>0</v>
      </c>
      <c r="Z71" s="279">
        <f t="shared" si="39"/>
        <v>0</v>
      </c>
      <c r="AA71" s="279">
        <f t="shared" si="39"/>
        <v>0</v>
      </c>
      <c r="AB71" s="279">
        <f t="shared" si="39"/>
        <v>0</v>
      </c>
      <c r="AC71" s="279">
        <f t="shared" si="39"/>
        <v>0</v>
      </c>
      <c r="AD71" s="279">
        <f t="shared" si="39"/>
        <v>0</v>
      </c>
      <c r="AE71" s="279">
        <f t="shared" si="39"/>
        <v>0</v>
      </c>
      <c r="AF71" s="279">
        <f t="shared" si="39"/>
        <v>0</v>
      </c>
      <c r="AG71" s="279">
        <f t="shared" si="39"/>
        <v>0</v>
      </c>
      <c r="AH71" s="279">
        <f t="shared" si="39"/>
        <v>0</v>
      </c>
      <c r="AR71" s="242"/>
      <c r="AS71" s="242"/>
      <c r="AU71" s="271"/>
      <c r="AV71" s="271"/>
    </row>
    <row r="72" spans="1:49" s="393" customFormat="1" ht="12">
      <c r="A72" s="393" t="str">
        <f t="shared" ref="A72:A101" si="40">$A$1&amp;"Commercial - Rearload"&amp;C72</f>
        <v>MASON CO-REGULATEDCommercial - RearloadR1YDEM</v>
      </c>
      <c r="B72" s="393">
        <f t="shared" si="37"/>
        <v>1</v>
      </c>
      <c r="C72" s="394" t="s">
        <v>286</v>
      </c>
      <c r="D72" s="405" t="s">
        <v>287</v>
      </c>
      <c r="E72" s="406">
        <v>37.520000000000003</v>
      </c>
      <c r="F72" s="406">
        <v>37.93</v>
      </c>
      <c r="G72" s="406">
        <f>17.53*2.17</f>
        <v>38.040100000000002</v>
      </c>
      <c r="H72" s="395"/>
      <c r="I72" s="396">
        <v>750.4</v>
      </c>
      <c r="J72" s="396">
        <v>758.6</v>
      </c>
      <c r="K72" s="396">
        <v>758.6</v>
      </c>
      <c r="L72" s="396">
        <v>758.6</v>
      </c>
      <c r="M72" s="396">
        <v>758.6</v>
      </c>
      <c r="N72" s="396">
        <v>758.6</v>
      </c>
      <c r="O72" s="396">
        <v>758.6</v>
      </c>
      <c r="P72" s="396">
        <v>739.64</v>
      </c>
      <c r="Q72" s="396">
        <v>720.67</v>
      </c>
      <c r="R72" s="396">
        <v>684.72</v>
      </c>
      <c r="S72" s="396">
        <v>684.72</v>
      </c>
      <c r="T72" s="396">
        <v>684.72</v>
      </c>
      <c r="U72" s="396">
        <f t="shared" ref="U72:U101" si="41">SUM(I72:T72)</f>
        <v>8816.4700000000012</v>
      </c>
      <c r="V72" s="396"/>
      <c r="W72" s="396">
        <f t="shared" si="38"/>
        <v>19.999999999999996</v>
      </c>
      <c r="X72" s="396">
        <f t="shared" si="39"/>
        <v>20</v>
      </c>
      <c r="Y72" s="396">
        <f t="shared" si="39"/>
        <v>20</v>
      </c>
      <c r="Z72" s="396">
        <f t="shared" si="39"/>
        <v>20</v>
      </c>
      <c r="AA72" s="396">
        <f t="shared" si="39"/>
        <v>20</v>
      </c>
      <c r="AB72" s="396">
        <f t="shared" si="39"/>
        <v>20</v>
      </c>
      <c r="AC72" s="396">
        <f t="shared" si="39"/>
        <v>20</v>
      </c>
      <c r="AD72" s="396">
        <f t="shared" si="39"/>
        <v>19.500131821776957</v>
      </c>
      <c r="AE72" s="396">
        <f t="shared" si="39"/>
        <v>19</v>
      </c>
      <c r="AF72" s="396">
        <f t="shared" ref="AF72:AH87" si="42">IFERROR(R72/$G72,0)</f>
        <v>17.999952681512404</v>
      </c>
      <c r="AG72" s="396">
        <f t="shared" si="42"/>
        <v>17.999952681512404</v>
      </c>
      <c r="AH72" s="396">
        <f t="shared" si="42"/>
        <v>17.999952681512404</v>
      </c>
      <c r="AI72" s="397">
        <f t="shared" ref="AI72:AI101" si="43">AVERAGE(W72:AH72)</f>
        <v>19.374999155526183</v>
      </c>
      <c r="AJ72" s="396">
        <f>+IFERROR(VLOOKUP($C72,'Kitsap Regulated - Price Out'!$C$61:$AG$83,31,FALSE),0)</f>
        <v>0</v>
      </c>
      <c r="AN72" s="393">
        <v>1</v>
      </c>
      <c r="AO72" s="393">
        <v>1</v>
      </c>
      <c r="AP72" s="397">
        <f t="shared" ref="AP72:AP83" si="44">+AO72*AH72</f>
        <v>17.999952681512404</v>
      </c>
      <c r="AQ72" s="397"/>
      <c r="AR72" s="407">
        <f>+IFERROR(VLOOKUP($C72,'[41]Kitsap Regulated - Price Out'!$C$61:$S$83,17,FALSE),0)</f>
        <v>0</v>
      </c>
      <c r="AS72" s="407">
        <f t="shared" ref="AS72:AS101" si="45">U72+AR72</f>
        <v>8816.4700000000012</v>
      </c>
      <c r="AT72" s="408">
        <f t="shared" ref="AT72:AT101" si="46">+IFERROR($G72*(1+$AW$1),0)</f>
        <v>39.930390539132837</v>
      </c>
      <c r="AU72" s="409">
        <f t="shared" ref="AU72:AU101" si="47">+$AT72*(AI72+AJ72)*12</f>
        <v>9283.8153957063532</v>
      </c>
      <c r="AV72" s="409">
        <f t="shared" ref="AV72:AV101" si="48">AU72-AS72</f>
        <v>467.34539570635206</v>
      </c>
      <c r="AW72" s="410">
        <f t="shared" ref="AW72:AW101" si="49">+IFERROR((AT72-F72)/F72,0)</f>
        <v>5.2739007095513775E-2</v>
      </c>
    </row>
    <row r="73" spans="1:49" s="393" customFormat="1" ht="12">
      <c r="A73" s="393" t="str">
        <f t="shared" si="40"/>
        <v>MASON CO-REGULATEDCommercial - RearloadR1YDEK</v>
      </c>
      <c r="B73" s="393">
        <f t="shared" si="37"/>
        <v>1</v>
      </c>
      <c r="C73" s="394" t="s">
        <v>288</v>
      </c>
      <c r="D73" s="405" t="s">
        <v>287</v>
      </c>
      <c r="E73" s="406">
        <v>37.520000000000003</v>
      </c>
      <c r="F73" s="406">
        <v>37.93</v>
      </c>
      <c r="G73" s="406">
        <f>17.53*2.17</f>
        <v>38.040100000000002</v>
      </c>
      <c r="H73" s="395"/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189.65</v>
      </c>
      <c r="R73" s="396">
        <v>189.65</v>
      </c>
      <c r="S73" s="396">
        <v>190.2</v>
      </c>
      <c r="T73" s="396">
        <v>190.2</v>
      </c>
      <c r="U73" s="396">
        <f t="shared" si="41"/>
        <v>759.7</v>
      </c>
      <c r="V73" s="396"/>
      <c r="W73" s="396">
        <f t="shared" si="38"/>
        <v>0</v>
      </c>
      <c r="X73" s="396">
        <f t="shared" si="39"/>
        <v>0</v>
      </c>
      <c r="Y73" s="396">
        <f t="shared" si="39"/>
        <v>0</v>
      </c>
      <c r="Z73" s="396">
        <f t="shared" si="39"/>
        <v>0</v>
      </c>
      <c r="AA73" s="396">
        <f t="shared" si="39"/>
        <v>0</v>
      </c>
      <c r="AB73" s="396">
        <f t="shared" si="39"/>
        <v>0</v>
      </c>
      <c r="AC73" s="396">
        <f t="shared" si="39"/>
        <v>0</v>
      </c>
      <c r="AD73" s="396">
        <f t="shared" si="39"/>
        <v>0</v>
      </c>
      <c r="AE73" s="396">
        <f t="shared" si="39"/>
        <v>5</v>
      </c>
      <c r="AF73" s="396">
        <f t="shared" si="42"/>
        <v>4.9855284292102278</v>
      </c>
      <c r="AG73" s="396">
        <f t="shared" si="42"/>
        <v>4.9999868559756671</v>
      </c>
      <c r="AH73" s="396">
        <f t="shared" si="42"/>
        <v>4.9999868559756671</v>
      </c>
      <c r="AI73" s="397">
        <f t="shared" si="43"/>
        <v>1.6654585117634635</v>
      </c>
      <c r="AJ73" s="396">
        <f>+IFERROR(VLOOKUP($C73,'Kitsap Regulated - Price Out'!$C$61:$AG$83,31,FALSE),0)</f>
        <v>2.9376559274277612</v>
      </c>
      <c r="AN73" s="393">
        <v>1</v>
      </c>
      <c r="AO73" s="393">
        <v>1</v>
      </c>
      <c r="AP73" s="397">
        <f t="shared" si="44"/>
        <v>4.9999868559756671</v>
      </c>
      <c r="AQ73" s="397"/>
      <c r="AR73" s="407">
        <f>+IFERROR(VLOOKUP($C73,'[41]Kitsap Regulated - Price Out'!$C$61:$S$83,17,FALSE),0)</f>
        <v>1223.18</v>
      </c>
      <c r="AS73" s="407">
        <f t="shared" si="45"/>
        <v>1982.88</v>
      </c>
      <c r="AT73" s="408">
        <f t="shared" si="46"/>
        <v>39.930390539132837</v>
      </c>
      <c r="AU73" s="409">
        <f t="shared" si="47"/>
        <v>2205.6498870387245</v>
      </c>
      <c r="AV73" s="409">
        <f t="shared" si="48"/>
        <v>222.76988703872439</v>
      </c>
      <c r="AW73" s="410">
        <f t="shared" si="49"/>
        <v>5.2739007095513775E-2</v>
      </c>
    </row>
    <row r="74" spans="1:49" s="393" customFormat="1" ht="12">
      <c r="A74" s="393" t="str">
        <f t="shared" si="40"/>
        <v>MASON CO-REGULATEDCommercial - RearloadR1YDWK</v>
      </c>
      <c r="B74" s="393">
        <f t="shared" si="37"/>
        <v>1</v>
      </c>
      <c r="C74" s="394" t="s">
        <v>289</v>
      </c>
      <c r="D74" s="405" t="s">
        <v>290</v>
      </c>
      <c r="E74" s="406">
        <v>74.87</v>
      </c>
      <c r="F74" s="406">
        <v>75.69</v>
      </c>
      <c r="G74" s="406">
        <f>17.53*4.33</f>
        <v>75.904900000000012</v>
      </c>
      <c r="H74" s="395"/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151.38</v>
      </c>
      <c r="R74" s="396">
        <v>151.38</v>
      </c>
      <c r="S74" s="396">
        <v>151.80000000000001</v>
      </c>
      <c r="T74" s="396">
        <v>151.80000000000001</v>
      </c>
      <c r="U74" s="396">
        <f t="shared" si="41"/>
        <v>606.36</v>
      </c>
      <c r="V74" s="396"/>
      <c r="W74" s="396">
        <f t="shared" si="38"/>
        <v>0</v>
      </c>
      <c r="X74" s="396">
        <f t="shared" si="39"/>
        <v>0</v>
      </c>
      <c r="Y74" s="396">
        <f t="shared" si="39"/>
        <v>0</v>
      </c>
      <c r="Z74" s="396">
        <f t="shared" si="39"/>
        <v>0</v>
      </c>
      <c r="AA74" s="396">
        <f t="shared" si="39"/>
        <v>0</v>
      </c>
      <c r="AB74" s="396">
        <f t="shared" si="39"/>
        <v>0</v>
      </c>
      <c r="AC74" s="396">
        <f t="shared" si="39"/>
        <v>0</v>
      </c>
      <c r="AD74" s="396">
        <f t="shared" si="39"/>
        <v>0</v>
      </c>
      <c r="AE74" s="396">
        <f t="shared" si="39"/>
        <v>2</v>
      </c>
      <c r="AF74" s="396">
        <f t="shared" si="42"/>
        <v>1.9943376514559663</v>
      </c>
      <c r="AG74" s="396">
        <f t="shared" si="42"/>
        <v>1.9998708910755429</v>
      </c>
      <c r="AH74" s="396">
        <f t="shared" si="42"/>
        <v>1.9998708910755429</v>
      </c>
      <c r="AI74" s="397">
        <f t="shared" si="43"/>
        <v>0.66617328613392102</v>
      </c>
      <c r="AJ74" s="396">
        <f>+IFERROR(VLOOKUP($C74,'Kitsap Regulated - Price Out'!$C$61:$AG$83,31,FALSE),0)</f>
        <v>0.91671035736827433</v>
      </c>
      <c r="AN74" s="393">
        <v>1</v>
      </c>
      <c r="AO74" s="393">
        <v>1</v>
      </c>
      <c r="AP74" s="397">
        <f t="shared" si="44"/>
        <v>1.9998708910755429</v>
      </c>
      <c r="AQ74" s="397"/>
      <c r="AR74" s="407">
        <f>+IFERROR(VLOOKUP($C74,'[41]Kitsap Regulated - Price Out'!$C$61:$S$83,17,FALSE),0)</f>
        <v>761.64</v>
      </c>
      <c r="AS74" s="407">
        <f t="shared" si="45"/>
        <v>1368</v>
      </c>
      <c r="AT74" s="408">
        <f t="shared" si="46"/>
        <v>79.676770061956304</v>
      </c>
      <c r="AU74" s="409">
        <f t="shared" si="47"/>
        <v>1513.4286731778725</v>
      </c>
      <c r="AV74" s="409">
        <f t="shared" si="48"/>
        <v>145.4286731778725</v>
      </c>
      <c r="AW74" s="410">
        <f t="shared" si="49"/>
        <v>5.2672348552732284E-2</v>
      </c>
    </row>
    <row r="75" spans="1:49" s="393" customFormat="1" ht="12">
      <c r="A75" s="393" t="str">
        <f t="shared" si="40"/>
        <v>MASON CO-REGULATEDCommercial - RearloadR1YDWM</v>
      </c>
      <c r="B75" s="393">
        <f t="shared" si="37"/>
        <v>1</v>
      </c>
      <c r="C75" s="394" t="s">
        <v>291</v>
      </c>
      <c r="D75" s="405" t="s">
        <v>290</v>
      </c>
      <c r="E75" s="406">
        <v>74.87</v>
      </c>
      <c r="F75" s="406">
        <v>75.69</v>
      </c>
      <c r="G75" s="406">
        <f>17.53*4.33</f>
        <v>75.904900000000012</v>
      </c>
      <c r="H75" s="395"/>
      <c r="I75" s="396">
        <v>149.74</v>
      </c>
      <c r="J75" s="396">
        <v>211.93</v>
      </c>
      <c r="K75" s="396">
        <v>227.07</v>
      </c>
      <c r="L75" s="396">
        <v>227.07</v>
      </c>
      <c r="M75" s="396">
        <v>227.07</v>
      </c>
      <c r="N75" s="396">
        <v>245.99</v>
      </c>
      <c r="O75" s="396">
        <v>227.07</v>
      </c>
      <c r="P75" s="396">
        <v>227.07</v>
      </c>
      <c r="Q75" s="396">
        <v>227.07</v>
      </c>
      <c r="R75" s="396">
        <v>227.7</v>
      </c>
      <c r="S75" s="396">
        <v>227.7</v>
      </c>
      <c r="T75" s="396">
        <v>227.7</v>
      </c>
      <c r="U75" s="396">
        <f t="shared" si="41"/>
        <v>2653.1799999999994</v>
      </c>
      <c r="V75" s="396"/>
      <c r="W75" s="396">
        <f t="shared" si="38"/>
        <v>2</v>
      </c>
      <c r="X75" s="396">
        <f t="shared" si="39"/>
        <v>2.7999735764301761</v>
      </c>
      <c r="Y75" s="396">
        <f t="shared" si="39"/>
        <v>3</v>
      </c>
      <c r="Z75" s="396">
        <f t="shared" si="39"/>
        <v>3</v>
      </c>
      <c r="AA75" s="396">
        <f t="shared" si="39"/>
        <v>3</v>
      </c>
      <c r="AB75" s="396">
        <f t="shared" si="39"/>
        <v>3.2499669705377197</v>
      </c>
      <c r="AC75" s="396">
        <f t="shared" si="39"/>
        <v>3</v>
      </c>
      <c r="AD75" s="396">
        <f t="shared" si="39"/>
        <v>3</v>
      </c>
      <c r="AE75" s="396">
        <f t="shared" si="39"/>
        <v>3</v>
      </c>
      <c r="AF75" s="396">
        <f t="shared" si="42"/>
        <v>2.9998063366133141</v>
      </c>
      <c r="AG75" s="396">
        <f t="shared" si="42"/>
        <v>2.9998063366133141</v>
      </c>
      <c r="AH75" s="396">
        <f t="shared" si="42"/>
        <v>2.9998063366133141</v>
      </c>
      <c r="AI75" s="397">
        <f t="shared" si="43"/>
        <v>2.9207799630673197</v>
      </c>
      <c r="AJ75" s="396">
        <f>+IFERROR(VLOOKUP($C75,'Kitsap Regulated - Price Out'!$C$61:$AG$83,31,FALSE),0)</f>
        <v>0</v>
      </c>
      <c r="AN75" s="393">
        <v>1</v>
      </c>
      <c r="AO75" s="393">
        <v>1</v>
      </c>
      <c r="AP75" s="397">
        <f t="shared" si="44"/>
        <v>2.9998063366133141</v>
      </c>
      <c r="AQ75" s="397"/>
      <c r="AR75" s="407">
        <f>+IFERROR(VLOOKUP($C75,'[41]Kitsap Regulated - Price Out'!$C$61:$S$83,17,FALSE),0)</f>
        <v>0</v>
      </c>
      <c r="AS75" s="407">
        <f t="shared" si="45"/>
        <v>2653.1799999999994</v>
      </c>
      <c r="AT75" s="408">
        <f t="shared" si="46"/>
        <v>79.676770061956304</v>
      </c>
      <c r="AU75" s="409">
        <f t="shared" si="47"/>
        <v>2792.6197622266086</v>
      </c>
      <c r="AV75" s="409">
        <f t="shared" si="48"/>
        <v>139.43976222660922</v>
      </c>
      <c r="AW75" s="410">
        <f t="shared" si="49"/>
        <v>5.2672348552732284E-2</v>
      </c>
    </row>
    <row r="76" spans="1:49" s="411" customFormat="1" ht="12">
      <c r="A76" s="411" t="str">
        <f t="shared" si="40"/>
        <v>MASON CO-REGULATEDCommercial - RearloadR1.5YDEM</v>
      </c>
      <c r="B76" s="411">
        <f t="shared" si="37"/>
        <v>1</v>
      </c>
      <c r="C76" s="420" t="s">
        <v>292</v>
      </c>
      <c r="D76" s="413" t="s">
        <v>293</v>
      </c>
      <c r="E76" s="414">
        <v>41.6</v>
      </c>
      <c r="F76" s="414">
        <v>42.18</v>
      </c>
      <c r="G76" s="414">
        <f>19.49*2.17</f>
        <v>42.293299999999995</v>
      </c>
      <c r="H76" s="415"/>
      <c r="I76" s="416">
        <v>8126.5633000000007</v>
      </c>
      <c r="J76" s="416">
        <v>8168.9733000000006</v>
      </c>
      <c r="K76" s="416">
        <v>8183.0333000000001</v>
      </c>
      <c r="L76" s="416">
        <v>8168.9733000000006</v>
      </c>
      <c r="M76" s="416">
        <v>8323.6332999999995</v>
      </c>
      <c r="N76" s="416">
        <v>8092.5533000000005</v>
      </c>
      <c r="O76" s="416">
        <v>8074.7732999999998</v>
      </c>
      <c r="P76" s="416">
        <v>8028.3733000000002</v>
      </c>
      <c r="Q76" s="416">
        <v>8035.4032999999999</v>
      </c>
      <c r="R76" s="416">
        <v>8038.6033000000007</v>
      </c>
      <c r="S76" s="416">
        <v>8338.2132999999994</v>
      </c>
      <c r="T76" s="416">
        <v>8606.0432999999994</v>
      </c>
      <c r="U76" s="416">
        <f t="shared" si="41"/>
        <v>98185.13960000001</v>
      </c>
      <c r="V76" s="416"/>
      <c r="W76" s="416">
        <f t="shared" si="38"/>
        <v>195.35007932692309</v>
      </c>
      <c r="X76" s="416">
        <f t="shared" si="39"/>
        <v>193.66935277382646</v>
      </c>
      <c r="Y76" s="416">
        <f t="shared" si="39"/>
        <v>194.0026861071598</v>
      </c>
      <c r="Z76" s="416">
        <f t="shared" si="39"/>
        <v>193.66935277382646</v>
      </c>
      <c r="AA76" s="416">
        <f t="shared" si="39"/>
        <v>197.33601944049312</v>
      </c>
      <c r="AB76" s="416">
        <f t="shared" si="39"/>
        <v>191.85759364627788</v>
      </c>
      <c r="AC76" s="416">
        <f t="shared" si="39"/>
        <v>191.43606685633</v>
      </c>
      <c r="AD76" s="416">
        <f t="shared" si="39"/>
        <v>190.33601944049312</v>
      </c>
      <c r="AE76" s="416">
        <f t="shared" si="39"/>
        <v>190.5026861071598</v>
      </c>
      <c r="AF76" s="416">
        <f t="shared" si="42"/>
        <v>190.06800840795117</v>
      </c>
      <c r="AG76" s="416">
        <f t="shared" si="42"/>
        <v>197.15210919932946</v>
      </c>
      <c r="AH76" s="416">
        <f t="shared" si="42"/>
        <v>203.48479073517555</v>
      </c>
      <c r="AI76" s="417">
        <f t="shared" si="43"/>
        <v>194.07206373457882</v>
      </c>
      <c r="AJ76" s="396">
        <f>+IFERROR(VLOOKUP($C76,'Kitsap Regulated - Price Out'!$C$61:$AG$83,31,FALSE),0)</f>
        <v>0</v>
      </c>
      <c r="AN76" s="411">
        <v>1.5</v>
      </c>
      <c r="AO76" s="411">
        <v>1</v>
      </c>
      <c r="AP76" s="417">
        <f t="shared" si="44"/>
        <v>203.48479073517555</v>
      </c>
      <c r="AQ76" s="417"/>
      <c r="AR76" s="417">
        <f>+IFERROR(VLOOKUP($C76,'[41]Kitsap Regulated - Price Out'!$C$61:$S$83,17,FALSE),0)</f>
        <v>0</v>
      </c>
      <c r="AS76" s="417">
        <f t="shared" si="45"/>
        <v>98185.13960000001</v>
      </c>
      <c r="AT76" s="414">
        <f t="shared" si="46"/>
        <v>44.394940764843057</v>
      </c>
      <c r="AU76" s="418">
        <f t="shared" si="47"/>
        <v>103389.81328328967</v>
      </c>
      <c r="AV76" s="418">
        <f t="shared" si="48"/>
        <v>5204.6736832896568</v>
      </c>
      <c r="AW76" s="419">
        <f t="shared" si="49"/>
        <v>5.2511635012874744E-2</v>
      </c>
    </row>
    <row r="77" spans="1:49" s="393" customFormat="1" ht="12">
      <c r="A77" s="393" t="str">
        <f t="shared" si="40"/>
        <v>MASON CO-REGULATEDCommercial - RearloadR1.5YDWM</v>
      </c>
      <c r="B77" s="393">
        <f t="shared" si="37"/>
        <v>1</v>
      </c>
      <c r="C77" s="394" t="s">
        <v>294</v>
      </c>
      <c r="D77" s="405" t="s">
        <v>295</v>
      </c>
      <c r="E77" s="406">
        <v>83.01</v>
      </c>
      <c r="F77" s="406">
        <v>84.18</v>
      </c>
      <c r="G77" s="406">
        <f>19.49*4.33</f>
        <v>84.3917</v>
      </c>
      <c r="H77" s="395"/>
      <c r="I77" s="396">
        <v>5354.15</v>
      </c>
      <c r="J77" s="396">
        <v>5421.19</v>
      </c>
      <c r="K77" s="396">
        <v>5240.21</v>
      </c>
      <c r="L77" s="396">
        <v>5122.3599999999997</v>
      </c>
      <c r="M77" s="396">
        <v>4882.4399999999996</v>
      </c>
      <c r="N77" s="396">
        <v>4831.93</v>
      </c>
      <c r="O77" s="396">
        <v>4819.3100000000004</v>
      </c>
      <c r="P77" s="396">
        <v>5164.45</v>
      </c>
      <c r="Q77" s="396">
        <v>5345.43</v>
      </c>
      <c r="R77" s="396">
        <v>5308.13</v>
      </c>
      <c r="S77" s="396">
        <v>5540.2</v>
      </c>
      <c r="T77" s="396">
        <v>5485.35</v>
      </c>
      <c r="U77" s="396">
        <f t="shared" si="41"/>
        <v>62515.149999999987</v>
      </c>
      <c r="V77" s="396"/>
      <c r="W77" s="396">
        <f t="shared" si="38"/>
        <v>64.500060233706776</v>
      </c>
      <c r="X77" s="396">
        <f t="shared" si="39"/>
        <v>64.399976241387492</v>
      </c>
      <c r="Y77" s="396">
        <f t="shared" si="39"/>
        <v>62.250059396531235</v>
      </c>
      <c r="Z77" s="396">
        <f t="shared" si="39"/>
        <v>60.850083155143729</v>
      </c>
      <c r="AA77" s="396">
        <f t="shared" si="39"/>
        <v>57.999999999999993</v>
      </c>
      <c r="AB77" s="396">
        <f t="shared" si="39"/>
        <v>57.399976241387499</v>
      </c>
      <c r="AC77" s="396">
        <f t="shared" si="39"/>
        <v>57.250059396531242</v>
      </c>
      <c r="AD77" s="396">
        <f t="shared" si="39"/>
        <v>61.350083155143736</v>
      </c>
      <c r="AE77" s="396">
        <f t="shared" si="39"/>
        <v>63.5</v>
      </c>
      <c r="AF77" s="396">
        <f t="shared" si="42"/>
        <v>62.89872108276051</v>
      </c>
      <c r="AG77" s="396">
        <f t="shared" si="42"/>
        <v>65.648636062551176</v>
      </c>
      <c r="AH77" s="396">
        <f t="shared" si="42"/>
        <v>64.998690629528738</v>
      </c>
      <c r="AI77" s="397">
        <f t="shared" si="43"/>
        <v>61.920528799556017</v>
      </c>
      <c r="AJ77" s="396">
        <f>+IFERROR(VLOOKUP($C77,'Kitsap Regulated - Price Out'!$C$61:$AG$83,31,FALSE),0)</f>
        <v>0</v>
      </c>
      <c r="AN77" s="393">
        <v>1.5</v>
      </c>
      <c r="AO77" s="393">
        <v>1</v>
      </c>
      <c r="AP77" s="397">
        <f t="shared" si="44"/>
        <v>64.998690629528738</v>
      </c>
      <c r="AQ77" s="397"/>
      <c r="AR77" s="407">
        <f>+IFERROR(VLOOKUP($C77,'[41]Kitsap Regulated - Price Out'!$C$61:$S$83,17,FALSE),0)</f>
        <v>0</v>
      </c>
      <c r="AS77" s="407">
        <f t="shared" si="45"/>
        <v>62515.149999999987</v>
      </c>
      <c r="AT77" s="408">
        <f t="shared" si="46"/>
        <v>88.58529654920298</v>
      </c>
      <c r="AU77" s="409">
        <f t="shared" si="47"/>
        <v>65822.980874305591</v>
      </c>
      <c r="AV77" s="409">
        <f t="shared" si="48"/>
        <v>3307.8308743056041</v>
      </c>
      <c r="AW77" s="410">
        <f t="shared" si="49"/>
        <v>5.2331866823508821E-2</v>
      </c>
    </row>
    <row r="78" spans="1:49" s="393" customFormat="1" ht="12">
      <c r="A78" s="393" t="str">
        <f t="shared" si="40"/>
        <v>MASON CO-REGULATEDCommercial - RearloadR1.5YDEK</v>
      </c>
      <c r="B78" s="393">
        <f t="shared" si="37"/>
        <v>1</v>
      </c>
      <c r="C78" s="394" t="s">
        <v>296</v>
      </c>
      <c r="D78" s="405" t="s">
        <v>293</v>
      </c>
      <c r="E78" s="406">
        <f>19.17*2.17</f>
        <v>41.5989</v>
      </c>
      <c r="F78" s="406">
        <v>42.18</v>
      </c>
      <c r="G78" s="406">
        <f>19.49*2.17</f>
        <v>42.293299999999995</v>
      </c>
      <c r="H78" s="395"/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0</v>
      </c>
      <c r="Q78" s="396">
        <v>2808.05</v>
      </c>
      <c r="R78" s="396">
        <v>2910.42</v>
      </c>
      <c r="S78" s="396">
        <v>2875.39</v>
      </c>
      <c r="T78" s="396">
        <v>2664.27</v>
      </c>
      <c r="U78" s="396">
        <f t="shared" si="41"/>
        <v>11258.130000000001</v>
      </c>
      <c r="V78" s="396"/>
      <c r="W78" s="396">
        <f t="shared" si="38"/>
        <v>0</v>
      </c>
      <c r="X78" s="396">
        <f t="shared" si="39"/>
        <v>0</v>
      </c>
      <c r="Y78" s="396">
        <f t="shared" si="39"/>
        <v>0</v>
      </c>
      <c r="Z78" s="396">
        <f t="shared" si="39"/>
        <v>0</v>
      </c>
      <c r="AA78" s="396">
        <f t="shared" si="39"/>
        <v>0</v>
      </c>
      <c r="AB78" s="396">
        <f t="shared" si="39"/>
        <v>0</v>
      </c>
      <c r="AC78" s="396">
        <f t="shared" si="39"/>
        <v>0</v>
      </c>
      <c r="AD78" s="396">
        <f t="shared" si="39"/>
        <v>0</v>
      </c>
      <c r="AE78" s="396">
        <f t="shared" si="39"/>
        <v>66.573020388809866</v>
      </c>
      <c r="AF78" s="396">
        <f t="shared" si="42"/>
        <v>68.815155119132356</v>
      </c>
      <c r="AG78" s="396">
        <f t="shared" si="42"/>
        <v>67.986891540740501</v>
      </c>
      <c r="AH78" s="396">
        <f t="shared" si="42"/>
        <v>62.99508432777769</v>
      </c>
      <c r="AI78" s="397">
        <f t="shared" si="43"/>
        <v>22.197512614705033</v>
      </c>
      <c r="AJ78" s="396">
        <f>+IFERROR(VLOOKUP($C78,'Kitsap Regulated - Price Out'!$C$61:$AG$83,31,FALSE),0)</f>
        <v>47.226120353786222</v>
      </c>
      <c r="AN78" s="393">
        <v>1.5</v>
      </c>
      <c r="AO78" s="393">
        <v>1</v>
      </c>
      <c r="AP78" s="397">
        <f t="shared" si="44"/>
        <v>62.99508432777769</v>
      </c>
      <c r="AQ78" s="397"/>
      <c r="AR78" s="407">
        <f>+IFERROR(VLOOKUP($C78,'[41]Kitsap Regulated - Price Out'!$C$61:$S$83,17,FALSE),0)</f>
        <v>21484.050000000003</v>
      </c>
      <c r="AS78" s="407">
        <f t="shared" si="45"/>
        <v>32742.180000000004</v>
      </c>
      <c r="AT78" s="408">
        <f t="shared" si="46"/>
        <v>44.394940764843057</v>
      </c>
      <c r="AU78" s="409">
        <f t="shared" si="47"/>
        <v>36984.696879796502</v>
      </c>
      <c r="AV78" s="409">
        <f t="shared" si="48"/>
        <v>4242.516879796498</v>
      </c>
      <c r="AW78" s="410">
        <f t="shared" si="49"/>
        <v>5.2511635012874744E-2</v>
      </c>
    </row>
    <row r="79" spans="1:49" s="393" customFormat="1" ht="12">
      <c r="A79" s="393" t="str">
        <f t="shared" si="40"/>
        <v>MASON CO-REGULATEDCommercial - RearloadR1.5YDWK</v>
      </c>
      <c r="B79" s="393">
        <f t="shared" si="37"/>
        <v>1</v>
      </c>
      <c r="C79" s="394" t="s">
        <v>297</v>
      </c>
      <c r="D79" s="405" t="s">
        <v>295</v>
      </c>
      <c r="E79" s="406">
        <v>83.01</v>
      </c>
      <c r="F79" s="406">
        <v>84.18</v>
      </c>
      <c r="G79" s="406">
        <f>19.49*4.33</f>
        <v>84.3917</v>
      </c>
      <c r="H79" s="395"/>
      <c r="I79" s="396">
        <v>0</v>
      </c>
      <c r="J79" s="396">
        <v>0</v>
      </c>
      <c r="K79" s="396">
        <v>0</v>
      </c>
      <c r="L79" s="396">
        <v>0</v>
      </c>
      <c r="M79" s="396">
        <v>0</v>
      </c>
      <c r="N79" s="396">
        <v>0</v>
      </c>
      <c r="O79" s="396">
        <v>0</v>
      </c>
      <c r="P79" s="396">
        <v>0</v>
      </c>
      <c r="Q79" s="396">
        <v>3508.12</v>
      </c>
      <c r="R79" s="396">
        <v>3535.56</v>
      </c>
      <c r="S79" s="396">
        <v>3459.99</v>
      </c>
      <c r="T79" s="396">
        <v>3324.97</v>
      </c>
      <c r="U79" s="396">
        <f t="shared" si="41"/>
        <v>13828.64</v>
      </c>
      <c r="V79" s="396"/>
      <c r="W79" s="396">
        <f t="shared" si="38"/>
        <v>0</v>
      </c>
      <c r="X79" s="396">
        <f t="shared" si="39"/>
        <v>0</v>
      </c>
      <c r="Y79" s="396">
        <f t="shared" si="39"/>
        <v>0</v>
      </c>
      <c r="Z79" s="396">
        <f t="shared" si="39"/>
        <v>0</v>
      </c>
      <c r="AA79" s="396">
        <f t="shared" si="39"/>
        <v>0</v>
      </c>
      <c r="AB79" s="396">
        <f t="shared" si="39"/>
        <v>0</v>
      </c>
      <c r="AC79" s="396">
        <f t="shared" si="39"/>
        <v>0</v>
      </c>
      <c r="AD79" s="396">
        <f t="shared" si="39"/>
        <v>0</v>
      </c>
      <c r="AE79" s="396">
        <f t="shared" si="39"/>
        <v>41.674031836540742</v>
      </c>
      <c r="AF79" s="396">
        <f t="shared" si="42"/>
        <v>41.894641297663156</v>
      </c>
      <c r="AG79" s="396">
        <f t="shared" si="42"/>
        <v>40.999174089395048</v>
      </c>
      <c r="AH79" s="396">
        <f t="shared" si="42"/>
        <v>39.39925371807891</v>
      </c>
      <c r="AI79" s="397">
        <f t="shared" si="43"/>
        <v>13.663925078473154</v>
      </c>
      <c r="AJ79" s="396">
        <f>+IFERROR(VLOOKUP($C79,'Kitsap Regulated - Price Out'!$C$61:$AG$83,31,FALSE),0)</f>
        <v>25.643344160207775</v>
      </c>
      <c r="AN79" s="393">
        <v>1.5</v>
      </c>
      <c r="AO79" s="393">
        <v>1</v>
      </c>
      <c r="AP79" s="397">
        <f t="shared" si="44"/>
        <v>39.39925371807891</v>
      </c>
      <c r="AQ79" s="397"/>
      <c r="AR79" s="407">
        <f>+IFERROR(VLOOKUP($C79,'[41]Kitsap Regulated - Price Out'!$C$61:$S$83,17,FALSE),0)</f>
        <v>23277.52</v>
      </c>
      <c r="AS79" s="407">
        <f t="shared" si="45"/>
        <v>37106.160000000003</v>
      </c>
      <c r="AT79" s="408">
        <f t="shared" si="46"/>
        <v>88.58529654920298</v>
      </c>
      <c r="AU79" s="409">
        <f t="shared" si="47"/>
        <v>41784.553224574971</v>
      </c>
      <c r="AV79" s="409">
        <f t="shared" si="48"/>
        <v>4678.3932245749675</v>
      </c>
      <c r="AW79" s="410">
        <f t="shared" si="49"/>
        <v>5.2331866823508821E-2</v>
      </c>
    </row>
    <row r="80" spans="1:49" s="411" customFormat="1" ht="12">
      <c r="A80" s="411" t="str">
        <f t="shared" si="40"/>
        <v>MASON CO-REGULATEDCommercial - RearloadR2YDEM</v>
      </c>
      <c r="B80" s="411">
        <f t="shared" si="37"/>
        <v>1</v>
      </c>
      <c r="C80" s="420" t="s">
        <v>298</v>
      </c>
      <c r="D80" s="413" t="s">
        <v>299</v>
      </c>
      <c r="E80" s="414">
        <v>54.97</v>
      </c>
      <c r="F80" s="414">
        <v>55.75</v>
      </c>
      <c r="G80" s="414">
        <f>25.76*2.17</f>
        <v>55.8992</v>
      </c>
      <c r="H80" s="415"/>
      <c r="I80" s="416">
        <v>6290.4392000000007</v>
      </c>
      <c r="J80" s="416">
        <v>6332.2492000000002</v>
      </c>
      <c r="K80" s="416">
        <v>6564.5592000000006</v>
      </c>
      <c r="L80" s="416">
        <v>6666.7892000000002</v>
      </c>
      <c r="M80" s="416">
        <v>7252.1491999999998</v>
      </c>
      <c r="N80" s="416">
        <v>7345.1192000000001</v>
      </c>
      <c r="O80" s="416">
        <v>7204.6692000000003</v>
      </c>
      <c r="P80" s="416">
        <v>7326.4692000000005</v>
      </c>
      <c r="Q80" s="416">
        <v>7400.8092000000006</v>
      </c>
      <c r="R80" s="416">
        <v>7316.0291999999999</v>
      </c>
      <c r="S80" s="416">
        <v>7979.6692000000003</v>
      </c>
      <c r="T80" s="416">
        <v>8220.1592000000001</v>
      </c>
      <c r="U80" s="416">
        <f t="shared" si="41"/>
        <v>85899.110400000005</v>
      </c>
      <c r="V80" s="416"/>
      <c r="W80" s="416">
        <f t="shared" si="38"/>
        <v>114.43404038566493</v>
      </c>
      <c r="X80" s="416">
        <f t="shared" si="39"/>
        <v>113.58294529147983</v>
      </c>
      <c r="Y80" s="416">
        <f t="shared" si="39"/>
        <v>117.74994080717489</v>
      </c>
      <c r="Z80" s="416">
        <f t="shared" si="39"/>
        <v>119.58366278026907</v>
      </c>
      <c r="AA80" s="416">
        <f t="shared" si="39"/>
        <v>130.0833937219731</v>
      </c>
      <c r="AB80" s="416">
        <f t="shared" si="39"/>
        <v>131.75101704035873</v>
      </c>
      <c r="AC80" s="416">
        <f t="shared" si="39"/>
        <v>129.23173452914799</v>
      </c>
      <c r="AD80" s="416">
        <f t="shared" si="39"/>
        <v>131.41648789237669</v>
      </c>
      <c r="AE80" s="416">
        <f t="shared" si="39"/>
        <v>132.74994080717491</v>
      </c>
      <c r="AF80" s="416">
        <f t="shared" si="42"/>
        <v>130.87896070068982</v>
      </c>
      <c r="AG80" s="416">
        <f t="shared" si="42"/>
        <v>142.75104473767067</v>
      </c>
      <c r="AH80" s="416">
        <f t="shared" si="42"/>
        <v>147.05325299825401</v>
      </c>
      <c r="AI80" s="417">
        <f t="shared" si="43"/>
        <v>128.43886847435289</v>
      </c>
      <c r="AJ80" s="396">
        <f>+IFERROR(VLOOKUP($C80,'Kitsap Regulated - Price Out'!$C$61:$AG$83,31,FALSE),0)</f>
        <v>0</v>
      </c>
      <c r="AN80" s="411">
        <v>2</v>
      </c>
      <c r="AO80" s="411">
        <v>1</v>
      </c>
      <c r="AP80" s="417">
        <f t="shared" si="44"/>
        <v>147.05325299825401</v>
      </c>
      <c r="AQ80" s="417"/>
      <c r="AR80" s="417">
        <f>+IFERROR(VLOOKUP($C80,'[41]Kitsap Regulated - Price Out'!$C$61:$S$83,17,FALSE),0)</f>
        <v>0</v>
      </c>
      <c r="AS80" s="417">
        <f t="shared" si="45"/>
        <v>85899.110400000005</v>
      </c>
      <c r="AT80" s="414">
        <f t="shared" si="46"/>
        <v>58.67694582362018</v>
      </c>
      <c r="AU80" s="418">
        <f t="shared" si="47"/>
        <v>90436.80632540019</v>
      </c>
      <c r="AV80" s="418">
        <f t="shared" si="48"/>
        <v>4537.6959254001849</v>
      </c>
      <c r="AW80" s="419">
        <f t="shared" si="49"/>
        <v>5.2501270378837311E-2</v>
      </c>
    </row>
    <row r="81" spans="1:49" s="393" customFormat="1" ht="12">
      <c r="A81" s="393" t="str">
        <f t="shared" si="40"/>
        <v>MASON CO-REGULATEDCommercial - RearloadR2YDWK</v>
      </c>
      <c r="B81" s="393">
        <f t="shared" si="37"/>
        <v>1</v>
      </c>
      <c r="C81" s="394" t="s">
        <v>300</v>
      </c>
      <c r="D81" s="405" t="s">
        <v>301</v>
      </c>
      <c r="E81" s="406">
        <v>109.68</v>
      </c>
      <c r="F81" s="406">
        <v>111.24</v>
      </c>
      <c r="G81" s="406">
        <f>25.76*4.33</f>
        <v>111.5408</v>
      </c>
      <c r="H81" s="395"/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0</v>
      </c>
      <c r="P81" s="396">
        <v>0</v>
      </c>
      <c r="Q81" s="396">
        <v>19852.89</v>
      </c>
      <c r="R81" s="396">
        <v>20791.740000000002</v>
      </c>
      <c r="S81" s="396">
        <v>20082.359999999997</v>
      </c>
      <c r="T81" s="396">
        <v>19780.84</v>
      </c>
      <c r="U81" s="396">
        <f t="shared" si="41"/>
        <v>80507.83</v>
      </c>
      <c r="V81" s="396"/>
      <c r="W81" s="396">
        <f t="shared" si="38"/>
        <v>0</v>
      </c>
      <c r="X81" s="396">
        <f t="shared" si="39"/>
        <v>0</v>
      </c>
      <c r="Y81" s="396">
        <f t="shared" si="39"/>
        <v>0</v>
      </c>
      <c r="Z81" s="396">
        <f t="shared" si="39"/>
        <v>0</v>
      </c>
      <c r="AA81" s="396">
        <f t="shared" si="39"/>
        <v>0</v>
      </c>
      <c r="AB81" s="396">
        <f t="shared" si="39"/>
        <v>0</v>
      </c>
      <c r="AC81" s="396">
        <f t="shared" si="39"/>
        <v>0</v>
      </c>
      <c r="AD81" s="396">
        <f t="shared" si="39"/>
        <v>0</v>
      </c>
      <c r="AE81" s="396">
        <f t="shared" si="39"/>
        <v>178.46898597626753</v>
      </c>
      <c r="AF81" s="396">
        <f t="shared" si="42"/>
        <v>186.40479537532454</v>
      </c>
      <c r="AG81" s="396">
        <f t="shared" si="42"/>
        <v>180.0449700916615</v>
      </c>
      <c r="AH81" s="396">
        <f t="shared" si="42"/>
        <v>177.34174400757391</v>
      </c>
      <c r="AI81" s="397">
        <f t="shared" si="43"/>
        <v>60.188374620902287</v>
      </c>
      <c r="AJ81" s="396">
        <f>+IFERROR(VLOOKUP($C81,'Kitsap Regulated - Price Out'!$C$61:$AG$83,31,FALSE),0)</f>
        <v>127.2271321165686</v>
      </c>
      <c r="AN81" s="393">
        <v>2</v>
      </c>
      <c r="AO81" s="393">
        <v>1</v>
      </c>
      <c r="AP81" s="397">
        <f t="shared" si="44"/>
        <v>177.34174400757391</v>
      </c>
      <c r="AQ81" s="397"/>
      <c r="AR81" s="407">
        <f>+IFERROR(VLOOKUP($C81,'[41]Kitsap Regulated - Price Out'!$C$61:$S$83,17,FALSE),0)</f>
        <v>151121.1</v>
      </c>
      <c r="AS81" s="407">
        <f t="shared" si="45"/>
        <v>231628.93</v>
      </c>
      <c r="AT81" s="408">
        <f t="shared" si="46"/>
        <v>117.08349097524211</v>
      </c>
      <c r="AU81" s="409">
        <f t="shared" si="47"/>
        <v>263319.14150060515</v>
      </c>
      <c r="AV81" s="409">
        <f t="shared" si="48"/>
        <v>31690.211500605161</v>
      </c>
      <c r="AW81" s="410">
        <f t="shared" si="49"/>
        <v>5.2530483416416029E-2</v>
      </c>
    </row>
    <row r="82" spans="1:49" s="411" customFormat="1" ht="12">
      <c r="A82" s="411" t="str">
        <f t="shared" si="40"/>
        <v>MASON CO-REGULATEDCommercial - RearloadR2YDWM</v>
      </c>
      <c r="B82" s="411">
        <f t="shared" si="37"/>
        <v>1</v>
      </c>
      <c r="C82" s="420" t="s">
        <v>302</v>
      </c>
      <c r="D82" s="413" t="s">
        <v>301</v>
      </c>
      <c r="E82" s="414">
        <v>109.68</v>
      </c>
      <c r="F82" s="414">
        <v>111.24</v>
      </c>
      <c r="G82" s="414">
        <f>25.76*4.33</f>
        <v>111.5408</v>
      </c>
      <c r="H82" s="415"/>
      <c r="I82" s="416">
        <v>29692.2408</v>
      </c>
      <c r="J82" s="416">
        <v>29768.120800000001</v>
      </c>
      <c r="K82" s="416">
        <v>29423.2808</v>
      </c>
      <c r="L82" s="416">
        <v>28883.770799999998</v>
      </c>
      <c r="M82" s="416">
        <v>27261.4908</v>
      </c>
      <c r="N82" s="416">
        <v>29052.050799999997</v>
      </c>
      <c r="O82" s="416">
        <v>32115.300799999997</v>
      </c>
      <c r="P82" s="416">
        <v>36253.4908</v>
      </c>
      <c r="Q82" s="416">
        <v>36820.7408</v>
      </c>
      <c r="R82" s="416">
        <v>36364.230800000005</v>
      </c>
      <c r="S82" s="416">
        <v>32870.890800000001</v>
      </c>
      <c r="T82" s="416">
        <v>32939.860800000002</v>
      </c>
      <c r="U82" s="416">
        <f t="shared" si="41"/>
        <v>381445.46960000001</v>
      </c>
      <c r="V82" s="416"/>
      <c r="W82" s="416">
        <f t="shared" si="38"/>
        <v>270.71700218818381</v>
      </c>
      <c r="X82" s="416">
        <f t="shared" si="39"/>
        <v>267.6026681049982</v>
      </c>
      <c r="Y82" s="416">
        <f t="shared" si="39"/>
        <v>264.50270406328661</v>
      </c>
      <c r="Z82" s="416">
        <f t="shared" si="39"/>
        <v>259.65274002157497</v>
      </c>
      <c r="AA82" s="416">
        <f t="shared" si="39"/>
        <v>245.06913700107876</v>
      </c>
      <c r="AB82" s="416">
        <f t="shared" si="39"/>
        <v>261.1655052139518</v>
      </c>
      <c r="AC82" s="416">
        <f t="shared" si="39"/>
        <v>288.70281193815174</v>
      </c>
      <c r="AD82" s="416">
        <f t="shared" si="39"/>
        <v>325.90336929162174</v>
      </c>
      <c r="AE82" s="416">
        <f t="shared" si="39"/>
        <v>331.00270406328661</v>
      </c>
      <c r="AF82" s="416">
        <f t="shared" si="42"/>
        <v>326.01730308550776</v>
      </c>
      <c r="AG82" s="416">
        <f t="shared" si="42"/>
        <v>294.69835970335521</v>
      </c>
      <c r="AH82" s="416">
        <f t="shared" si="42"/>
        <v>295.31669846370119</v>
      </c>
      <c r="AI82" s="417">
        <f t="shared" si="43"/>
        <v>285.86258359489153</v>
      </c>
      <c r="AJ82" s="396">
        <f>+IFERROR(VLOOKUP($C82,'Kitsap Regulated - Price Out'!$C$61:$AG$83,31,FALSE),0)</f>
        <v>0</v>
      </c>
      <c r="AN82" s="411">
        <v>2</v>
      </c>
      <c r="AO82" s="411">
        <v>1</v>
      </c>
      <c r="AP82" s="417">
        <f t="shared" si="44"/>
        <v>295.31669846370119</v>
      </c>
      <c r="AQ82" s="417"/>
      <c r="AR82" s="417">
        <f>+IFERROR(VLOOKUP($C82,'[41]Kitsap Regulated - Price Out'!$C$61:$S$83,17,FALSE),0)</f>
        <v>0</v>
      </c>
      <c r="AS82" s="417">
        <f t="shared" si="45"/>
        <v>381445.46960000001</v>
      </c>
      <c r="AT82" s="414">
        <f t="shared" si="46"/>
        <v>117.08349097524211</v>
      </c>
      <c r="AU82" s="418">
        <f t="shared" si="47"/>
        <v>401637.47071790253</v>
      </c>
      <c r="AV82" s="418">
        <f t="shared" si="48"/>
        <v>20192.001117902517</v>
      </c>
      <c r="AW82" s="419">
        <f t="shared" si="49"/>
        <v>5.2530483416416029E-2</v>
      </c>
    </row>
    <row r="83" spans="1:49" s="393" customFormat="1" ht="12">
      <c r="A83" s="393" t="str">
        <f t="shared" si="40"/>
        <v>MASON CO-REGULATEDCommercial - RearloadR2YDEK</v>
      </c>
      <c r="B83" s="393">
        <f t="shared" si="37"/>
        <v>1</v>
      </c>
      <c r="C83" s="394" t="s">
        <v>303</v>
      </c>
      <c r="D83" s="405" t="s">
        <v>299</v>
      </c>
      <c r="E83" s="406">
        <v>54.97</v>
      </c>
      <c r="F83" s="406">
        <v>55.75</v>
      </c>
      <c r="G83" s="406">
        <f>25.76*2.17</f>
        <v>55.8992</v>
      </c>
      <c r="H83" s="395"/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3171.61</v>
      </c>
      <c r="R83" s="396">
        <v>3233.5</v>
      </c>
      <c r="S83" s="396">
        <v>3157.83</v>
      </c>
      <c r="T83" s="396">
        <v>2795</v>
      </c>
      <c r="U83" s="396">
        <f t="shared" si="41"/>
        <v>12357.94</v>
      </c>
      <c r="V83" s="396"/>
      <c r="W83" s="396">
        <f t="shared" si="38"/>
        <v>0</v>
      </c>
      <c r="X83" s="396">
        <f t="shared" si="39"/>
        <v>0</v>
      </c>
      <c r="Y83" s="396">
        <f t="shared" si="39"/>
        <v>0</v>
      </c>
      <c r="Z83" s="396">
        <f t="shared" si="39"/>
        <v>0</v>
      </c>
      <c r="AA83" s="396">
        <f t="shared" si="39"/>
        <v>0</v>
      </c>
      <c r="AB83" s="396">
        <f t="shared" si="39"/>
        <v>0</v>
      </c>
      <c r="AC83" s="396">
        <f t="shared" si="39"/>
        <v>0</v>
      </c>
      <c r="AD83" s="396">
        <f t="shared" si="39"/>
        <v>0</v>
      </c>
      <c r="AE83" s="396">
        <f t="shared" si="39"/>
        <v>56.889865470852023</v>
      </c>
      <c r="AF83" s="396">
        <f t="shared" si="42"/>
        <v>57.845192775567448</v>
      </c>
      <c r="AG83" s="396">
        <f t="shared" si="42"/>
        <v>56.49150613962275</v>
      </c>
      <c r="AH83" s="396">
        <f t="shared" si="42"/>
        <v>50.00071557374703</v>
      </c>
      <c r="AI83" s="397">
        <f t="shared" si="43"/>
        <v>18.43560666331577</v>
      </c>
      <c r="AJ83" s="396">
        <f>+IFERROR(VLOOKUP($C83,'Kitsap Regulated - Price Out'!$C$61:$AG$83,31,FALSE),0)</f>
        <v>40.929191646743085</v>
      </c>
      <c r="AN83" s="393">
        <v>2</v>
      </c>
      <c r="AO83" s="393">
        <v>1</v>
      </c>
      <c r="AP83" s="397">
        <f t="shared" si="44"/>
        <v>50.00071557374703</v>
      </c>
      <c r="AQ83" s="397"/>
      <c r="AR83" s="407">
        <f>+IFERROR(VLOOKUP($C83,'[41]Kitsap Regulated - Price Out'!$C$61:$S$83,17,FALSE),0)</f>
        <v>24364.1</v>
      </c>
      <c r="AS83" s="407">
        <f t="shared" si="45"/>
        <v>36722.04</v>
      </c>
      <c r="AT83" s="408">
        <f t="shared" si="46"/>
        <v>58.67694582362018</v>
      </c>
      <c r="AU83" s="409">
        <f t="shared" si="47"/>
        <v>41800.140651233552</v>
      </c>
      <c r="AV83" s="409">
        <f t="shared" si="48"/>
        <v>5078.1006512335516</v>
      </c>
      <c r="AW83" s="410">
        <f t="shared" si="49"/>
        <v>5.2501270378837311E-2</v>
      </c>
    </row>
    <row r="84" spans="1:49" s="223" customFormat="1" ht="12">
      <c r="A84" s="223" t="str">
        <f t="shared" si="40"/>
        <v>MASON CO-REGULATEDCommercial - RearloadR1YDRENTM</v>
      </c>
      <c r="B84" s="223">
        <f t="shared" si="37"/>
        <v>1</v>
      </c>
      <c r="C84" s="252" t="s">
        <v>304</v>
      </c>
      <c r="D84" s="252" t="s">
        <v>305</v>
      </c>
      <c r="E84" s="253">
        <v>8.4700000000000006</v>
      </c>
      <c r="F84" s="253">
        <v>8.4700000000000006</v>
      </c>
      <c r="G84" s="253">
        <v>8.4700000000000006</v>
      </c>
      <c r="H84" s="254"/>
      <c r="I84" s="255">
        <v>186.34</v>
      </c>
      <c r="J84" s="255">
        <v>186.34</v>
      </c>
      <c r="K84" s="255">
        <v>186.34</v>
      </c>
      <c r="L84" s="255">
        <v>186.34</v>
      </c>
      <c r="M84" s="255">
        <v>186.34</v>
      </c>
      <c r="N84" s="255">
        <v>186.34</v>
      </c>
      <c r="O84" s="255">
        <v>186.34</v>
      </c>
      <c r="P84" s="255">
        <v>179.85</v>
      </c>
      <c r="Q84" s="255">
        <v>227.84</v>
      </c>
      <c r="R84" s="255">
        <v>220.22</v>
      </c>
      <c r="S84" s="255">
        <v>220.22</v>
      </c>
      <c r="T84" s="255">
        <v>220.22</v>
      </c>
      <c r="U84" s="255">
        <f t="shared" si="41"/>
        <v>2372.7299999999996</v>
      </c>
      <c r="V84" s="255"/>
      <c r="W84" s="255">
        <f t="shared" si="38"/>
        <v>22</v>
      </c>
      <c r="X84" s="255">
        <f t="shared" si="39"/>
        <v>22</v>
      </c>
      <c r="Y84" s="255">
        <f t="shared" si="39"/>
        <v>22</v>
      </c>
      <c r="Z84" s="255">
        <f t="shared" si="39"/>
        <v>22</v>
      </c>
      <c r="AA84" s="255">
        <f t="shared" si="39"/>
        <v>22</v>
      </c>
      <c r="AB84" s="255">
        <f t="shared" si="39"/>
        <v>22</v>
      </c>
      <c r="AC84" s="255">
        <f t="shared" si="39"/>
        <v>22</v>
      </c>
      <c r="AD84" s="255">
        <f t="shared" si="39"/>
        <v>21.233766233766232</v>
      </c>
      <c r="AE84" s="255">
        <f t="shared" si="39"/>
        <v>26.899645808736715</v>
      </c>
      <c r="AF84" s="255">
        <f t="shared" si="42"/>
        <v>25.999999999999996</v>
      </c>
      <c r="AG84" s="255">
        <f t="shared" si="42"/>
        <v>25.999999999999996</v>
      </c>
      <c r="AH84" s="255">
        <f t="shared" si="42"/>
        <v>25.999999999999996</v>
      </c>
      <c r="AI84" s="256">
        <f t="shared" si="43"/>
        <v>23.344451003541909</v>
      </c>
      <c r="AJ84" s="255">
        <f>+IFERROR(VLOOKUP($C84,'Kitsap Regulated - Price Out'!$C$61:$AG$83,31,FALSE),0)</f>
        <v>3.8388429752066116</v>
      </c>
      <c r="AR84" s="257">
        <f>+IFERROR(VLOOKUP($C84,'[41]Kitsap Regulated - Price Out'!$C$61:$S$83,17,FALSE),0)</f>
        <v>390.18</v>
      </c>
      <c r="AS84" s="257">
        <f t="shared" si="45"/>
        <v>2762.9099999999994</v>
      </c>
      <c r="AT84" s="258">
        <f t="shared" si="46"/>
        <v>8.8908916608120148</v>
      </c>
      <c r="AU84" s="259">
        <f t="shared" si="47"/>
        <v>2900.2046609886802</v>
      </c>
      <c r="AV84" s="259">
        <f t="shared" si="48"/>
        <v>137.29466098868079</v>
      </c>
      <c r="AW84" s="260">
        <f t="shared" si="49"/>
        <v>4.9692049682646289E-2</v>
      </c>
    </row>
    <row r="85" spans="1:49" s="261" customFormat="1" ht="12">
      <c r="A85" s="261" t="str">
        <f t="shared" si="40"/>
        <v>MASON CO-REGULATEDCommercial - RearloadR1.5YDRENTM</v>
      </c>
      <c r="B85" s="261">
        <f t="shared" si="37"/>
        <v>1</v>
      </c>
      <c r="C85" s="262" t="s">
        <v>306</v>
      </c>
      <c r="D85" s="262" t="s">
        <v>307</v>
      </c>
      <c r="E85" s="263">
        <v>9.5399999999999991</v>
      </c>
      <c r="F85" s="263">
        <v>9.5399999999999991</v>
      </c>
      <c r="G85" s="263">
        <v>9.5399999999999991</v>
      </c>
      <c r="H85" s="264"/>
      <c r="I85" s="265">
        <v>2416.48</v>
      </c>
      <c r="J85" s="265">
        <v>2417.11</v>
      </c>
      <c r="K85" s="265">
        <v>2428.88</v>
      </c>
      <c r="L85" s="265">
        <v>2427.81</v>
      </c>
      <c r="M85" s="265">
        <v>2430.4699999999998</v>
      </c>
      <c r="N85" s="265">
        <v>2356.84</v>
      </c>
      <c r="O85" s="265">
        <v>2368.7799999999997</v>
      </c>
      <c r="P85" s="265">
        <v>2390.71</v>
      </c>
      <c r="Q85" s="265">
        <v>3402.6</v>
      </c>
      <c r="R85" s="265">
        <v>3425.18</v>
      </c>
      <c r="S85" s="265">
        <v>3477.33</v>
      </c>
      <c r="T85" s="265">
        <v>3462.7000000000003</v>
      </c>
      <c r="U85" s="265">
        <f t="shared" si="41"/>
        <v>33004.889999999992</v>
      </c>
      <c r="V85" s="265"/>
      <c r="W85" s="265">
        <f t="shared" si="38"/>
        <v>253.29979035639414</v>
      </c>
      <c r="X85" s="265">
        <f t="shared" si="39"/>
        <v>253.36582809224322</v>
      </c>
      <c r="Y85" s="265">
        <f t="shared" si="39"/>
        <v>254.59958071278828</v>
      </c>
      <c r="Z85" s="265">
        <f t="shared" si="39"/>
        <v>254.48742138364781</v>
      </c>
      <c r="AA85" s="265">
        <f t="shared" si="39"/>
        <v>254.76624737945494</v>
      </c>
      <c r="AB85" s="265">
        <f t="shared" si="39"/>
        <v>247.04821802935015</v>
      </c>
      <c r="AC85" s="265">
        <f t="shared" si="39"/>
        <v>248.29979035639411</v>
      </c>
      <c r="AD85" s="265">
        <f t="shared" si="39"/>
        <v>250.59853249475893</v>
      </c>
      <c r="AE85" s="265">
        <f t="shared" si="39"/>
        <v>356.66666666666669</v>
      </c>
      <c r="AF85" s="265">
        <f t="shared" si="42"/>
        <v>359.0335429769392</v>
      </c>
      <c r="AG85" s="265">
        <f t="shared" si="42"/>
        <v>364.5</v>
      </c>
      <c r="AH85" s="265">
        <f t="shared" si="42"/>
        <v>362.96645702306085</v>
      </c>
      <c r="AI85" s="266">
        <f t="shared" si="43"/>
        <v>288.30267295597486</v>
      </c>
      <c r="AJ85" s="255">
        <f>+IFERROR(VLOOKUP($C85,'Kitsap Regulated - Price Out'!$C$61:$AG$83,31,FALSE),0)</f>
        <v>71.15670859538784</v>
      </c>
      <c r="AR85" s="266">
        <f>+IFERROR(VLOOKUP($C85,'[41]Kitsap Regulated - Price Out'!$C$61:$S$83,17,FALSE),0)</f>
        <v>8146.02</v>
      </c>
      <c r="AS85" s="266">
        <f t="shared" si="45"/>
        <v>41150.909999999989</v>
      </c>
      <c r="AT85" s="263">
        <f t="shared" si="46"/>
        <v>10.014062153972445</v>
      </c>
      <c r="AU85" s="267">
        <f t="shared" si="47"/>
        <v>43195.783064206102</v>
      </c>
      <c r="AV85" s="267">
        <f t="shared" si="48"/>
        <v>2044.8730642061128</v>
      </c>
      <c r="AW85" s="268">
        <f t="shared" si="49"/>
        <v>4.9692049682646275E-2</v>
      </c>
    </row>
    <row r="86" spans="1:49" s="261" customFormat="1" ht="12">
      <c r="A86" s="261" t="str">
        <f t="shared" si="40"/>
        <v>MASON CO-REGULATEDCommercial - RearloadR2YDRENTM</v>
      </c>
      <c r="B86" s="261">
        <f t="shared" si="37"/>
        <v>1</v>
      </c>
      <c r="C86" s="262" t="s">
        <v>308</v>
      </c>
      <c r="D86" s="262" t="s">
        <v>309</v>
      </c>
      <c r="E86" s="263">
        <v>13.77</v>
      </c>
      <c r="F86" s="263">
        <v>13.77</v>
      </c>
      <c r="G86" s="263">
        <v>13.77</v>
      </c>
      <c r="H86" s="264"/>
      <c r="I86" s="265">
        <v>4718.51</v>
      </c>
      <c r="J86" s="265">
        <v>4696.03</v>
      </c>
      <c r="K86" s="265">
        <v>4704.74</v>
      </c>
      <c r="L86" s="265">
        <v>4722.9399999999996</v>
      </c>
      <c r="M86" s="265">
        <v>4735.97</v>
      </c>
      <c r="N86" s="265">
        <v>4873.32</v>
      </c>
      <c r="O86" s="265">
        <v>5068.1000000000004</v>
      </c>
      <c r="P86" s="265">
        <v>5431.3499999999995</v>
      </c>
      <c r="Q86" s="265">
        <v>8059.64</v>
      </c>
      <c r="R86" s="265">
        <v>8148.64</v>
      </c>
      <c r="S86" s="265">
        <v>7943.73</v>
      </c>
      <c r="T86" s="265">
        <v>7848.92</v>
      </c>
      <c r="U86" s="265">
        <f t="shared" si="41"/>
        <v>70951.89</v>
      </c>
      <c r="V86" s="265"/>
      <c r="W86" s="265">
        <f t="shared" si="38"/>
        <v>342.6659404502542</v>
      </c>
      <c r="X86" s="265">
        <f t="shared" si="39"/>
        <v>341.03340595497457</v>
      </c>
      <c r="Y86" s="265">
        <f t="shared" si="39"/>
        <v>341.6659404502542</v>
      </c>
      <c r="Z86" s="265">
        <f t="shared" si="39"/>
        <v>342.98765432098764</v>
      </c>
      <c r="AA86" s="265">
        <f t="shared" si="39"/>
        <v>343.93391430646335</v>
      </c>
      <c r="AB86" s="265">
        <f t="shared" si="39"/>
        <v>353.90849673202615</v>
      </c>
      <c r="AC86" s="265">
        <f t="shared" si="39"/>
        <v>368.05374001452435</v>
      </c>
      <c r="AD86" s="265">
        <f t="shared" si="39"/>
        <v>394.43355119825708</v>
      </c>
      <c r="AE86" s="265">
        <f t="shared" si="39"/>
        <v>585.30428467683373</v>
      </c>
      <c r="AF86" s="265">
        <f t="shared" si="42"/>
        <v>591.76761074800299</v>
      </c>
      <c r="AG86" s="265">
        <f t="shared" si="42"/>
        <v>576.88671023965139</v>
      </c>
      <c r="AH86" s="265">
        <f t="shared" si="42"/>
        <v>570.00145243282498</v>
      </c>
      <c r="AI86" s="266">
        <f t="shared" si="43"/>
        <v>429.38689179375461</v>
      </c>
      <c r="AJ86" s="255">
        <f>+IFERROR(VLOOKUP($C86,'Kitsap Regulated - Price Out'!$C$61:$AG$83,31,FALSE),0)</f>
        <v>134.2892156862745</v>
      </c>
      <c r="AR86" s="266">
        <f>+IFERROR(VLOOKUP($C86,'[41]Kitsap Regulated - Price Out'!$C$61:$S$83,17,FALSE),0)</f>
        <v>22189.950000000004</v>
      </c>
      <c r="AS86" s="266">
        <f t="shared" si="45"/>
        <v>93141.84</v>
      </c>
      <c r="AT86" s="263">
        <f t="shared" si="46"/>
        <v>14.454259524130039</v>
      </c>
      <c r="AU86" s="267">
        <f t="shared" si="47"/>
        <v>97770.248940813108</v>
      </c>
      <c r="AV86" s="267">
        <f t="shared" si="48"/>
        <v>4628.4089408131113</v>
      </c>
      <c r="AW86" s="268">
        <f t="shared" si="49"/>
        <v>4.9692049682646316E-2</v>
      </c>
    </row>
    <row r="87" spans="1:49" s="223" customFormat="1" ht="12">
      <c r="A87" s="223" t="str">
        <f t="shared" si="40"/>
        <v>MASON CO-REGULATEDCommercial - RearloadR2YDRENTT</v>
      </c>
      <c r="B87" s="223">
        <f t="shared" si="37"/>
        <v>1</v>
      </c>
      <c r="C87" s="252" t="s">
        <v>310</v>
      </c>
      <c r="D87" s="252" t="s">
        <v>311</v>
      </c>
      <c r="E87" s="253">
        <v>20.63</v>
      </c>
      <c r="F87" s="253">
        <v>20.63</v>
      </c>
      <c r="G87" s="253">
        <v>20.63</v>
      </c>
      <c r="H87" s="254"/>
      <c r="I87" s="255">
        <v>48.83</v>
      </c>
      <c r="J87" s="255">
        <v>0</v>
      </c>
      <c r="K87" s="255">
        <v>11.69</v>
      </c>
      <c r="L87" s="255">
        <v>19.940000000000001</v>
      </c>
      <c r="M87" s="255">
        <v>46.08</v>
      </c>
      <c r="N87" s="255">
        <v>47.91</v>
      </c>
      <c r="O87" s="255">
        <v>22.7</v>
      </c>
      <c r="P87" s="255">
        <v>79.78</v>
      </c>
      <c r="Q87" s="255">
        <v>35.76</v>
      </c>
      <c r="R87" s="255">
        <v>25.48</v>
      </c>
      <c r="S87" s="255">
        <v>26.37</v>
      </c>
      <c r="T87" s="255">
        <v>0</v>
      </c>
      <c r="U87" s="255">
        <f t="shared" si="41"/>
        <v>364.53999999999996</v>
      </c>
      <c r="V87" s="255"/>
      <c r="W87" s="255">
        <f t="shared" si="38"/>
        <v>2.3669413475521086</v>
      </c>
      <c r="X87" s="255">
        <f t="shared" si="39"/>
        <v>0</v>
      </c>
      <c r="Y87" s="255">
        <f t="shared" si="39"/>
        <v>0.566650508967523</v>
      </c>
      <c r="Z87" s="255">
        <f t="shared" si="39"/>
        <v>0.96655356277266125</v>
      </c>
      <c r="AA87" s="255">
        <f t="shared" si="39"/>
        <v>2.2336403296170624</v>
      </c>
      <c r="AB87" s="255">
        <f t="shared" si="39"/>
        <v>2.3223460979156569</v>
      </c>
      <c r="AC87" s="255">
        <f t="shared" si="39"/>
        <v>1.1003393116820166</v>
      </c>
      <c r="AD87" s="255">
        <f t="shared" si="39"/>
        <v>3.8671837130392634</v>
      </c>
      <c r="AE87" s="255">
        <f t="shared" si="39"/>
        <v>1.733397964129908</v>
      </c>
      <c r="AF87" s="255">
        <f t="shared" si="42"/>
        <v>1.2350945225399903</v>
      </c>
      <c r="AG87" s="255">
        <f t="shared" si="42"/>
        <v>1.2782355792535145</v>
      </c>
      <c r="AH87" s="255">
        <f t="shared" si="42"/>
        <v>0</v>
      </c>
      <c r="AI87" s="256">
        <f t="shared" si="43"/>
        <v>1.4725319114558089</v>
      </c>
      <c r="AJ87" s="255">
        <f>+IFERROR(VLOOKUP($C87,'Kitsap Regulated - Price Out'!$C$61:$AG$83,31,FALSE),0)</f>
        <v>0.14214735821619004</v>
      </c>
      <c r="AR87" s="257">
        <f>+IFERROR(VLOOKUP($C87,'[41]Kitsap Regulated - Price Out'!$C$61:$S$83,17,FALSE),0)</f>
        <v>35.19</v>
      </c>
      <c r="AS87" s="257">
        <f t="shared" si="45"/>
        <v>399.72999999999996</v>
      </c>
      <c r="AT87" s="258">
        <f t="shared" si="46"/>
        <v>21.655146984952992</v>
      </c>
      <c r="AU87" s="259">
        <f t="shared" si="47"/>
        <v>419.59340301964426</v>
      </c>
      <c r="AV87" s="259">
        <f t="shared" si="48"/>
        <v>19.863403019644295</v>
      </c>
      <c r="AW87" s="260">
        <f t="shared" si="49"/>
        <v>4.969204968264631E-2</v>
      </c>
    </row>
    <row r="88" spans="1:49" s="223" customFormat="1" ht="12">
      <c r="A88" s="223" t="str">
        <f t="shared" si="40"/>
        <v>MASON CO-REGULATEDCommercial - RearloadCDELC</v>
      </c>
      <c r="B88" s="223">
        <f t="shared" si="37"/>
        <v>1</v>
      </c>
      <c r="C88" s="252" t="s">
        <v>312</v>
      </c>
      <c r="D88" s="252" t="s">
        <v>313</v>
      </c>
      <c r="E88" s="253">
        <v>27</v>
      </c>
      <c r="F88" s="253">
        <v>27</v>
      </c>
      <c r="G88" s="253">
        <v>27.07</v>
      </c>
      <c r="H88" s="254"/>
      <c r="I88" s="255">
        <v>243</v>
      </c>
      <c r="J88" s="255">
        <v>81</v>
      </c>
      <c r="K88" s="255">
        <v>135</v>
      </c>
      <c r="L88" s="255">
        <v>243</v>
      </c>
      <c r="M88" s="255">
        <v>351</v>
      </c>
      <c r="N88" s="255">
        <v>594</v>
      </c>
      <c r="O88" s="255">
        <v>891</v>
      </c>
      <c r="P88" s="255">
        <v>567</v>
      </c>
      <c r="Q88" s="255">
        <v>432</v>
      </c>
      <c r="R88" s="255">
        <v>622.61</v>
      </c>
      <c r="S88" s="255">
        <v>487.26</v>
      </c>
      <c r="T88" s="255">
        <v>243.63</v>
      </c>
      <c r="U88" s="255">
        <f t="shared" si="41"/>
        <v>4890.5</v>
      </c>
      <c r="V88" s="255"/>
      <c r="W88" s="255">
        <f t="shared" si="38"/>
        <v>9</v>
      </c>
      <c r="X88" s="255">
        <f t="shared" si="39"/>
        <v>3</v>
      </c>
      <c r="Y88" s="255">
        <f t="shared" si="39"/>
        <v>5</v>
      </c>
      <c r="Z88" s="255">
        <f t="shared" si="39"/>
        <v>9</v>
      </c>
      <c r="AA88" s="255">
        <f t="shared" si="39"/>
        <v>13</v>
      </c>
      <c r="AB88" s="255">
        <f t="shared" si="39"/>
        <v>22</v>
      </c>
      <c r="AC88" s="255">
        <f t="shared" si="39"/>
        <v>33</v>
      </c>
      <c r="AD88" s="255">
        <f t="shared" si="39"/>
        <v>21</v>
      </c>
      <c r="AE88" s="255">
        <f t="shared" si="39"/>
        <v>16</v>
      </c>
      <c r="AF88" s="255">
        <f t="shared" ref="AF88:AH101" si="50">IFERROR(R88/$G88,0)</f>
        <v>23</v>
      </c>
      <c r="AG88" s="255">
        <f t="shared" si="50"/>
        <v>18</v>
      </c>
      <c r="AH88" s="255">
        <f t="shared" si="50"/>
        <v>9</v>
      </c>
      <c r="AI88" s="256">
        <f t="shared" si="43"/>
        <v>15.083333333333334</v>
      </c>
      <c r="AJ88" s="255">
        <f>+IFERROR(VLOOKUP($C88,'Kitsap Regulated - Price Out'!$C$61:$AG$83,31,FALSE),0)</f>
        <v>2.9166666666666665</v>
      </c>
      <c r="AR88" s="257">
        <f>+IFERROR(VLOOKUP($C88,'[41]Kitsap Regulated - Price Out'!$C$61:$S$83,17,FALSE),0)</f>
        <v>945</v>
      </c>
      <c r="AS88" s="257">
        <f t="shared" si="45"/>
        <v>5835.5</v>
      </c>
      <c r="AT88" s="258">
        <f t="shared" si="46"/>
        <v>28.415163784909236</v>
      </c>
      <c r="AU88" s="259">
        <f t="shared" si="47"/>
        <v>6137.6753775403949</v>
      </c>
      <c r="AV88" s="259">
        <f t="shared" si="48"/>
        <v>302.17537754039495</v>
      </c>
      <c r="AW88" s="260">
        <f t="shared" si="49"/>
        <v>5.2413473515156891E-2</v>
      </c>
    </row>
    <row r="89" spans="1:49" s="393" customFormat="1" ht="12">
      <c r="A89" s="393" t="str">
        <f t="shared" si="40"/>
        <v>MASON CO-REGULATEDCommercial - RearloadCOMCAN</v>
      </c>
      <c r="B89" s="393">
        <f t="shared" si="37"/>
        <v>1</v>
      </c>
      <c r="C89" s="394" t="s">
        <v>314</v>
      </c>
      <c r="D89" s="405" t="s">
        <v>315</v>
      </c>
      <c r="E89" s="406">
        <v>4.72</v>
      </c>
      <c r="F89" s="406">
        <v>4.75</v>
      </c>
      <c r="G89" s="406">
        <v>4.76</v>
      </c>
      <c r="H89" s="395"/>
      <c r="I89" s="396">
        <v>188.8</v>
      </c>
      <c r="J89" s="396">
        <v>152.4</v>
      </c>
      <c r="K89" s="396">
        <v>66.5</v>
      </c>
      <c r="L89" s="396">
        <v>104.5</v>
      </c>
      <c r="M89" s="396">
        <v>0</v>
      </c>
      <c r="N89" s="396">
        <v>61.75</v>
      </c>
      <c r="O89" s="396">
        <v>209</v>
      </c>
      <c r="P89" s="396">
        <v>869.25</v>
      </c>
      <c r="Q89" s="396">
        <v>430.75</v>
      </c>
      <c r="R89" s="396">
        <v>285.60000000000002</v>
      </c>
      <c r="S89" s="396">
        <v>742.56</v>
      </c>
      <c r="T89" s="396">
        <v>537.88</v>
      </c>
      <c r="U89" s="396">
        <f t="shared" si="41"/>
        <v>3648.99</v>
      </c>
      <c r="V89" s="396"/>
      <c r="W89" s="396">
        <f t="shared" si="38"/>
        <v>40.000000000000007</v>
      </c>
      <c r="X89" s="396">
        <f t="shared" si="39"/>
        <v>32.084210526315793</v>
      </c>
      <c r="Y89" s="396">
        <f t="shared" si="39"/>
        <v>14</v>
      </c>
      <c r="Z89" s="396">
        <f t="shared" si="39"/>
        <v>22</v>
      </c>
      <c r="AA89" s="396">
        <f t="shared" si="39"/>
        <v>0</v>
      </c>
      <c r="AB89" s="396">
        <f t="shared" si="39"/>
        <v>13</v>
      </c>
      <c r="AC89" s="396">
        <f t="shared" si="39"/>
        <v>44</v>
      </c>
      <c r="AD89" s="396">
        <f t="shared" si="39"/>
        <v>183</v>
      </c>
      <c r="AE89" s="396">
        <f t="shared" si="39"/>
        <v>90.684210526315795</v>
      </c>
      <c r="AF89" s="396">
        <f t="shared" si="50"/>
        <v>60.000000000000007</v>
      </c>
      <c r="AG89" s="396">
        <f t="shared" si="50"/>
        <v>156</v>
      </c>
      <c r="AH89" s="396">
        <f t="shared" si="50"/>
        <v>113</v>
      </c>
      <c r="AI89" s="397">
        <f t="shared" si="43"/>
        <v>63.980701754385962</v>
      </c>
      <c r="AJ89" s="396">
        <f>+IFERROR(VLOOKUP($C89,'Kitsap Regulated - Price Out'!$C$61:$AG$83,31,FALSE),0)</f>
        <v>24.666666666666668</v>
      </c>
      <c r="AR89" s="407">
        <f>+IFERROR(VLOOKUP($C89,'[41]Kitsap Regulated - Price Out'!$C$61:$S$83,17,FALSE),0)</f>
        <v>1332</v>
      </c>
      <c r="AS89" s="407">
        <f t="shared" si="45"/>
        <v>4980.99</v>
      </c>
      <c r="AT89" s="408">
        <f t="shared" si="46"/>
        <v>4.9965341564893961</v>
      </c>
      <c r="AU89" s="409">
        <f t="shared" si="47"/>
        <v>5315.1552503842668</v>
      </c>
      <c r="AV89" s="409">
        <f t="shared" si="48"/>
        <v>334.16525038426698</v>
      </c>
      <c r="AW89" s="410">
        <f t="shared" si="49"/>
        <v>5.1901927681978134E-2</v>
      </c>
    </row>
    <row r="90" spans="1:49" s="223" customFormat="1" ht="12">
      <c r="A90" s="223" t="str">
        <f t="shared" si="40"/>
        <v>MASON CO-REGULATEDCommercial - RearloadR2YDRENTTM</v>
      </c>
      <c r="B90" s="223">
        <f t="shared" si="37"/>
        <v>1</v>
      </c>
      <c r="C90" s="252" t="s">
        <v>316</v>
      </c>
      <c r="D90" s="252" t="s">
        <v>317</v>
      </c>
      <c r="E90" s="253">
        <v>20.63</v>
      </c>
      <c r="F90" s="253">
        <v>20.63</v>
      </c>
      <c r="G90" s="253">
        <v>20.63</v>
      </c>
      <c r="H90" s="254"/>
      <c r="I90" s="255">
        <v>55.01</v>
      </c>
      <c r="J90" s="255">
        <v>62.58</v>
      </c>
      <c r="K90" s="255">
        <v>46.78</v>
      </c>
      <c r="L90" s="255">
        <v>50.2</v>
      </c>
      <c r="M90" s="255">
        <v>82.52</v>
      </c>
      <c r="N90" s="255">
        <v>170.36</v>
      </c>
      <c r="O90" s="255">
        <v>188.42</v>
      </c>
      <c r="P90" s="255">
        <v>204.92</v>
      </c>
      <c r="Q90" s="255">
        <v>239.31</v>
      </c>
      <c r="R90" s="255">
        <v>273</v>
      </c>
      <c r="S90" s="255">
        <v>219.36</v>
      </c>
      <c r="T90" s="255">
        <v>186.48000000000002</v>
      </c>
      <c r="U90" s="255">
        <f t="shared" si="41"/>
        <v>1778.94</v>
      </c>
      <c r="V90" s="255"/>
      <c r="W90" s="255">
        <f t="shared" si="38"/>
        <v>2.6665050896752303</v>
      </c>
      <c r="X90" s="255">
        <f t="shared" si="39"/>
        <v>3.0334464372273389</v>
      </c>
      <c r="Y90" s="255">
        <f t="shared" si="39"/>
        <v>2.2675714978187109</v>
      </c>
      <c r="Z90" s="255">
        <f t="shared" si="39"/>
        <v>2.4333494910324771</v>
      </c>
      <c r="AA90" s="255">
        <f t="shared" si="39"/>
        <v>4</v>
      </c>
      <c r="AB90" s="255">
        <f t="shared" si="39"/>
        <v>8.2578768783325263</v>
      </c>
      <c r="AC90" s="255">
        <f t="shared" si="39"/>
        <v>9.1333010179350467</v>
      </c>
      <c r="AD90" s="255">
        <f t="shared" si="39"/>
        <v>9.9331071255453214</v>
      </c>
      <c r="AE90" s="255">
        <f t="shared" si="39"/>
        <v>11.600096946194862</v>
      </c>
      <c r="AF90" s="255">
        <f t="shared" si="50"/>
        <v>13.233155598642753</v>
      </c>
      <c r="AG90" s="255">
        <f t="shared" si="50"/>
        <v>10.633058652447893</v>
      </c>
      <c r="AH90" s="255">
        <f t="shared" si="50"/>
        <v>9.039263208919051</v>
      </c>
      <c r="AI90" s="256">
        <f t="shared" si="43"/>
        <v>7.1858943286476</v>
      </c>
      <c r="AJ90" s="255">
        <f>+IFERROR(VLOOKUP($C90,'Kitsap Regulated - Price Out'!$C$61:$AG$83,31,FALSE),0)</f>
        <v>1.4583535304572628</v>
      </c>
      <c r="AR90" s="257">
        <f>+IFERROR(VLOOKUP($C90,'[41]Kitsap Regulated - Price Out'!$C$61:$S$83,17,FALSE),0)</f>
        <v>361.03</v>
      </c>
      <c r="AS90" s="257">
        <f t="shared" si="45"/>
        <v>2139.9700000000003</v>
      </c>
      <c r="AT90" s="258">
        <f t="shared" si="46"/>
        <v>21.655146984952992</v>
      </c>
      <c r="AU90" s="259">
        <f t="shared" si="47"/>
        <v>2246.3094955593724</v>
      </c>
      <c r="AV90" s="259">
        <f t="shared" si="48"/>
        <v>106.33949555937215</v>
      </c>
      <c r="AW90" s="260">
        <f t="shared" si="49"/>
        <v>4.969204968264631E-2</v>
      </c>
    </row>
    <row r="91" spans="1:49" s="223" customFormat="1" ht="12">
      <c r="A91" s="223" t="str">
        <f t="shared" si="40"/>
        <v>MASON CO-REGULATEDCommercial - RearloadR1.5YDRENTT</v>
      </c>
      <c r="B91" s="223">
        <f t="shared" si="37"/>
        <v>1</v>
      </c>
      <c r="C91" s="252" t="s">
        <v>318</v>
      </c>
      <c r="D91" s="252" t="s">
        <v>319</v>
      </c>
      <c r="E91" s="253">
        <v>15.77</v>
      </c>
      <c r="F91" s="253">
        <v>15.77</v>
      </c>
      <c r="G91" s="253">
        <v>15.77</v>
      </c>
      <c r="H91" s="254"/>
      <c r="I91" s="255">
        <v>13.68</v>
      </c>
      <c r="J91" s="255">
        <v>0</v>
      </c>
      <c r="K91" s="255">
        <v>0</v>
      </c>
      <c r="L91" s="255">
        <v>0</v>
      </c>
      <c r="M91" s="255">
        <v>0</v>
      </c>
      <c r="N91" s="255">
        <v>0</v>
      </c>
      <c r="O91" s="255">
        <v>10.51</v>
      </c>
      <c r="P91" s="255">
        <v>0</v>
      </c>
      <c r="Q91" s="255">
        <v>15.77</v>
      </c>
      <c r="R91" s="255">
        <v>15.77</v>
      </c>
      <c r="S91" s="255">
        <v>15.77</v>
      </c>
      <c r="T91" s="255">
        <v>15.77</v>
      </c>
      <c r="U91" s="255">
        <f t="shared" si="41"/>
        <v>87.269999999999982</v>
      </c>
      <c r="V91" s="255"/>
      <c r="W91" s="255">
        <f t="shared" si="38"/>
        <v>0.86746987951807231</v>
      </c>
      <c r="X91" s="255">
        <f t="shared" si="39"/>
        <v>0</v>
      </c>
      <c r="Y91" s="255">
        <f t="shared" si="39"/>
        <v>0</v>
      </c>
      <c r="Z91" s="255">
        <f t="shared" si="39"/>
        <v>0</v>
      </c>
      <c r="AA91" s="255">
        <f t="shared" si="39"/>
        <v>0</v>
      </c>
      <c r="AB91" s="255">
        <f t="shared" si="39"/>
        <v>0</v>
      </c>
      <c r="AC91" s="255">
        <f t="shared" si="39"/>
        <v>0.66645529486366517</v>
      </c>
      <c r="AD91" s="255">
        <f t="shared" si="39"/>
        <v>0</v>
      </c>
      <c r="AE91" s="255">
        <f t="shared" si="39"/>
        <v>1</v>
      </c>
      <c r="AF91" s="255">
        <f t="shared" si="50"/>
        <v>1</v>
      </c>
      <c r="AG91" s="255">
        <f t="shared" si="50"/>
        <v>1</v>
      </c>
      <c r="AH91" s="255">
        <f t="shared" si="50"/>
        <v>1</v>
      </c>
      <c r="AI91" s="256">
        <f t="shared" si="43"/>
        <v>0.4611604311984781</v>
      </c>
      <c r="AJ91" s="255">
        <f>+IFERROR(VLOOKUP($C91,'Kitsap Regulated - Price Out'!$C$61:$AG$83,31,FALSE),0)</f>
        <v>0.78535193405199744</v>
      </c>
      <c r="AR91" s="257">
        <f>+IFERROR(VLOOKUP($C91,'[41]Kitsap Regulated - Price Out'!$C$61:$S$83,17,FALSE),0)</f>
        <v>148.62</v>
      </c>
      <c r="AS91" s="257">
        <f t="shared" si="45"/>
        <v>235.89</v>
      </c>
      <c r="AT91" s="258">
        <f t="shared" si="46"/>
        <v>16.553643623495333</v>
      </c>
      <c r="AU91" s="259">
        <f t="shared" si="47"/>
        <v>247.61185759963939</v>
      </c>
      <c r="AV91" s="259">
        <f t="shared" si="48"/>
        <v>11.721857599639407</v>
      </c>
      <c r="AW91" s="260">
        <f t="shared" si="49"/>
        <v>4.9692049682646372E-2</v>
      </c>
    </row>
    <row r="92" spans="1:49" s="223" customFormat="1" ht="12">
      <c r="A92" s="223" t="str">
        <f t="shared" si="40"/>
        <v>MASON CO-REGULATEDCommercial - RearloadROLLOUTOC</v>
      </c>
      <c r="B92" s="223">
        <f t="shared" si="37"/>
        <v>1</v>
      </c>
      <c r="C92" s="252" t="s">
        <v>320</v>
      </c>
      <c r="D92" s="252" t="s">
        <v>321</v>
      </c>
      <c r="E92" s="253">
        <v>3.6</v>
      </c>
      <c r="F92" s="253">
        <v>3.6</v>
      </c>
      <c r="G92" s="253">
        <v>3.61</v>
      </c>
      <c r="H92" s="254"/>
      <c r="I92" s="255">
        <v>565.20000000000005</v>
      </c>
      <c r="J92" s="255">
        <v>723.6</v>
      </c>
      <c r="K92" s="255">
        <v>1036.8</v>
      </c>
      <c r="L92" s="255">
        <v>799.2</v>
      </c>
      <c r="M92" s="255">
        <v>453.6</v>
      </c>
      <c r="N92" s="255">
        <v>561.6</v>
      </c>
      <c r="O92" s="255">
        <v>514.79999999999995</v>
      </c>
      <c r="P92" s="255">
        <v>568.79999999999995</v>
      </c>
      <c r="Q92" s="255">
        <v>1209.5999999999999</v>
      </c>
      <c r="R92" s="255">
        <v>1046.9000000000001</v>
      </c>
      <c r="S92" s="255">
        <v>1108.27</v>
      </c>
      <c r="T92" s="255">
        <v>1108.27</v>
      </c>
      <c r="U92" s="255">
        <f t="shared" si="41"/>
        <v>9696.6400000000012</v>
      </c>
      <c r="V92" s="255"/>
      <c r="W92" s="255">
        <f t="shared" si="38"/>
        <v>157</v>
      </c>
      <c r="X92" s="255">
        <f t="shared" si="39"/>
        <v>201</v>
      </c>
      <c r="Y92" s="255">
        <f t="shared" si="39"/>
        <v>288</v>
      </c>
      <c r="Z92" s="255">
        <f t="shared" si="39"/>
        <v>222</v>
      </c>
      <c r="AA92" s="255">
        <f t="shared" si="39"/>
        <v>126</v>
      </c>
      <c r="AB92" s="255">
        <f t="shared" si="39"/>
        <v>156</v>
      </c>
      <c r="AC92" s="255">
        <f t="shared" si="39"/>
        <v>142.99999999999997</v>
      </c>
      <c r="AD92" s="255">
        <f t="shared" si="39"/>
        <v>157.99999999999997</v>
      </c>
      <c r="AE92" s="255">
        <f t="shared" si="39"/>
        <v>335.99999999999994</v>
      </c>
      <c r="AF92" s="255">
        <f t="shared" si="50"/>
        <v>290.00000000000006</v>
      </c>
      <c r="AG92" s="255">
        <f t="shared" si="50"/>
        <v>307</v>
      </c>
      <c r="AH92" s="255">
        <f t="shared" si="50"/>
        <v>307</v>
      </c>
      <c r="AI92" s="256">
        <f t="shared" si="43"/>
        <v>224.25</v>
      </c>
      <c r="AJ92" s="255">
        <f>+IFERROR(VLOOKUP($C92,'Kitsap Regulated - Price Out'!$C$61:$AG$83,31,FALSE),0)</f>
        <v>127.75740740740741</v>
      </c>
      <c r="AR92" s="257">
        <f>+IFERROR(VLOOKUP($C92,'[41]Kitsap Regulated - Price Out'!$C$61:$S$83,17,FALSE),0)</f>
        <v>5519.12</v>
      </c>
      <c r="AS92" s="257">
        <f t="shared" si="45"/>
        <v>15215.760000000002</v>
      </c>
      <c r="AT92" s="258">
        <f t="shared" si="46"/>
        <v>3.7893882993543531</v>
      </c>
      <c r="AU92" s="259">
        <f t="shared" si="47"/>
        <v>16006.713010988286</v>
      </c>
      <c r="AV92" s="259">
        <f t="shared" si="48"/>
        <v>790.95301098828349</v>
      </c>
      <c r="AW92" s="260">
        <f t="shared" si="49"/>
        <v>5.2607860931764713E-2</v>
      </c>
    </row>
    <row r="93" spans="1:49" s="393" customFormat="1" ht="12">
      <c r="A93" s="393" t="str">
        <f t="shared" si="40"/>
        <v>MASON CO-REGULATEDCommercial - RearloadR1.5YDPU</v>
      </c>
      <c r="B93" s="393">
        <f t="shared" si="37"/>
        <v>1</v>
      </c>
      <c r="C93" s="394" t="s">
        <v>322</v>
      </c>
      <c r="D93" s="405" t="s">
        <v>323</v>
      </c>
      <c r="E93" s="406">
        <v>19.170000000000002</v>
      </c>
      <c r="F93" s="406">
        <v>19.440000000000001</v>
      </c>
      <c r="G93" s="406">
        <v>19.489999999999998</v>
      </c>
      <c r="H93" s="395"/>
      <c r="I93" s="396">
        <v>38.340000000000003</v>
      </c>
      <c r="J93" s="396">
        <v>38.880000000000003</v>
      </c>
      <c r="K93" s="396">
        <v>58.32</v>
      </c>
      <c r="L93" s="396">
        <v>77.760000000000005</v>
      </c>
      <c r="M93" s="396">
        <v>77.760000000000005</v>
      </c>
      <c r="N93" s="396">
        <v>136.08000000000001</v>
      </c>
      <c r="O93" s="396">
        <v>194.4</v>
      </c>
      <c r="P93" s="396">
        <v>330.48</v>
      </c>
      <c r="Q93" s="396">
        <v>406.27</v>
      </c>
      <c r="R93" s="396">
        <v>272.86</v>
      </c>
      <c r="S93" s="396">
        <v>272.86</v>
      </c>
      <c r="T93" s="396">
        <v>116.94</v>
      </c>
      <c r="U93" s="396">
        <f t="shared" si="41"/>
        <v>2020.9500000000003</v>
      </c>
      <c r="V93" s="396"/>
      <c r="W93" s="396">
        <f t="shared" si="38"/>
        <v>2</v>
      </c>
      <c r="X93" s="396">
        <f t="shared" si="39"/>
        <v>2</v>
      </c>
      <c r="Y93" s="396">
        <f t="shared" si="39"/>
        <v>3</v>
      </c>
      <c r="Z93" s="396">
        <f t="shared" si="39"/>
        <v>4</v>
      </c>
      <c r="AA93" s="396">
        <f t="shared" si="39"/>
        <v>4</v>
      </c>
      <c r="AB93" s="396">
        <f t="shared" si="39"/>
        <v>7</v>
      </c>
      <c r="AC93" s="396">
        <f t="shared" si="39"/>
        <v>10</v>
      </c>
      <c r="AD93" s="396">
        <f t="shared" si="39"/>
        <v>17</v>
      </c>
      <c r="AE93" s="396">
        <f t="shared" si="39"/>
        <v>20.898662551440328</v>
      </c>
      <c r="AF93" s="396">
        <f t="shared" si="50"/>
        <v>14.000000000000002</v>
      </c>
      <c r="AG93" s="396">
        <f t="shared" si="50"/>
        <v>14.000000000000002</v>
      </c>
      <c r="AH93" s="396">
        <f t="shared" si="50"/>
        <v>6</v>
      </c>
      <c r="AI93" s="397">
        <f t="shared" si="43"/>
        <v>8.6582218792866943</v>
      </c>
      <c r="AJ93" s="396">
        <f>+IFERROR(VLOOKUP($C93,'Kitsap Regulated - Price Out'!$C$61:$AG$83,31,FALSE),0)</f>
        <v>0.91666666666666663</v>
      </c>
      <c r="AR93" s="407">
        <f>+IFERROR(VLOOKUP($C93,'[41]Kitsap Regulated - Price Out'!$C$61:$S$83,17,FALSE),0)</f>
        <v>192.17</v>
      </c>
      <c r="AS93" s="407">
        <f t="shared" si="45"/>
        <v>2213.1200000000003</v>
      </c>
      <c r="AT93" s="408">
        <f t="shared" si="46"/>
        <v>20.458498048314773</v>
      </c>
      <c r="AU93" s="409">
        <f t="shared" si="47"/>
        <v>2350.6540635626197</v>
      </c>
      <c r="AV93" s="409">
        <f t="shared" si="48"/>
        <v>137.53406356261939</v>
      </c>
      <c r="AW93" s="410">
        <f t="shared" si="49"/>
        <v>5.2391874913311307E-2</v>
      </c>
    </row>
    <row r="94" spans="1:49" s="393" customFormat="1" ht="12">
      <c r="A94" s="393" t="str">
        <f t="shared" si="40"/>
        <v>MASON CO-REGULATEDCommercial - RearloadR2YDPU</v>
      </c>
      <c r="B94" s="393">
        <f t="shared" si="37"/>
        <v>1</v>
      </c>
      <c r="C94" s="394" t="s">
        <v>324</v>
      </c>
      <c r="D94" s="405" t="s">
        <v>325</v>
      </c>
      <c r="E94" s="406">
        <v>25.33</v>
      </c>
      <c r="F94" s="406">
        <v>25.69</v>
      </c>
      <c r="G94" s="406">
        <v>25.76</v>
      </c>
      <c r="H94" s="395"/>
      <c r="I94" s="396">
        <v>101.32</v>
      </c>
      <c r="J94" s="396">
        <v>128.44999999999999</v>
      </c>
      <c r="K94" s="396">
        <v>154.13999999999999</v>
      </c>
      <c r="L94" s="396">
        <v>154.13999999999999</v>
      </c>
      <c r="M94" s="396">
        <v>77.069999999999993</v>
      </c>
      <c r="N94" s="396">
        <v>256.89999999999998</v>
      </c>
      <c r="O94" s="396">
        <v>436.73</v>
      </c>
      <c r="P94" s="396">
        <v>282.58999999999997</v>
      </c>
      <c r="Q94" s="396">
        <v>539.49</v>
      </c>
      <c r="R94" s="396">
        <v>334.91</v>
      </c>
      <c r="S94" s="396">
        <v>412.16</v>
      </c>
      <c r="T94" s="396">
        <v>618.24</v>
      </c>
      <c r="U94" s="396">
        <f t="shared" si="41"/>
        <v>3496.1399999999994</v>
      </c>
      <c r="V94" s="396"/>
      <c r="W94" s="396">
        <f t="shared" si="38"/>
        <v>4</v>
      </c>
      <c r="X94" s="396">
        <f t="shared" si="39"/>
        <v>4.9999999999999991</v>
      </c>
      <c r="Y94" s="396">
        <f t="shared" si="39"/>
        <v>5.9999999999999991</v>
      </c>
      <c r="Z94" s="396">
        <f t="shared" si="39"/>
        <v>5.9999999999999991</v>
      </c>
      <c r="AA94" s="396">
        <f t="shared" si="39"/>
        <v>2.9999999999999996</v>
      </c>
      <c r="AB94" s="396">
        <f t="shared" si="39"/>
        <v>9.9999999999999982</v>
      </c>
      <c r="AC94" s="396">
        <f t="shared" si="39"/>
        <v>17</v>
      </c>
      <c r="AD94" s="396">
        <f t="shared" si="39"/>
        <v>10.999999999999998</v>
      </c>
      <c r="AE94" s="396">
        <f t="shared" si="39"/>
        <v>21</v>
      </c>
      <c r="AF94" s="396">
        <f t="shared" si="50"/>
        <v>13.001164596273291</v>
      </c>
      <c r="AG94" s="396">
        <f t="shared" si="50"/>
        <v>16</v>
      </c>
      <c r="AH94" s="396">
        <f t="shared" si="50"/>
        <v>24</v>
      </c>
      <c r="AI94" s="397">
        <f t="shared" si="43"/>
        <v>11.333430383022774</v>
      </c>
      <c r="AJ94" s="396">
        <f>+IFERROR(VLOOKUP($C94,'Kitsap Regulated - Price Out'!$C$61:$AG$83,31,FALSE),0)</f>
        <v>3.1875546806649169</v>
      </c>
      <c r="AR94" s="407">
        <f>+IFERROR(VLOOKUP($C94,'[41]Kitsap Regulated - Price Out'!$C$61:$S$83,17,FALSE),0)</f>
        <v>874.40999999999985</v>
      </c>
      <c r="AS94" s="407">
        <f t="shared" si="45"/>
        <v>4370.5499999999993</v>
      </c>
      <c r="AT94" s="408">
        <f t="shared" si="46"/>
        <v>27.040067199824971</v>
      </c>
      <c r="AU94" s="409">
        <f t="shared" si="47"/>
        <v>4711.7809431572387</v>
      </c>
      <c r="AV94" s="409">
        <f t="shared" si="48"/>
        <v>341.23094315723938</v>
      </c>
      <c r="AW94" s="410">
        <f t="shared" si="49"/>
        <v>5.2552246003307511E-2</v>
      </c>
    </row>
    <row r="95" spans="1:49" s="223" customFormat="1" ht="12">
      <c r="A95" s="223" t="str">
        <f t="shared" si="40"/>
        <v>MASON CO-REGULATEDCommercial - RearloadR1.5YDRENTTM</v>
      </c>
      <c r="B95" s="223">
        <f t="shared" si="37"/>
        <v>1</v>
      </c>
      <c r="C95" s="252" t="s">
        <v>326</v>
      </c>
      <c r="D95" s="252" t="s">
        <v>327</v>
      </c>
      <c r="E95" s="253">
        <v>15.77</v>
      </c>
      <c r="F95" s="253">
        <v>15.77</v>
      </c>
      <c r="G95" s="253">
        <v>15.77</v>
      </c>
      <c r="H95" s="254"/>
      <c r="I95" s="255">
        <v>78.849999999999994</v>
      </c>
      <c r="J95" s="255">
        <v>75.17</v>
      </c>
      <c r="K95" s="255">
        <v>47.31</v>
      </c>
      <c r="L95" s="255">
        <v>47.31</v>
      </c>
      <c r="M95" s="255">
        <v>31.54</v>
      </c>
      <c r="N95" s="255">
        <v>35.1</v>
      </c>
      <c r="O95" s="255">
        <v>42.05</v>
      </c>
      <c r="P95" s="255">
        <v>63.08</v>
      </c>
      <c r="Q95" s="255">
        <v>94.62</v>
      </c>
      <c r="R95" s="255">
        <v>100.4</v>
      </c>
      <c r="S95" s="255">
        <v>110.39</v>
      </c>
      <c r="T95" s="255">
        <v>114.07</v>
      </c>
      <c r="U95" s="255">
        <f t="shared" si="41"/>
        <v>839.88999999999987</v>
      </c>
      <c r="V95" s="255"/>
      <c r="W95" s="255">
        <f t="shared" si="38"/>
        <v>5</v>
      </c>
      <c r="X95" s="255">
        <f t="shared" si="39"/>
        <v>4.7666455294863663</v>
      </c>
      <c r="Y95" s="255">
        <f t="shared" si="39"/>
        <v>3.0000000000000004</v>
      </c>
      <c r="Z95" s="255">
        <f t="shared" si="39"/>
        <v>3.0000000000000004</v>
      </c>
      <c r="AA95" s="255">
        <f t="shared" si="39"/>
        <v>2</v>
      </c>
      <c r="AB95" s="255">
        <f t="shared" si="39"/>
        <v>2.2257450856055803</v>
      </c>
      <c r="AC95" s="255">
        <f t="shared" si="39"/>
        <v>2.6664552948636651</v>
      </c>
      <c r="AD95" s="255">
        <f t="shared" si="39"/>
        <v>4</v>
      </c>
      <c r="AE95" s="255">
        <f t="shared" si="39"/>
        <v>6.0000000000000009</v>
      </c>
      <c r="AF95" s="255">
        <f t="shared" si="50"/>
        <v>6.3665187064045661</v>
      </c>
      <c r="AG95" s="255">
        <f t="shared" si="50"/>
        <v>7</v>
      </c>
      <c r="AH95" s="255">
        <f t="shared" si="50"/>
        <v>7.2333544705136337</v>
      </c>
      <c r="AI95" s="256">
        <f t="shared" si="43"/>
        <v>4.4382265905728175</v>
      </c>
      <c r="AJ95" s="255">
        <f>+IFERROR(VLOOKUP($C95,'Kitsap Regulated - Price Out'!$C$61:$AG$83,31,FALSE),0)</f>
        <v>0.68611287254280284</v>
      </c>
      <c r="AR95" s="257">
        <f>+IFERROR(VLOOKUP($C95,'[41]Kitsap Regulated - Price Out'!$C$61:$S$83,17,FALSE),0)</f>
        <v>129.83999999999997</v>
      </c>
      <c r="AS95" s="257">
        <f t="shared" si="45"/>
        <v>969.72999999999979</v>
      </c>
      <c r="AT95" s="258">
        <f t="shared" si="46"/>
        <v>16.553643623495333</v>
      </c>
      <c r="AU95" s="259">
        <f t="shared" si="47"/>
        <v>1017.9178713387527</v>
      </c>
      <c r="AV95" s="259">
        <f t="shared" si="48"/>
        <v>48.187871338752871</v>
      </c>
      <c r="AW95" s="260">
        <f t="shared" si="49"/>
        <v>4.9692049682646372E-2</v>
      </c>
    </row>
    <row r="96" spans="1:49" s="223" customFormat="1" ht="12">
      <c r="A96" s="223" t="str">
        <f t="shared" si="40"/>
        <v>MASON CO-REGULATEDCommercial - RearloadCTRIPCAN</v>
      </c>
      <c r="B96" s="223">
        <f t="shared" si="37"/>
        <v>1</v>
      </c>
      <c r="C96" s="252" t="s">
        <v>328</v>
      </c>
      <c r="D96" s="252" t="s">
        <v>329</v>
      </c>
      <c r="E96" s="253">
        <v>9.25</v>
      </c>
      <c r="F96" s="253">
        <v>9.25</v>
      </c>
      <c r="G96" s="253">
        <v>9.2799999999999994</v>
      </c>
      <c r="H96" s="254"/>
      <c r="I96" s="255">
        <v>0</v>
      </c>
      <c r="J96" s="255">
        <v>0</v>
      </c>
      <c r="K96" s="255">
        <v>0</v>
      </c>
      <c r="L96" s="255">
        <v>0</v>
      </c>
      <c r="M96" s="255">
        <v>18.5</v>
      </c>
      <c r="N96" s="255">
        <v>0</v>
      </c>
      <c r="O96" s="255">
        <v>0</v>
      </c>
      <c r="P96" s="255">
        <v>0</v>
      </c>
      <c r="Q96" s="255">
        <v>0</v>
      </c>
      <c r="R96" s="255">
        <v>0</v>
      </c>
      <c r="S96" s="255">
        <v>0</v>
      </c>
      <c r="T96" s="255">
        <v>0</v>
      </c>
      <c r="U96" s="255">
        <f t="shared" si="41"/>
        <v>18.5</v>
      </c>
      <c r="V96" s="255"/>
      <c r="W96" s="255">
        <f t="shared" si="38"/>
        <v>0</v>
      </c>
      <c r="X96" s="255">
        <f t="shared" si="39"/>
        <v>0</v>
      </c>
      <c r="Y96" s="255">
        <f t="shared" si="39"/>
        <v>0</v>
      </c>
      <c r="Z96" s="255">
        <f t="shared" si="39"/>
        <v>0</v>
      </c>
      <c r="AA96" s="255">
        <f t="shared" si="39"/>
        <v>2</v>
      </c>
      <c r="AB96" s="255">
        <f t="shared" si="39"/>
        <v>0</v>
      </c>
      <c r="AC96" s="255">
        <f t="shared" si="39"/>
        <v>0</v>
      </c>
      <c r="AD96" s="255">
        <f t="shared" si="39"/>
        <v>0</v>
      </c>
      <c r="AE96" s="255">
        <f t="shared" si="39"/>
        <v>0</v>
      </c>
      <c r="AF96" s="255">
        <f t="shared" si="50"/>
        <v>0</v>
      </c>
      <c r="AG96" s="255">
        <f t="shared" si="50"/>
        <v>0</v>
      </c>
      <c r="AH96" s="255">
        <f t="shared" si="50"/>
        <v>0</v>
      </c>
      <c r="AI96" s="256">
        <f t="shared" si="43"/>
        <v>0.16666666666666666</v>
      </c>
      <c r="AJ96" s="255">
        <f>+IFERROR(VLOOKUP($C96,'Kitsap Regulated - Price Out'!$C$61:$AG$83,31,FALSE),0)</f>
        <v>0</v>
      </c>
      <c r="AR96" s="257">
        <f>+IFERROR(VLOOKUP($C96,'[41]Kitsap Regulated - Price Out'!$C$61:$S$83,17,FALSE),0)</f>
        <v>0</v>
      </c>
      <c r="AS96" s="257">
        <f t="shared" si="45"/>
        <v>18.5</v>
      </c>
      <c r="AT96" s="258">
        <f t="shared" si="46"/>
        <v>9.7411422210549574</v>
      </c>
      <c r="AU96" s="259">
        <f t="shared" si="47"/>
        <v>19.482284442109915</v>
      </c>
      <c r="AV96" s="259">
        <f t="shared" si="48"/>
        <v>0.98228444210991483</v>
      </c>
      <c r="AW96" s="260">
        <f t="shared" si="49"/>
        <v>5.3096456330265669E-2</v>
      </c>
    </row>
    <row r="97" spans="1:50" s="223" customFormat="1" ht="12">
      <c r="A97" s="223" t="str">
        <f t="shared" si="40"/>
        <v>MASON CO-REGULATEDCommercial - RearloadCTRIP</v>
      </c>
      <c r="B97" s="223">
        <f t="shared" si="37"/>
        <v>1</v>
      </c>
      <c r="C97" s="252" t="s">
        <v>330</v>
      </c>
      <c r="D97" s="252" t="s">
        <v>331</v>
      </c>
      <c r="E97" s="253">
        <v>17.39</v>
      </c>
      <c r="F97" s="253">
        <v>17.39</v>
      </c>
      <c r="G97" s="253">
        <v>17.440000000000001</v>
      </c>
      <c r="H97" s="254"/>
      <c r="I97" s="255">
        <v>0</v>
      </c>
      <c r="J97" s="255">
        <v>0</v>
      </c>
      <c r="K97" s="255">
        <v>0</v>
      </c>
      <c r="L97" s="255">
        <v>0</v>
      </c>
      <c r="M97" s="255">
        <v>0</v>
      </c>
      <c r="N97" s="255">
        <v>0</v>
      </c>
      <c r="O97" s="255">
        <v>0</v>
      </c>
      <c r="P97" s="255">
        <v>0</v>
      </c>
      <c r="Q97" s="255">
        <v>0</v>
      </c>
      <c r="R97" s="255">
        <v>0</v>
      </c>
      <c r="S97" s="255">
        <v>17.440000000000001</v>
      </c>
      <c r="T97" s="255">
        <v>0</v>
      </c>
      <c r="U97" s="255">
        <f t="shared" si="41"/>
        <v>17.440000000000001</v>
      </c>
      <c r="V97" s="255"/>
      <c r="W97" s="255">
        <f t="shared" si="38"/>
        <v>0</v>
      </c>
      <c r="X97" s="255">
        <f t="shared" si="39"/>
        <v>0</v>
      </c>
      <c r="Y97" s="255">
        <f t="shared" si="39"/>
        <v>0</v>
      </c>
      <c r="Z97" s="255">
        <f t="shared" si="39"/>
        <v>0</v>
      </c>
      <c r="AA97" s="255">
        <f t="shared" si="39"/>
        <v>0</v>
      </c>
      <c r="AB97" s="255">
        <f t="shared" si="39"/>
        <v>0</v>
      </c>
      <c r="AC97" s="255">
        <f t="shared" si="39"/>
        <v>0</v>
      </c>
      <c r="AD97" s="255">
        <f t="shared" si="39"/>
        <v>0</v>
      </c>
      <c r="AE97" s="255">
        <f t="shared" si="39"/>
        <v>0</v>
      </c>
      <c r="AF97" s="255">
        <f t="shared" si="50"/>
        <v>0</v>
      </c>
      <c r="AG97" s="255">
        <f t="shared" si="50"/>
        <v>1</v>
      </c>
      <c r="AH97" s="255">
        <f t="shared" si="50"/>
        <v>0</v>
      </c>
      <c r="AI97" s="256">
        <f t="shared" si="43"/>
        <v>8.3333333333333329E-2</v>
      </c>
      <c r="AJ97" s="255">
        <f>+IFERROR(VLOOKUP($C97,'Kitsap Regulated - Price Out'!$C$61:$AG$83,31,FALSE),0)</f>
        <v>0</v>
      </c>
      <c r="AR97" s="257">
        <f>+IFERROR(VLOOKUP($C97,'[41]Kitsap Regulated - Price Out'!$C$61:$S$83,17,FALSE),0)</f>
        <v>0</v>
      </c>
      <c r="AS97" s="257">
        <f t="shared" si="45"/>
        <v>17.440000000000001</v>
      </c>
      <c r="AT97" s="258">
        <f t="shared" si="46"/>
        <v>18.306629346465353</v>
      </c>
      <c r="AU97" s="259">
        <f t="shared" si="47"/>
        <v>18.306629346465353</v>
      </c>
      <c r="AV97" s="259">
        <f t="shared" si="48"/>
        <v>0.86662934646535206</v>
      </c>
      <c r="AW97" s="260">
        <f t="shared" si="49"/>
        <v>5.2710140682308955E-2</v>
      </c>
    </row>
    <row r="98" spans="1:50" s="393" customFormat="1" ht="12">
      <c r="A98" s="393" t="str">
        <f t="shared" si="40"/>
        <v>MASON CO-REGULATEDCommercial - RearloadCEXYD</v>
      </c>
      <c r="B98" s="393">
        <f t="shared" si="37"/>
        <v>1</v>
      </c>
      <c r="C98" s="394" t="s">
        <v>332</v>
      </c>
      <c r="D98" s="405" t="s">
        <v>333</v>
      </c>
      <c r="E98" s="406">
        <v>15.98</v>
      </c>
      <c r="F98" s="406">
        <v>16.12</v>
      </c>
      <c r="G98" s="406">
        <v>16.16</v>
      </c>
      <c r="H98" s="395"/>
      <c r="I98" s="396">
        <v>1165.3699999999999</v>
      </c>
      <c r="J98" s="396">
        <v>761.24</v>
      </c>
      <c r="K98" s="396">
        <v>2015</v>
      </c>
      <c r="L98" s="396">
        <v>967.2</v>
      </c>
      <c r="M98" s="396">
        <v>467.48</v>
      </c>
      <c r="N98" s="396">
        <v>677.04</v>
      </c>
      <c r="O98" s="396">
        <v>677.04</v>
      </c>
      <c r="P98" s="396">
        <v>1628.12</v>
      </c>
      <c r="Q98" s="396">
        <v>4701.18</v>
      </c>
      <c r="R98" s="396">
        <v>4444</v>
      </c>
      <c r="S98" s="396">
        <v>5656</v>
      </c>
      <c r="T98" s="396">
        <v>5138.88</v>
      </c>
      <c r="U98" s="396">
        <f t="shared" si="41"/>
        <v>28298.55</v>
      </c>
      <c r="V98" s="396"/>
      <c r="W98" s="396">
        <f t="shared" si="38"/>
        <v>72.926783479349183</v>
      </c>
      <c r="X98" s="396">
        <f t="shared" si="39"/>
        <v>47.223325062034739</v>
      </c>
      <c r="Y98" s="396">
        <f t="shared" si="39"/>
        <v>124.99999999999999</v>
      </c>
      <c r="Z98" s="396">
        <f t="shared" si="39"/>
        <v>60</v>
      </c>
      <c r="AA98" s="396">
        <f t="shared" si="39"/>
        <v>29</v>
      </c>
      <c r="AB98" s="396">
        <f t="shared" si="39"/>
        <v>41.999999999999993</v>
      </c>
      <c r="AC98" s="396">
        <f t="shared" si="39"/>
        <v>41.999999999999993</v>
      </c>
      <c r="AD98" s="396">
        <f t="shared" si="39"/>
        <v>100.99999999999999</v>
      </c>
      <c r="AE98" s="396">
        <f t="shared" si="39"/>
        <v>291.63647642679899</v>
      </c>
      <c r="AF98" s="396">
        <f t="shared" si="50"/>
        <v>275</v>
      </c>
      <c r="AG98" s="396">
        <f t="shared" si="50"/>
        <v>350</v>
      </c>
      <c r="AH98" s="396">
        <f t="shared" si="50"/>
        <v>318</v>
      </c>
      <c r="AI98" s="397">
        <f t="shared" si="43"/>
        <v>146.14888208068191</v>
      </c>
      <c r="AJ98" s="396">
        <f>+IFERROR(VLOOKUP($C98,'Kitsap Regulated - Price Out'!$C$61:$AG$83,31,FALSE),0)</f>
        <v>48.004051316677923</v>
      </c>
      <c r="AR98" s="407">
        <f>+IFERROR(VLOOKUP($C98,'[41]Kitsap Regulated - Price Out'!$C$61:$S$83,17,FALSE),0)</f>
        <v>8531.2800000000007</v>
      </c>
      <c r="AS98" s="407">
        <f t="shared" si="45"/>
        <v>36829.83</v>
      </c>
      <c r="AT98" s="408">
        <f t="shared" si="46"/>
        <v>16.963023522871563</v>
      </c>
      <c r="AU98" s="409">
        <f t="shared" si="47"/>
        <v>39521.049315047174</v>
      </c>
      <c r="AV98" s="409">
        <f t="shared" si="48"/>
        <v>2691.2193150471721</v>
      </c>
      <c r="AW98" s="410">
        <f t="shared" si="49"/>
        <v>5.2296744595010027E-2</v>
      </c>
    </row>
    <row r="99" spans="1:50" s="393" customFormat="1" ht="14.25" customHeight="1">
      <c r="A99" s="393" t="str">
        <f t="shared" si="40"/>
        <v>MASON CO-REGULATEDCommercial - RearloadCLSECOL</v>
      </c>
      <c r="B99" s="393">
        <f t="shared" si="37"/>
        <v>1</v>
      </c>
      <c r="C99" s="394" t="s">
        <v>334</v>
      </c>
      <c r="D99" s="405" t="s">
        <v>335</v>
      </c>
      <c r="E99" s="406">
        <v>27.78</v>
      </c>
      <c r="F99" s="406">
        <v>27.92</v>
      </c>
      <c r="G99" s="406">
        <v>28</v>
      </c>
      <c r="H99" s="395"/>
      <c r="I99" s="396">
        <v>31.52</v>
      </c>
      <c r="J99" s="396">
        <v>0</v>
      </c>
      <c r="K99" s="396">
        <v>0</v>
      </c>
      <c r="L99" s="396">
        <v>0</v>
      </c>
      <c r="M99" s="396">
        <v>0</v>
      </c>
      <c r="N99" s="396">
        <v>111.68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400">
        <f t="shared" si="41"/>
        <v>143.20000000000002</v>
      </c>
      <c r="V99" s="400"/>
      <c r="W99" s="400">
        <f t="shared" si="38"/>
        <v>1.1346292296616269</v>
      </c>
      <c r="X99" s="400">
        <f t="shared" si="39"/>
        <v>0</v>
      </c>
      <c r="Y99" s="400">
        <f t="shared" si="39"/>
        <v>0</v>
      </c>
      <c r="Z99" s="400">
        <f t="shared" si="39"/>
        <v>0</v>
      </c>
      <c r="AA99" s="400">
        <f t="shared" si="39"/>
        <v>0</v>
      </c>
      <c r="AB99" s="400">
        <f t="shared" si="39"/>
        <v>4</v>
      </c>
      <c r="AC99" s="400">
        <f t="shared" si="39"/>
        <v>0</v>
      </c>
      <c r="AD99" s="400">
        <f t="shared" si="39"/>
        <v>0</v>
      </c>
      <c r="AE99" s="400">
        <f t="shared" si="39"/>
        <v>0</v>
      </c>
      <c r="AF99" s="396">
        <f t="shared" si="50"/>
        <v>0</v>
      </c>
      <c r="AG99" s="396">
        <f t="shared" si="50"/>
        <v>0</v>
      </c>
      <c r="AH99" s="396">
        <f t="shared" si="50"/>
        <v>0</v>
      </c>
      <c r="AI99" s="397">
        <f t="shared" si="43"/>
        <v>0.42788576913846893</v>
      </c>
      <c r="AJ99" s="396">
        <f>+IFERROR(VLOOKUP($C99,'Kitsap Regulated - Price Out'!$C$61:$AG$83,31,FALSE),0)</f>
        <v>0.10289939300012917</v>
      </c>
      <c r="AK99" s="399"/>
      <c r="AL99" s="399"/>
      <c r="AM99" s="399"/>
      <c r="AN99" s="399"/>
      <c r="AO99" s="399"/>
      <c r="AP99" s="399"/>
      <c r="AQ99" s="399"/>
      <c r="AR99" s="407">
        <f>+IFERROR(VLOOKUP($C99,'[41]Kitsap Regulated - Price Out'!$C$61:$S$83,17,FALSE),0)</f>
        <v>31.87</v>
      </c>
      <c r="AS99" s="407">
        <f t="shared" si="45"/>
        <v>175.07000000000002</v>
      </c>
      <c r="AT99" s="408">
        <f t="shared" si="46"/>
        <v>29.391377391114098</v>
      </c>
      <c r="AU99" s="409">
        <f t="shared" si="47"/>
        <v>187.20608416823066</v>
      </c>
      <c r="AV99" s="409">
        <f t="shared" si="48"/>
        <v>12.136084168230639</v>
      </c>
      <c r="AW99" s="410">
        <f t="shared" si="49"/>
        <v>5.269976329205215E-2</v>
      </c>
    </row>
    <row r="100" spans="1:50" s="393" customFormat="1" ht="14.25" customHeight="1">
      <c r="A100" s="393" t="str">
        <f t="shared" si="40"/>
        <v>MASON CO-REGULATEDCommercial - RearloadCLSE1COL</v>
      </c>
      <c r="B100" s="393">
        <f t="shared" si="37"/>
        <v>1</v>
      </c>
      <c r="C100" s="394" t="s">
        <v>336</v>
      </c>
      <c r="D100" s="405" t="s">
        <v>337</v>
      </c>
      <c r="E100" s="406">
        <v>27.78</v>
      </c>
      <c r="F100" s="406">
        <v>27.92</v>
      </c>
      <c r="G100" s="406">
        <v>28</v>
      </c>
      <c r="H100" s="395"/>
      <c r="I100" s="396">
        <v>250.02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400">
        <f t="shared" si="41"/>
        <v>250.02</v>
      </c>
      <c r="V100" s="400"/>
      <c r="W100" s="400">
        <f t="shared" si="38"/>
        <v>9</v>
      </c>
      <c r="X100" s="400">
        <f t="shared" si="39"/>
        <v>0</v>
      </c>
      <c r="Y100" s="400">
        <f t="shared" si="39"/>
        <v>0</v>
      </c>
      <c r="Z100" s="400">
        <f t="shared" si="39"/>
        <v>0</v>
      </c>
      <c r="AA100" s="400">
        <f t="shared" si="39"/>
        <v>0</v>
      </c>
      <c r="AB100" s="400">
        <f t="shared" si="39"/>
        <v>0</v>
      </c>
      <c r="AC100" s="400">
        <f t="shared" si="39"/>
        <v>0</v>
      </c>
      <c r="AD100" s="400">
        <f t="shared" si="39"/>
        <v>0</v>
      </c>
      <c r="AE100" s="400">
        <f t="shared" si="39"/>
        <v>0</v>
      </c>
      <c r="AF100" s="396">
        <f t="shared" si="50"/>
        <v>0</v>
      </c>
      <c r="AG100" s="396">
        <f t="shared" si="50"/>
        <v>0</v>
      </c>
      <c r="AH100" s="396">
        <f t="shared" si="50"/>
        <v>0</v>
      </c>
      <c r="AI100" s="397">
        <f t="shared" si="43"/>
        <v>0.75</v>
      </c>
      <c r="AJ100" s="396">
        <f>+IFERROR(VLOOKUP($C100,'Kitsap Regulated - Price Out'!$C$61:$AG$83,31,FALSE),0)</f>
        <v>0</v>
      </c>
      <c r="AK100" s="402" t="s">
        <v>338</v>
      </c>
      <c r="AL100" s="403">
        <f>+SUM(AP72:AP83)</f>
        <v>1068.589847219014</v>
      </c>
      <c r="AM100" s="399"/>
      <c r="AN100" s="399"/>
      <c r="AO100" s="399"/>
      <c r="AP100" s="399"/>
      <c r="AQ100" s="399"/>
      <c r="AR100" s="407">
        <f>+IFERROR(VLOOKUP($C100,'[41]Kitsap Regulated - Price Out'!$C$61:$S$83,17,FALSE),0)</f>
        <v>0</v>
      </c>
      <c r="AS100" s="407">
        <f t="shared" si="45"/>
        <v>250.02</v>
      </c>
      <c r="AT100" s="408">
        <f t="shared" si="46"/>
        <v>29.391377391114098</v>
      </c>
      <c r="AU100" s="409">
        <f t="shared" si="47"/>
        <v>264.52239652002686</v>
      </c>
      <c r="AV100" s="409">
        <f t="shared" si="48"/>
        <v>14.502396520026849</v>
      </c>
      <c r="AW100" s="410">
        <f t="shared" si="49"/>
        <v>5.269976329205215E-2</v>
      </c>
    </row>
    <row r="101" spans="1:50" s="223" customFormat="1" ht="12">
      <c r="A101" s="223" t="str">
        <f t="shared" si="40"/>
        <v>MASON CO-REGULATEDCommercial - RearloadUNLOCKREF</v>
      </c>
      <c r="B101" s="223">
        <f t="shared" si="37"/>
        <v>1</v>
      </c>
      <c r="C101" s="252" t="s">
        <v>339</v>
      </c>
      <c r="D101" s="252" t="s">
        <v>340</v>
      </c>
      <c r="E101" s="253">
        <v>2.5299999999999998</v>
      </c>
      <c r="F101" s="253">
        <v>2.5299999999999998</v>
      </c>
      <c r="G101" s="253">
        <v>2.54</v>
      </c>
      <c r="H101" s="254"/>
      <c r="I101" s="255">
        <v>240.36</v>
      </c>
      <c r="J101" s="255">
        <v>303.60000000000002</v>
      </c>
      <c r="K101" s="255">
        <v>442.75</v>
      </c>
      <c r="L101" s="255">
        <v>364.34000000000003</v>
      </c>
      <c r="M101" s="255">
        <v>280.83000000000004</v>
      </c>
      <c r="N101" s="255">
        <v>283.36</v>
      </c>
      <c r="O101" s="255">
        <v>327.53999999999996</v>
      </c>
      <c r="P101" s="255">
        <v>316.25</v>
      </c>
      <c r="Q101" s="255">
        <v>579.38</v>
      </c>
      <c r="R101" s="255">
        <v>609.6</v>
      </c>
      <c r="S101" s="255">
        <v>602</v>
      </c>
      <c r="T101" s="255">
        <v>604.52</v>
      </c>
      <c r="U101" s="279">
        <f t="shared" si="41"/>
        <v>4954.5300000000007</v>
      </c>
      <c r="V101" s="279"/>
      <c r="W101" s="279">
        <f t="shared" si="38"/>
        <v>95.003952569169968</v>
      </c>
      <c r="X101" s="279">
        <f t="shared" si="39"/>
        <v>120.00000000000001</v>
      </c>
      <c r="Y101" s="279">
        <f t="shared" si="39"/>
        <v>175</v>
      </c>
      <c r="Z101" s="279">
        <f t="shared" si="39"/>
        <v>144.00790513833994</v>
      </c>
      <c r="AA101" s="279">
        <f t="shared" si="39"/>
        <v>111.00000000000003</v>
      </c>
      <c r="AB101" s="279">
        <f t="shared" si="39"/>
        <v>112.00000000000001</v>
      </c>
      <c r="AC101" s="279">
        <f t="shared" si="39"/>
        <v>129.46245059288538</v>
      </c>
      <c r="AD101" s="279">
        <f t="shared" si="39"/>
        <v>125.00000000000001</v>
      </c>
      <c r="AE101" s="279">
        <f t="shared" si="39"/>
        <v>229.00395256916997</v>
      </c>
      <c r="AF101" s="255">
        <f t="shared" si="50"/>
        <v>240</v>
      </c>
      <c r="AG101" s="255">
        <f t="shared" si="50"/>
        <v>237.00787401574803</v>
      </c>
      <c r="AH101" s="255">
        <f t="shared" si="50"/>
        <v>238</v>
      </c>
      <c r="AI101" s="256">
        <f t="shared" si="43"/>
        <v>162.95717790710944</v>
      </c>
      <c r="AJ101" s="255">
        <f>+IFERROR(VLOOKUP($C101,'Kitsap Regulated - Price Out'!$C$61:$AG$83,31,FALSE),0)</f>
        <v>77.75</v>
      </c>
      <c r="AK101" s="269" t="s">
        <v>341</v>
      </c>
      <c r="AL101" s="269">
        <v>0</v>
      </c>
      <c r="AM101" s="224"/>
      <c r="AN101" s="224"/>
      <c r="AO101" s="224"/>
      <c r="AP101" s="224"/>
      <c r="AQ101" s="224"/>
      <c r="AR101" s="257">
        <f>+IFERROR(VLOOKUP($C101,'[41]Kitsap Regulated - Price Out'!$C$61:$S$83,17,FALSE),0)</f>
        <v>2360.4900000000002</v>
      </c>
      <c r="AS101" s="257">
        <f t="shared" si="45"/>
        <v>7315.02</v>
      </c>
      <c r="AT101" s="258">
        <f t="shared" si="46"/>
        <v>2.6662178061939215</v>
      </c>
      <c r="AU101" s="259">
        <f t="shared" si="47"/>
        <v>7701.3331657754798</v>
      </c>
      <c r="AV101" s="259">
        <f t="shared" si="48"/>
        <v>386.31316577547932</v>
      </c>
      <c r="AW101" s="260">
        <f t="shared" si="49"/>
        <v>5.3841030116174568E-2</v>
      </c>
    </row>
    <row r="102" spans="1:50" s="223" customFormat="1" ht="12">
      <c r="C102" s="252"/>
      <c r="D102" s="252"/>
      <c r="E102" s="253"/>
      <c r="F102" s="253"/>
      <c r="G102" s="253"/>
      <c r="H102" s="254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J102" s="255"/>
      <c r="AK102" s="224"/>
      <c r="AL102" s="224"/>
      <c r="AM102" s="224"/>
      <c r="AN102" s="224"/>
      <c r="AO102" s="224"/>
      <c r="AP102" s="224"/>
      <c r="AQ102" s="224"/>
      <c r="AR102" s="256"/>
      <c r="AS102" s="256"/>
      <c r="AT102" s="253"/>
      <c r="AU102" s="289"/>
      <c r="AV102" s="289"/>
      <c r="AW102" s="260"/>
    </row>
    <row r="103" spans="1:50" s="223" customFormat="1" ht="12">
      <c r="B103" s="223">
        <f>COUNTIF(C:C,C103)</f>
        <v>0</v>
      </c>
      <c r="C103" s="272"/>
      <c r="D103" s="273" t="s">
        <v>108</v>
      </c>
      <c r="E103" s="254"/>
      <c r="F103" s="254"/>
      <c r="G103" s="254"/>
      <c r="H103" s="254"/>
      <c r="I103" s="274">
        <f t="shared" ref="I103:U103" si="51">SUM(I71:I102)</f>
        <v>60705.1633</v>
      </c>
      <c r="J103" s="274">
        <f t="shared" si="51"/>
        <v>60287.463299999981</v>
      </c>
      <c r="K103" s="274">
        <f t="shared" si="51"/>
        <v>61731.003299999989</v>
      </c>
      <c r="L103" s="274">
        <f t="shared" si="51"/>
        <v>59992.24329999998</v>
      </c>
      <c r="M103" s="274">
        <f t="shared" si="51"/>
        <v>57944.543300000005</v>
      </c>
      <c r="N103" s="274">
        <f t="shared" si="51"/>
        <v>60678.523300000001</v>
      </c>
      <c r="O103" s="274">
        <f t="shared" si="51"/>
        <v>64337.133300000001</v>
      </c>
      <c r="P103" s="274">
        <f t="shared" si="51"/>
        <v>70651.673299999995</v>
      </c>
      <c r="Q103" s="274">
        <f t="shared" si="51"/>
        <v>108606.03330000001</v>
      </c>
      <c r="R103" s="274">
        <f t="shared" si="51"/>
        <v>108576.83330000001</v>
      </c>
      <c r="S103" s="274">
        <f t="shared" si="51"/>
        <v>106870.68329999999</v>
      </c>
      <c r="T103" s="274">
        <f t="shared" si="51"/>
        <v>105287.43330000005</v>
      </c>
      <c r="U103" s="274">
        <f t="shared" si="51"/>
        <v>925668.72959999996</v>
      </c>
      <c r="V103" s="277">
        <f>U103-SUM(I103:T103)</f>
        <v>0</v>
      </c>
      <c r="W103" s="275">
        <f t="shared" ref="W103:AJ103" si="52">+SUM(W72:W83)</f>
        <v>667.00118213447854</v>
      </c>
      <c r="X103" s="275">
        <f t="shared" si="52"/>
        <v>662.05491598812216</v>
      </c>
      <c r="Y103" s="275">
        <f t="shared" si="52"/>
        <v>661.50539037415251</v>
      </c>
      <c r="Z103" s="275">
        <f t="shared" si="52"/>
        <v>656.75583873081428</v>
      </c>
      <c r="AA103" s="275">
        <f t="shared" si="52"/>
        <v>653.48855016354491</v>
      </c>
      <c r="AB103" s="275">
        <f t="shared" si="52"/>
        <v>665.42405911251353</v>
      </c>
      <c r="AC103" s="275">
        <f t="shared" si="52"/>
        <v>689.620672720161</v>
      </c>
      <c r="AD103" s="275">
        <f t="shared" si="52"/>
        <v>731.50609160141221</v>
      </c>
      <c r="AE103" s="275">
        <f t="shared" si="52"/>
        <v>1090.3612346500915</v>
      </c>
      <c r="AF103" s="275">
        <f t="shared" si="52"/>
        <v>1092.8024029433886</v>
      </c>
      <c r="AG103" s="275">
        <f t="shared" si="52"/>
        <v>1073.7723083295034</v>
      </c>
      <c r="AH103" s="275">
        <f t="shared" si="52"/>
        <v>1068.589847219014</v>
      </c>
      <c r="AI103" s="275">
        <f t="shared" si="52"/>
        <v>809.40687449726636</v>
      </c>
      <c r="AJ103" s="275">
        <f t="shared" si="52"/>
        <v>244.88015456210169</v>
      </c>
      <c r="AK103" s="224"/>
      <c r="AL103" s="224"/>
      <c r="AM103" s="224"/>
      <c r="AN103" s="224"/>
      <c r="AO103" s="224"/>
      <c r="AP103" s="224"/>
      <c r="AQ103" s="224"/>
      <c r="AR103" s="274">
        <f>SUM(AR71:AR102)</f>
        <v>273418.76</v>
      </c>
      <c r="AS103" s="274">
        <f>SUM(AS71:AS102)</f>
        <v>1199087.4896000002</v>
      </c>
      <c r="AU103" s="276">
        <f>SUM(AU71:AU102)</f>
        <v>1291002.6649897152</v>
      </c>
      <c r="AV103" s="276">
        <f>SUM(AV71:AV102)</f>
        <v>91915.175389715296</v>
      </c>
      <c r="AW103" s="290">
        <f>+AV103/U103</f>
        <v>9.9295971064544533E-2</v>
      </c>
    </row>
    <row r="104" spans="1:50" ht="12">
      <c r="A104" s="223"/>
      <c r="B104" s="223"/>
      <c r="C104" s="272"/>
      <c r="D104" s="272"/>
      <c r="E104" s="254"/>
      <c r="F104" s="254"/>
      <c r="G104" s="254"/>
      <c r="H104" s="254"/>
      <c r="I104" s="281"/>
      <c r="J104" s="291"/>
      <c r="K104" s="291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J104" s="236">
        <f>+'Kitsap Regulated - Price Out'!AG84-'Mason Co. Regulated - Price Out'!AJ103</f>
        <v>0</v>
      </c>
      <c r="AR104" s="242">
        <f>+AR103-'[41]Kitsap Regulated - Price Out'!S84</f>
        <v>-15.989999999932479</v>
      </c>
      <c r="AS104" s="242"/>
      <c r="AU104" s="271"/>
      <c r="AV104" s="280">
        <f>+AU103-U103-AR103-AV103</f>
        <v>0</v>
      </c>
    </row>
    <row r="105" spans="1:50" ht="12">
      <c r="A105" s="223"/>
      <c r="B105" s="223"/>
      <c r="E105" s="254"/>
      <c r="F105" s="254"/>
      <c r="G105" s="254"/>
      <c r="H105" s="253"/>
      <c r="I105" s="256"/>
      <c r="J105" s="256"/>
      <c r="K105" s="256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J105" s="224"/>
      <c r="AR105" s="242"/>
      <c r="AS105" s="242"/>
      <c r="AU105" s="271"/>
      <c r="AV105" s="271"/>
    </row>
    <row r="106" spans="1:50" ht="12">
      <c r="A106" s="223"/>
      <c r="B106" s="223">
        <f>COUNTIF(C:C,C106)</f>
        <v>1</v>
      </c>
      <c r="C106" s="249" t="s">
        <v>109</v>
      </c>
      <c r="D106" s="247" t="s">
        <v>109</v>
      </c>
      <c r="E106" s="254"/>
      <c r="F106" s="254"/>
      <c r="G106" s="254"/>
      <c r="H106" s="287"/>
      <c r="I106" s="288"/>
      <c r="J106" s="256"/>
      <c r="K106" s="256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W106" s="279">
        <f t="shared" ref="W106:AD106" si="53">IFERROR(I106/$F106,0)</f>
        <v>0</v>
      </c>
      <c r="X106" s="279">
        <f t="shared" si="53"/>
        <v>0</v>
      </c>
      <c r="Y106" s="279">
        <f t="shared" si="53"/>
        <v>0</v>
      </c>
      <c r="Z106" s="279">
        <f t="shared" si="53"/>
        <v>0</v>
      </c>
      <c r="AA106" s="279">
        <f t="shared" si="53"/>
        <v>0</v>
      </c>
      <c r="AB106" s="279">
        <f t="shared" si="53"/>
        <v>0</v>
      </c>
      <c r="AC106" s="279">
        <f t="shared" si="53"/>
        <v>0</v>
      </c>
      <c r="AD106" s="279">
        <f t="shared" si="53"/>
        <v>0</v>
      </c>
      <c r="AE106" s="279">
        <f>IFERROR(Q106/#REF!,0)</f>
        <v>0</v>
      </c>
      <c r="AF106" s="279">
        <f>IFERROR(R106/#REF!,0)</f>
        <v>0</v>
      </c>
      <c r="AG106" s="279">
        <f>IFERROR(S106/#REF!,0)</f>
        <v>0</v>
      </c>
      <c r="AH106" s="279">
        <f>IFERROR(T106/#REF!,0)</f>
        <v>0</v>
      </c>
      <c r="AJ106" s="224"/>
      <c r="AR106" s="242"/>
      <c r="AS106" s="242"/>
      <c r="AU106" s="271"/>
      <c r="AV106" s="271"/>
    </row>
    <row r="107" spans="1:50" ht="12">
      <c r="A107" s="223"/>
      <c r="B107" s="223"/>
      <c r="C107" s="249"/>
      <c r="D107" s="249"/>
      <c r="E107" s="254"/>
      <c r="F107" s="254"/>
      <c r="G107" s="254"/>
      <c r="H107" s="287"/>
      <c r="I107" s="288"/>
      <c r="J107" s="256"/>
      <c r="K107" s="256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J107" s="293"/>
      <c r="AR107" s="242"/>
      <c r="AS107" s="242"/>
      <c r="AU107" s="271"/>
      <c r="AV107" s="271"/>
    </row>
    <row r="108" spans="1:50" ht="12">
      <c r="A108" s="223"/>
      <c r="B108" s="223">
        <f t="shared" ref="B108:B132" si="54">COUNTIF(C:C,C108)</f>
        <v>1</v>
      </c>
      <c r="C108" s="282" t="s">
        <v>110</v>
      </c>
      <c r="D108" s="282" t="s">
        <v>110</v>
      </c>
      <c r="E108" s="254"/>
      <c r="F108" s="254"/>
      <c r="G108" s="254"/>
      <c r="H108" s="253"/>
      <c r="I108" s="294"/>
      <c r="J108" s="255"/>
      <c r="K108" s="255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W108" s="279">
        <f t="shared" ref="W108:W132" si="55">IFERROR(I108/$E108,0)</f>
        <v>0</v>
      </c>
      <c r="X108" s="279">
        <f t="shared" ref="X108:AH132" si="56">IFERROR(J108/$F108,0)</f>
        <v>0</v>
      </c>
      <c r="Y108" s="279">
        <f t="shared" si="56"/>
        <v>0</v>
      </c>
      <c r="Z108" s="279">
        <f t="shared" si="56"/>
        <v>0</v>
      </c>
      <c r="AA108" s="279">
        <f t="shared" si="56"/>
        <v>0</v>
      </c>
      <c r="AB108" s="279">
        <f t="shared" si="56"/>
        <v>0</v>
      </c>
      <c r="AC108" s="279">
        <f t="shared" si="56"/>
        <v>0</v>
      </c>
      <c r="AD108" s="279">
        <f t="shared" si="56"/>
        <v>0</v>
      </c>
      <c r="AE108" s="279">
        <f t="shared" si="56"/>
        <v>0</v>
      </c>
      <c r="AF108" s="279">
        <f t="shared" si="56"/>
        <v>0</v>
      </c>
      <c r="AG108" s="279">
        <f t="shared" si="56"/>
        <v>0</v>
      </c>
      <c r="AH108" s="279">
        <f t="shared" si="56"/>
        <v>0</v>
      </c>
      <c r="AJ108" s="293">
        <f>+IFERROR(VLOOKUP($C108,'Kitsap Regulated - Price Out'!$C$90:$AG$111,31,FALSE),0)</f>
        <v>0</v>
      </c>
      <c r="AR108" s="242"/>
      <c r="AS108" s="242"/>
      <c r="AU108" s="271"/>
      <c r="AV108" s="271"/>
    </row>
    <row r="109" spans="1:50" s="223" customFormat="1" ht="12">
      <c r="A109" s="223" t="str">
        <f t="shared" ref="A109:A132" si="57">$A$1&amp;"Rolloff"&amp;C109</f>
        <v>MASON CO-REGULATEDRolloffROHAUL10</v>
      </c>
      <c r="B109" s="223">
        <f t="shared" si="54"/>
        <v>1</v>
      </c>
      <c r="C109" s="252" t="s">
        <v>342</v>
      </c>
      <c r="D109" s="252" t="s">
        <v>343</v>
      </c>
      <c r="E109" s="253">
        <v>83.93</v>
      </c>
      <c r="F109" s="253">
        <v>83.93</v>
      </c>
      <c r="G109" s="253">
        <v>84.16</v>
      </c>
      <c r="H109" s="254"/>
      <c r="I109" s="255">
        <v>0</v>
      </c>
      <c r="J109" s="255">
        <v>83.93</v>
      </c>
      <c r="K109" s="255">
        <v>0</v>
      </c>
      <c r="L109" s="255">
        <v>0</v>
      </c>
      <c r="M109" s="255">
        <v>83.93</v>
      </c>
      <c r="N109" s="255">
        <v>83.93</v>
      </c>
      <c r="O109" s="255">
        <v>0</v>
      </c>
      <c r="P109" s="255">
        <v>0</v>
      </c>
      <c r="Q109" s="255">
        <v>83.93</v>
      </c>
      <c r="R109" s="255">
        <v>168.32</v>
      </c>
      <c r="S109" s="255">
        <v>0</v>
      </c>
      <c r="T109" s="255">
        <v>84.16</v>
      </c>
      <c r="U109" s="255">
        <f t="shared" ref="U109:U132" si="58">SUM(I109:T109)</f>
        <v>588.20000000000005</v>
      </c>
      <c r="V109" s="255"/>
      <c r="W109" s="255">
        <f t="shared" si="55"/>
        <v>0</v>
      </c>
      <c r="X109" s="255">
        <f t="shared" si="56"/>
        <v>1</v>
      </c>
      <c r="Y109" s="255">
        <f t="shared" si="56"/>
        <v>0</v>
      </c>
      <c r="Z109" s="255">
        <f t="shared" si="56"/>
        <v>0</v>
      </c>
      <c r="AA109" s="255">
        <f t="shared" si="56"/>
        <v>1</v>
      </c>
      <c r="AB109" s="255">
        <f t="shared" si="56"/>
        <v>1</v>
      </c>
      <c r="AC109" s="255">
        <f t="shared" si="56"/>
        <v>0</v>
      </c>
      <c r="AD109" s="255">
        <f t="shared" si="56"/>
        <v>0</v>
      </c>
      <c r="AE109" s="255">
        <f t="shared" si="56"/>
        <v>1</v>
      </c>
      <c r="AF109" s="255">
        <f t="shared" ref="AF109:AH124" si="59">IFERROR(R109/$G109,0)</f>
        <v>2</v>
      </c>
      <c r="AG109" s="255">
        <f t="shared" si="59"/>
        <v>0</v>
      </c>
      <c r="AH109" s="255">
        <f t="shared" si="59"/>
        <v>1</v>
      </c>
      <c r="AI109" s="256">
        <f t="shared" ref="AI109:AI132" si="60">AVERAGE(W109:AH109)</f>
        <v>0.58333333333333337</v>
      </c>
      <c r="AJ109" s="255">
        <f>+IFERROR(VLOOKUP($C109,'Kitsap Regulated - Price Out'!$C$90:$AG$111,31,FALSE),0)</f>
        <v>0.58333333333333337</v>
      </c>
      <c r="AR109" s="257">
        <f>+IFERROR(VLOOKUP($C109,'[41]Kitsap Regulated - Price Out'!$C$90:$S$112,17,FALSE),0)</f>
        <v>587.51</v>
      </c>
      <c r="AS109" s="257">
        <f t="shared" ref="AS109:AS132" si="61">U109+AR109</f>
        <v>1175.71</v>
      </c>
      <c r="AT109" s="258">
        <f t="shared" ref="AT109:AT132" si="62">+IFERROR($G109*(1+$AW$1),0)</f>
        <v>88.342082901291505</v>
      </c>
      <c r="AU109" s="259">
        <f t="shared" ref="AU109:AU132" si="63">+$AT109*(AI109+AJ109)*12</f>
        <v>1236.789160618081</v>
      </c>
      <c r="AV109" s="259">
        <f t="shared" ref="AV109:AV132" si="64">AU109-AS109</f>
        <v>61.079160618081005</v>
      </c>
      <c r="AW109" s="260">
        <f t="shared" ref="AW109:AW132" si="65">+IFERROR((AT109-F109)/F109,0)</f>
        <v>5.2568603613624421E-2</v>
      </c>
      <c r="AX109" s="295"/>
    </row>
    <row r="110" spans="1:50" s="223" customFormat="1" ht="12">
      <c r="A110" s="223" t="str">
        <f t="shared" si="57"/>
        <v>MASON CO-REGULATEDRolloffROHAUL20</v>
      </c>
      <c r="B110" s="223">
        <f t="shared" si="54"/>
        <v>1</v>
      </c>
      <c r="C110" s="252" t="s">
        <v>344</v>
      </c>
      <c r="D110" s="252" t="s">
        <v>345</v>
      </c>
      <c r="E110" s="253">
        <v>97.48</v>
      </c>
      <c r="F110" s="253">
        <v>97.48</v>
      </c>
      <c r="G110" s="253">
        <v>97.75</v>
      </c>
      <c r="H110" s="254"/>
      <c r="I110" s="255">
        <v>4191.6400000000003</v>
      </c>
      <c r="J110" s="255">
        <v>3509.28</v>
      </c>
      <c r="K110" s="255">
        <v>3314.32</v>
      </c>
      <c r="L110" s="255">
        <v>4094.16</v>
      </c>
      <c r="M110" s="255">
        <v>3733.46</v>
      </c>
      <c r="N110" s="255">
        <v>3996.68</v>
      </c>
      <c r="O110" s="255">
        <v>3996.68</v>
      </c>
      <c r="P110" s="255">
        <v>4776.5200000000004</v>
      </c>
      <c r="Q110" s="255">
        <v>4581.5600000000004</v>
      </c>
      <c r="R110" s="255">
        <v>4495.42</v>
      </c>
      <c r="S110" s="255">
        <v>4789.75</v>
      </c>
      <c r="T110" s="255">
        <v>5083</v>
      </c>
      <c r="U110" s="255">
        <f t="shared" si="58"/>
        <v>50562.47</v>
      </c>
      <c r="V110" s="255"/>
      <c r="W110" s="255">
        <f t="shared" si="55"/>
        <v>43</v>
      </c>
      <c r="X110" s="255">
        <f t="shared" si="56"/>
        <v>36</v>
      </c>
      <c r="Y110" s="255">
        <f t="shared" si="56"/>
        <v>34</v>
      </c>
      <c r="Z110" s="255">
        <f t="shared" si="56"/>
        <v>42</v>
      </c>
      <c r="AA110" s="255">
        <f t="shared" si="56"/>
        <v>38.299753795650389</v>
      </c>
      <c r="AB110" s="255">
        <f t="shared" si="56"/>
        <v>41</v>
      </c>
      <c r="AC110" s="255">
        <f t="shared" si="56"/>
        <v>41</v>
      </c>
      <c r="AD110" s="255">
        <f t="shared" si="56"/>
        <v>49</v>
      </c>
      <c r="AE110" s="255">
        <f t="shared" si="56"/>
        <v>47</v>
      </c>
      <c r="AF110" s="255">
        <f t="shared" si="59"/>
        <v>45.988951406649619</v>
      </c>
      <c r="AG110" s="255">
        <f t="shared" si="59"/>
        <v>49</v>
      </c>
      <c r="AH110" s="255">
        <f t="shared" si="59"/>
        <v>52</v>
      </c>
      <c r="AI110" s="256">
        <f t="shared" si="60"/>
        <v>43.190725433524996</v>
      </c>
      <c r="AJ110" s="255">
        <f>+IFERROR(VLOOKUP($C110,'Kitsap Regulated - Price Out'!$C$90:$AG$111,31,FALSE),0)</f>
        <v>4.083333333333333</v>
      </c>
      <c r="AR110" s="257">
        <f>+IFERROR(VLOOKUP($C110,'[41]Kitsap Regulated - Price Out'!$C$90:$S$112,17,FALSE),0)</f>
        <v>4776.5200000000004</v>
      </c>
      <c r="AS110" s="257">
        <f t="shared" si="61"/>
        <v>55338.990000000005</v>
      </c>
      <c r="AT110" s="258">
        <f t="shared" si="62"/>
        <v>102.60739785647867</v>
      </c>
      <c r="AU110" s="259">
        <f t="shared" si="63"/>
        <v>58208.01787417903</v>
      </c>
      <c r="AV110" s="259">
        <f t="shared" si="64"/>
        <v>2869.0278741790244</v>
      </c>
      <c r="AW110" s="260">
        <f t="shared" si="65"/>
        <v>5.2599485601955945E-2</v>
      </c>
    </row>
    <row r="111" spans="1:50" s="223" customFormat="1" ht="12">
      <c r="A111" s="223" t="str">
        <f t="shared" si="57"/>
        <v>MASON CO-REGULATEDRolloffROHAUL30</v>
      </c>
      <c r="B111" s="223">
        <f t="shared" si="54"/>
        <v>1</v>
      </c>
      <c r="C111" s="252" t="s">
        <v>346</v>
      </c>
      <c r="D111" s="252" t="s">
        <v>347</v>
      </c>
      <c r="E111" s="253">
        <v>126.4</v>
      </c>
      <c r="F111" s="253">
        <v>126.4</v>
      </c>
      <c r="G111" s="253">
        <v>126.74</v>
      </c>
      <c r="H111" s="254"/>
      <c r="I111" s="255">
        <v>126.4</v>
      </c>
      <c r="J111" s="255">
        <v>252.8</v>
      </c>
      <c r="K111" s="255">
        <v>252.8</v>
      </c>
      <c r="L111" s="255">
        <v>200.2</v>
      </c>
      <c r="M111" s="255">
        <v>252.8</v>
      </c>
      <c r="N111" s="255">
        <v>252.8</v>
      </c>
      <c r="O111" s="255">
        <v>252.8</v>
      </c>
      <c r="P111" s="255">
        <v>126.4</v>
      </c>
      <c r="Q111" s="255">
        <v>252.8</v>
      </c>
      <c r="R111" s="255">
        <v>380.22</v>
      </c>
      <c r="S111" s="255">
        <v>380.22</v>
      </c>
      <c r="T111" s="255">
        <v>253.48</v>
      </c>
      <c r="U111" s="255">
        <f t="shared" si="58"/>
        <v>2983.72</v>
      </c>
      <c r="V111" s="255"/>
      <c r="W111" s="255">
        <f t="shared" si="55"/>
        <v>1</v>
      </c>
      <c r="X111" s="255">
        <f t="shared" si="56"/>
        <v>2</v>
      </c>
      <c r="Y111" s="255">
        <f t="shared" si="56"/>
        <v>2</v>
      </c>
      <c r="Z111" s="255">
        <f t="shared" si="56"/>
        <v>1.5838607594936707</v>
      </c>
      <c r="AA111" s="255">
        <f t="shared" si="56"/>
        <v>2</v>
      </c>
      <c r="AB111" s="255">
        <f t="shared" si="56"/>
        <v>2</v>
      </c>
      <c r="AC111" s="255">
        <f t="shared" si="56"/>
        <v>2</v>
      </c>
      <c r="AD111" s="255">
        <f t="shared" si="56"/>
        <v>1</v>
      </c>
      <c r="AE111" s="255">
        <f t="shared" si="56"/>
        <v>2</v>
      </c>
      <c r="AF111" s="255">
        <f t="shared" si="59"/>
        <v>3.0000000000000004</v>
      </c>
      <c r="AG111" s="255">
        <f t="shared" si="59"/>
        <v>3.0000000000000004</v>
      </c>
      <c r="AH111" s="255">
        <f t="shared" si="59"/>
        <v>2</v>
      </c>
      <c r="AI111" s="256">
        <f t="shared" si="60"/>
        <v>1.9653217299578059</v>
      </c>
      <c r="AJ111" s="255">
        <f>+IFERROR(VLOOKUP($C111,'Kitsap Regulated - Price Out'!$C$90:$AG$111,31,FALSE),0)</f>
        <v>0.33333333333333331</v>
      </c>
      <c r="AR111" s="257">
        <f>+IFERROR(VLOOKUP($C111,'[41]Kitsap Regulated - Price Out'!$C$90:$S$112,17,FALSE),0)</f>
        <v>505.6</v>
      </c>
      <c r="AS111" s="257">
        <f t="shared" si="61"/>
        <v>3489.3199999999997</v>
      </c>
      <c r="AT111" s="258">
        <f t="shared" si="62"/>
        <v>133.03797037677859</v>
      </c>
      <c r="AU111" s="259">
        <f t="shared" si="63"/>
        <v>3669.7008505987042</v>
      </c>
      <c r="AV111" s="259">
        <f t="shared" si="64"/>
        <v>180.38085059870446</v>
      </c>
      <c r="AW111" s="260">
        <f t="shared" si="65"/>
        <v>5.2515588423881189E-2</v>
      </c>
    </row>
    <row r="112" spans="1:50" s="223" customFormat="1" ht="12">
      <c r="A112" s="223" t="str">
        <f t="shared" si="57"/>
        <v>MASON CO-REGULATEDRolloffROHAUL40</v>
      </c>
      <c r="B112" s="223">
        <f t="shared" si="54"/>
        <v>1</v>
      </c>
      <c r="C112" s="252" t="s">
        <v>348</v>
      </c>
      <c r="D112" s="252" t="s">
        <v>349</v>
      </c>
      <c r="E112" s="253">
        <v>165.74</v>
      </c>
      <c r="F112" s="253">
        <v>165.74</v>
      </c>
      <c r="G112" s="253">
        <v>166.19</v>
      </c>
      <c r="H112" s="254"/>
      <c r="I112" s="255">
        <v>1491.66</v>
      </c>
      <c r="J112" s="255">
        <v>1325.92</v>
      </c>
      <c r="K112" s="255">
        <v>994.44</v>
      </c>
      <c r="L112" s="255">
        <v>1160.18</v>
      </c>
      <c r="M112" s="255">
        <v>1491.66</v>
      </c>
      <c r="N112" s="255">
        <v>1657.4</v>
      </c>
      <c r="O112" s="255">
        <v>1657.4</v>
      </c>
      <c r="P112" s="255">
        <v>1823.14</v>
      </c>
      <c r="Q112" s="255">
        <v>994.44</v>
      </c>
      <c r="R112" s="255">
        <v>997.14</v>
      </c>
      <c r="S112" s="255">
        <v>1495.71</v>
      </c>
      <c r="T112" s="255">
        <v>1495.71</v>
      </c>
      <c r="U112" s="255">
        <f t="shared" si="58"/>
        <v>16584.8</v>
      </c>
      <c r="V112" s="255"/>
      <c r="W112" s="255">
        <f t="shared" si="55"/>
        <v>9</v>
      </c>
      <c r="X112" s="255">
        <f t="shared" si="56"/>
        <v>8</v>
      </c>
      <c r="Y112" s="255">
        <f t="shared" si="56"/>
        <v>6</v>
      </c>
      <c r="Z112" s="255">
        <f t="shared" si="56"/>
        <v>7</v>
      </c>
      <c r="AA112" s="255">
        <f t="shared" si="56"/>
        <v>9</v>
      </c>
      <c r="AB112" s="255">
        <f t="shared" si="56"/>
        <v>10</v>
      </c>
      <c r="AC112" s="255">
        <f t="shared" si="56"/>
        <v>10</v>
      </c>
      <c r="AD112" s="255">
        <f t="shared" si="56"/>
        <v>11</v>
      </c>
      <c r="AE112" s="255">
        <f t="shared" si="56"/>
        <v>6</v>
      </c>
      <c r="AF112" s="255">
        <f t="shared" si="59"/>
        <v>6</v>
      </c>
      <c r="AG112" s="255">
        <f t="shared" si="59"/>
        <v>9</v>
      </c>
      <c r="AH112" s="255">
        <f t="shared" si="59"/>
        <v>9</v>
      </c>
      <c r="AI112" s="256">
        <f t="shared" si="60"/>
        <v>8.3333333333333339</v>
      </c>
      <c r="AJ112" s="255">
        <f>+IFERROR(VLOOKUP($C112,'Kitsap Regulated - Price Out'!$C$90:$AG$111,31,FALSE),0)</f>
        <v>0.58333333333333337</v>
      </c>
      <c r="AR112" s="257">
        <f>+IFERROR(VLOOKUP($C112,'[41]Kitsap Regulated - Price Out'!$C$90:$S$112,17,FALSE),0)</f>
        <v>1160.18</v>
      </c>
      <c r="AS112" s="257">
        <f t="shared" si="61"/>
        <v>17744.98</v>
      </c>
      <c r="AT112" s="258">
        <f t="shared" si="62"/>
        <v>174.44832173675897</v>
      </c>
      <c r="AU112" s="259">
        <f t="shared" si="63"/>
        <v>18665.970425833213</v>
      </c>
      <c r="AV112" s="259">
        <f t="shared" si="64"/>
        <v>920.99042583321352</v>
      </c>
      <c r="AW112" s="260">
        <f t="shared" si="65"/>
        <v>5.2542064298050931E-2</v>
      </c>
    </row>
    <row r="113" spans="1:49" s="223" customFormat="1" ht="12">
      <c r="A113" s="223" t="str">
        <f t="shared" si="57"/>
        <v>MASON CO-REGULATEDRolloffROHAUL10T</v>
      </c>
      <c r="B113" s="223">
        <f t="shared" si="54"/>
        <v>1</v>
      </c>
      <c r="C113" s="252" t="s">
        <v>350</v>
      </c>
      <c r="D113" s="252" t="s">
        <v>350</v>
      </c>
      <c r="E113" s="253">
        <v>83.93</v>
      </c>
      <c r="F113" s="253">
        <v>83.93</v>
      </c>
      <c r="G113" s="253">
        <v>84.16</v>
      </c>
      <c r="H113" s="254"/>
      <c r="I113" s="255">
        <v>335.72</v>
      </c>
      <c r="J113" s="255">
        <v>335.72</v>
      </c>
      <c r="K113" s="255">
        <v>419.65</v>
      </c>
      <c r="L113" s="255">
        <v>335.72</v>
      </c>
      <c r="M113" s="255">
        <v>503.58</v>
      </c>
      <c r="N113" s="255">
        <v>251.79</v>
      </c>
      <c r="O113" s="255">
        <v>419.65</v>
      </c>
      <c r="P113" s="255">
        <v>419.65</v>
      </c>
      <c r="Q113" s="255">
        <v>587.51</v>
      </c>
      <c r="R113" s="255">
        <v>589.12</v>
      </c>
      <c r="S113" s="255">
        <v>757.43999999999994</v>
      </c>
      <c r="T113" s="255">
        <v>252.48</v>
      </c>
      <c r="U113" s="255">
        <f t="shared" si="58"/>
        <v>5208.03</v>
      </c>
      <c r="V113" s="255"/>
      <c r="W113" s="255">
        <f t="shared" si="55"/>
        <v>4</v>
      </c>
      <c r="X113" s="255">
        <f t="shared" si="56"/>
        <v>4</v>
      </c>
      <c r="Y113" s="255">
        <f t="shared" si="56"/>
        <v>4.9999999999999991</v>
      </c>
      <c r="Z113" s="255">
        <f t="shared" si="56"/>
        <v>4</v>
      </c>
      <c r="AA113" s="255">
        <f t="shared" si="56"/>
        <v>5.9999999999999991</v>
      </c>
      <c r="AB113" s="255">
        <f t="shared" si="56"/>
        <v>2.9999999999999996</v>
      </c>
      <c r="AC113" s="255">
        <f t="shared" si="56"/>
        <v>4.9999999999999991</v>
      </c>
      <c r="AD113" s="255">
        <f t="shared" si="56"/>
        <v>4.9999999999999991</v>
      </c>
      <c r="AE113" s="255">
        <f t="shared" si="56"/>
        <v>6.9999999999999991</v>
      </c>
      <c r="AF113" s="255">
        <f t="shared" si="59"/>
        <v>7</v>
      </c>
      <c r="AG113" s="255">
        <f t="shared" si="59"/>
        <v>9</v>
      </c>
      <c r="AH113" s="255">
        <f t="shared" si="59"/>
        <v>3</v>
      </c>
      <c r="AI113" s="256">
        <f t="shared" si="60"/>
        <v>5.166666666666667</v>
      </c>
      <c r="AJ113" s="255">
        <f>+IFERROR(VLOOKUP($C113,'Kitsap Regulated - Price Out'!$C$90:$AG$111,31,FALSE),0)</f>
        <v>1.3333333333333333</v>
      </c>
      <c r="AR113" s="257">
        <f>+IFERROR(VLOOKUP($C113,'[41]Kitsap Regulated - Price Out'!$C$90:$S$112,17,FALSE),0)</f>
        <v>1342.8800000000003</v>
      </c>
      <c r="AS113" s="257">
        <f t="shared" si="61"/>
        <v>6550.91</v>
      </c>
      <c r="AT113" s="258">
        <f t="shared" si="62"/>
        <v>88.342082901291505</v>
      </c>
      <c r="AU113" s="259">
        <f t="shared" si="63"/>
        <v>6890.6824663007374</v>
      </c>
      <c r="AV113" s="259">
        <f t="shared" si="64"/>
        <v>339.77246630073751</v>
      </c>
      <c r="AW113" s="260">
        <f t="shared" si="65"/>
        <v>5.2568603613624421E-2</v>
      </c>
    </row>
    <row r="114" spans="1:49" s="223" customFormat="1" ht="12">
      <c r="A114" s="223" t="str">
        <f t="shared" si="57"/>
        <v>MASON CO-REGULATEDRolloffROHAUL20T</v>
      </c>
      <c r="B114" s="223">
        <f t="shared" si="54"/>
        <v>1</v>
      </c>
      <c r="C114" s="252" t="s">
        <v>351</v>
      </c>
      <c r="D114" s="252" t="s">
        <v>352</v>
      </c>
      <c r="E114" s="253">
        <v>97.48</v>
      </c>
      <c r="F114" s="253">
        <v>97.48</v>
      </c>
      <c r="G114" s="253">
        <v>97.75</v>
      </c>
      <c r="H114" s="254"/>
      <c r="I114" s="255">
        <v>2534.48</v>
      </c>
      <c r="J114" s="255">
        <v>2729.44</v>
      </c>
      <c r="K114" s="255">
        <v>2924.4</v>
      </c>
      <c r="L114" s="255">
        <v>3314.32</v>
      </c>
      <c r="M114" s="255">
        <v>5068.96</v>
      </c>
      <c r="N114" s="255">
        <v>4094.16</v>
      </c>
      <c r="O114" s="255">
        <v>3899.2</v>
      </c>
      <c r="P114" s="255">
        <v>5068.96</v>
      </c>
      <c r="Q114" s="255">
        <v>6141.24</v>
      </c>
      <c r="R114" s="255">
        <v>6743.67</v>
      </c>
      <c r="S114" s="255">
        <v>7624.5</v>
      </c>
      <c r="T114" s="255">
        <v>4887.5</v>
      </c>
      <c r="U114" s="255">
        <f t="shared" si="58"/>
        <v>55030.829999999994</v>
      </c>
      <c r="V114" s="255"/>
      <c r="W114" s="255">
        <f t="shared" si="55"/>
        <v>26</v>
      </c>
      <c r="X114" s="255">
        <f t="shared" si="56"/>
        <v>28</v>
      </c>
      <c r="Y114" s="255">
        <f t="shared" si="56"/>
        <v>30</v>
      </c>
      <c r="Z114" s="255">
        <f t="shared" si="56"/>
        <v>34</v>
      </c>
      <c r="AA114" s="255">
        <f t="shared" si="56"/>
        <v>52</v>
      </c>
      <c r="AB114" s="255">
        <f t="shared" si="56"/>
        <v>42</v>
      </c>
      <c r="AC114" s="255">
        <f t="shared" si="56"/>
        <v>40</v>
      </c>
      <c r="AD114" s="255">
        <f t="shared" si="56"/>
        <v>52</v>
      </c>
      <c r="AE114" s="255">
        <f t="shared" si="56"/>
        <v>62.999999999999993</v>
      </c>
      <c r="AF114" s="255">
        <f t="shared" si="59"/>
        <v>68.988951406649619</v>
      </c>
      <c r="AG114" s="255">
        <f t="shared" si="59"/>
        <v>78</v>
      </c>
      <c r="AH114" s="255">
        <f t="shared" si="59"/>
        <v>50</v>
      </c>
      <c r="AI114" s="256">
        <f t="shared" si="60"/>
        <v>46.999079283887475</v>
      </c>
      <c r="AJ114" s="255">
        <f>+IFERROR(VLOOKUP($C114,'Kitsap Regulated - Price Out'!$C$90:$AG$111,31,FALSE),0)</f>
        <v>9.1666666666666661</v>
      </c>
      <c r="AR114" s="257">
        <f>+IFERROR(VLOOKUP($C114,'[41]Kitsap Regulated - Price Out'!$C$90:$S$112,17,FALSE),0)</f>
        <v>10722.8</v>
      </c>
      <c r="AS114" s="257">
        <f t="shared" si="61"/>
        <v>65753.62999999999</v>
      </c>
      <c r="AT114" s="258">
        <f t="shared" si="62"/>
        <v>102.60739785647867</v>
      </c>
      <c r="AU114" s="259">
        <f t="shared" si="63"/>
        <v>69156.25248785298</v>
      </c>
      <c r="AV114" s="259">
        <f t="shared" si="64"/>
        <v>3402.6224878529902</v>
      </c>
      <c r="AW114" s="260">
        <f t="shared" si="65"/>
        <v>5.2599485601955945E-2</v>
      </c>
    </row>
    <row r="115" spans="1:49" s="223" customFormat="1" ht="12">
      <c r="A115" s="223" t="str">
        <f t="shared" si="57"/>
        <v>MASON CO-REGULATEDRolloffROHAUL40T</v>
      </c>
      <c r="B115" s="223">
        <f t="shared" si="54"/>
        <v>1</v>
      </c>
      <c r="C115" s="252" t="s">
        <v>353</v>
      </c>
      <c r="D115" s="252" t="s">
        <v>354</v>
      </c>
      <c r="E115" s="253">
        <v>165.74</v>
      </c>
      <c r="F115" s="253">
        <v>165.74</v>
      </c>
      <c r="G115" s="253">
        <v>166.19</v>
      </c>
      <c r="H115" s="254"/>
      <c r="I115" s="255">
        <v>828.7</v>
      </c>
      <c r="J115" s="255">
        <v>1491.66</v>
      </c>
      <c r="K115" s="255">
        <v>1823.14</v>
      </c>
      <c r="L115" s="255">
        <v>3295.88</v>
      </c>
      <c r="M115" s="255">
        <v>2983.32</v>
      </c>
      <c r="N115" s="255">
        <v>4143.5</v>
      </c>
      <c r="O115" s="255">
        <v>1823.14</v>
      </c>
      <c r="P115" s="255">
        <v>3480.54</v>
      </c>
      <c r="Q115" s="255">
        <v>3149.06</v>
      </c>
      <c r="R115" s="255">
        <v>4154.75</v>
      </c>
      <c r="S115" s="255">
        <v>6315.22</v>
      </c>
      <c r="T115" s="255">
        <v>2160.4699999999998</v>
      </c>
      <c r="U115" s="255">
        <f t="shared" si="58"/>
        <v>35649.380000000005</v>
      </c>
      <c r="V115" s="255"/>
      <c r="W115" s="255">
        <f t="shared" si="55"/>
        <v>5</v>
      </c>
      <c r="X115" s="255">
        <f t="shared" si="56"/>
        <v>9</v>
      </c>
      <c r="Y115" s="255">
        <f t="shared" si="56"/>
        <v>11</v>
      </c>
      <c r="Z115" s="255">
        <f t="shared" si="56"/>
        <v>19.885845299867263</v>
      </c>
      <c r="AA115" s="255">
        <f t="shared" si="56"/>
        <v>18</v>
      </c>
      <c r="AB115" s="255">
        <f t="shared" si="56"/>
        <v>25</v>
      </c>
      <c r="AC115" s="255">
        <f t="shared" si="56"/>
        <v>11</v>
      </c>
      <c r="AD115" s="255">
        <f t="shared" si="56"/>
        <v>21</v>
      </c>
      <c r="AE115" s="255">
        <f t="shared" si="56"/>
        <v>19</v>
      </c>
      <c r="AF115" s="255">
        <f t="shared" si="59"/>
        <v>25</v>
      </c>
      <c r="AG115" s="255">
        <f t="shared" si="59"/>
        <v>38</v>
      </c>
      <c r="AH115" s="255">
        <f t="shared" si="59"/>
        <v>12.999999999999998</v>
      </c>
      <c r="AI115" s="256">
        <f t="shared" si="60"/>
        <v>17.907153774988938</v>
      </c>
      <c r="AJ115" s="255">
        <f>+IFERROR(VLOOKUP($C115,'Kitsap Regulated - Price Out'!$C$90:$AG$111,31,FALSE),0)</f>
        <v>2.4168929246611159</v>
      </c>
      <c r="AR115" s="257">
        <f>+IFERROR(VLOOKUP($C115,'[41]Kitsap Regulated - Price Out'!$C$90:$S$112,17,FALSE),0)</f>
        <v>4806.9099999999989</v>
      </c>
      <c r="AS115" s="257">
        <f t="shared" si="61"/>
        <v>40456.29</v>
      </c>
      <c r="AT115" s="258">
        <f t="shared" si="62"/>
        <v>174.44832173675897</v>
      </c>
      <c r="AU115" s="259">
        <f t="shared" si="63"/>
        <v>42545.950051841603</v>
      </c>
      <c r="AV115" s="259">
        <f t="shared" si="64"/>
        <v>2089.6600518416017</v>
      </c>
      <c r="AW115" s="260">
        <f t="shared" si="65"/>
        <v>5.2542064298050931E-2</v>
      </c>
    </row>
    <row r="116" spans="1:49" s="223" customFormat="1" ht="12">
      <c r="A116" s="223" t="str">
        <f t="shared" si="57"/>
        <v>MASON CO-REGULATEDRolloffCPHAUL10</v>
      </c>
      <c r="B116" s="223">
        <f t="shared" si="54"/>
        <v>1</v>
      </c>
      <c r="C116" s="252" t="s">
        <v>355</v>
      </c>
      <c r="D116" s="252" t="s">
        <v>356</v>
      </c>
      <c r="E116" s="253">
        <v>126.71</v>
      </c>
      <c r="F116" s="253">
        <v>126.71</v>
      </c>
      <c r="G116" s="253">
        <v>127.06</v>
      </c>
      <c r="H116" s="254"/>
      <c r="I116" s="255">
        <v>126.71</v>
      </c>
      <c r="J116" s="255">
        <v>253.42</v>
      </c>
      <c r="K116" s="255">
        <v>126.71</v>
      </c>
      <c r="L116" s="255">
        <v>253.42</v>
      </c>
      <c r="M116" s="255">
        <v>126.71</v>
      </c>
      <c r="N116" s="255">
        <v>126.71</v>
      </c>
      <c r="O116" s="255">
        <v>126.71</v>
      </c>
      <c r="P116" s="255">
        <v>253.42</v>
      </c>
      <c r="Q116" s="255">
        <v>126.71</v>
      </c>
      <c r="R116" s="255">
        <v>127.06</v>
      </c>
      <c r="S116" s="255">
        <v>254.12</v>
      </c>
      <c r="T116" s="255">
        <v>127.06</v>
      </c>
      <c r="U116" s="255">
        <f t="shared" si="58"/>
        <v>2028.7600000000002</v>
      </c>
      <c r="V116" s="255"/>
      <c r="W116" s="255">
        <f t="shared" si="55"/>
        <v>1</v>
      </c>
      <c r="X116" s="255">
        <f t="shared" si="56"/>
        <v>2</v>
      </c>
      <c r="Y116" s="255">
        <f t="shared" si="56"/>
        <v>1</v>
      </c>
      <c r="Z116" s="255">
        <f t="shared" si="56"/>
        <v>2</v>
      </c>
      <c r="AA116" s="255">
        <f t="shared" si="56"/>
        <v>1</v>
      </c>
      <c r="AB116" s="255">
        <f t="shared" si="56"/>
        <v>1</v>
      </c>
      <c r="AC116" s="255">
        <f t="shared" si="56"/>
        <v>1</v>
      </c>
      <c r="AD116" s="255">
        <f t="shared" si="56"/>
        <v>2</v>
      </c>
      <c r="AE116" s="255">
        <f t="shared" si="56"/>
        <v>1</v>
      </c>
      <c r="AF116" s="255">
        <f t="shared" si="59"/>
        <v>1</v>
      </c>
      <c r="AG116" s="255">
        <f t="shared" si="59"/>
        <v>2</v>
      </c>
      <c r="AH116" s="255">
        <f t="shared" si="59"/>
        <v>1</v>
      </c>
      <c r="AI116" s="256">
        <f t="shared" si="60"/>
        <v>1.3333333333333333</v>
      </c>
      <c r="AJ116" s="255">
        <f>+IFERROR(VLOOKUP($C116,'Kitsap Regulated - Price Out'!$C$90:$AG$111,31,FALSE),0)</f>
        <v>0</v>
      </c>
      <c r="AR116" s="257">
        <f>+IFERROR(VLOOKUP($C116,'[41]Kitsap Regulated - Price Out'!$C$90:$S$112,17,FALSE),0)</f>
        <v>0</v>
      </c>
      <c r="AS116" s="257">
        <f t="shared" si="61"/>
        <v>2028.7600000000002</v>
      </c>
      <c r="AT116" s="258">
        <f t="shared" si="62"/>
        <v>133.37387183267705</v>
      </c>
      <c r="AU116" s="259">
        <f t="shared" si="63"/>
        <v>2133.9819493228329</v>
      </c>
      <c r="AV116" s="259">
        <f t="shared" si="64"/>
        <v>105.22194932283264</v>
      </c>
      <c r="AW116" s="260">
        <f t="shared" si="65"/>
        <v>5.2591522631813277E-2</v>
      </c>
    </row>
    <row r="117" spans="1:49" s="223" customFormat="1" ht="12">
      <c r="A117" s="223" t="str">
        <f t="shared" si="57"/>
        <v>MASON CO-REGULATEDRolloffCPHAUL15</v>
      </c>
      <c r="B117" s="223">
        <f t="shared" si="54"/>
        <v>1</v>
      </c>
      <c r="C117" s="252" t="s">
        <v>357</v>
      </c>
      <c r="D117" s="252" t="s">
        <v>358</v>
      </c>
      <c r="E117" s="253">
        <v>146.16999999999999</v>
      </c>
      <c r="F117" s="253">
        <v>146.16999999999999</v>
      </c>
      <c r="G117" s="253">
        <v>146.57</v>
      </c>
      <c r="H117" s="254"/>
      <c r="I117" s="255">
        <v>730.85</v>
      </c>
      <c r="J117" s="255">
        <v>584.67999999999995</v>
      </c>
      <c r="K117" s="255">
        <v>438.51</v>
      </c>
      <c r="L117" s="255">
        <v>292.33999999999997</v>
      </c>
      <c r="M117" s="255">
        <v>438.51</v>
      </c>
      <c r="N117" s="255">
        <v>438.51</v>
      </c>
      <c r="O117" s="255">
        <v>584.67999999999995</v>
      </c>
      <c r="P117" s="255">
        <v>1023.19</v>
      </c>
      <c r="Q117" s="255">
        <v>1169.3599999999999</v>
      </c>
      <c r="R117" s="255">
        <v>1025.99</v>
      </c>
      <c r="S117" s="255">
        <v>586.28</v>
      </c>
      <c r="T117" s="255">
        <v>879.42</v>
      </c>
      <c r="U117" s="255">
        <f t="shared" si="58"/>
        <v>8192.3199999999979</v>
      </c>
      <c r="V117" s="255"/>
      <c r="W117" s="255">
        <f t="shared" si="55"/>
        <v>5.0000000000000009</v>
      </c>
      <c r="X117" s="255">
        <f t="shared" si="56"/>
        <v>4</v>
      </c>
      <c r="Y117" s="255">
        <f t="shared" si="56"/>
        <v>3</v>
      </c>
      <c r="Z117" s="255">
        <f t="shared" si="56"/>
        <v>2</v>
      </c>
      <c r="AA117" s="255">
        <f t="shared" si="56"/>
        <v>3</v>
      </c>
      <c r="AB117" s="255">
        <f t="shared" si="56"/>
        <v>3</v>
      </c>
      <c r="AC117" s="255">
        <f t="shared" si="56"/>
        <v>4</v>
      </c>
      <c r="AD117" s="255">
        <f t="shared" si="56"/>
        <v>7.0000000000000009</v>
      </c>
      <c r="AE117" s="255">
        <f t="shared" si="56"/>
        <v>8</v>
      </c>
      <c r="AF117" s="255">
        <f t="shared" si="59"/>
        <v>7</v>
      </c>
      <c r="AG117" s="255">
        <f t="shared" si="59"/>
        <v>4</v>
      </c>
      <c r="AH117" s="255">
        <f t="shared" si="59"/>
        <v>6</v>
      </c>
      <c r="AI117" s="256">
        <f t="shared" si="60"/>
        <v>4.666666666666667</v>
      </c>
      <c r="AJ117" s="255">
        <f>+IFERROR(VLOOKUP($C117,'Kitsap Regulated - Price Out'!$C$90:$AG$111,31,FALSE),0)</f>
        <v>1</v>
      </c>
      <c r="AR117" s="257">
        <f>+IFERROR(VLOOKUP($C117,'[41]Kitsap Regulated - Price Out'!$C$90:$S$112,17,FALSE),0)</f>
        <v>1754.0399999999997</v>
      </c>
      <c r="AS117" s="257">
        <f t="shared" si="61"/>
        <v>9946.3599999999969</v>
      </c>
      <c r="AT117" s="258">
        <f t="shared" si="62"/>
        <v>153.85336372198546</v>
      </c>
      <c r="AU117" s="259">
        <f t="shared" si="63"/>
        <v>10462.028733095012</v>
      </c>
      <c r="AV117" s="259">
        <f t="shared" si="64"/>
        <v>515.66873309501534</v>
      </c>
      <c r="AW117" s="260">
        <f t="shared" si="65"/>
        <v>5.2564573592293037E-2</v>
      </c>
    </row>
    <row r="118" spans="1:49" s="223" customFormat="1" ht="12">
      <c r="A118" s="223" t="str">
        <f t="shared" si="57"/>
        <v>MASON CO-REGULATEDRolloffCPHAUL20</v>
      </c>
      <c r="B118" s="223">
        <f t="shared" si="54"/>
        <v>1</v>
      </c>
      <c r="C118" s="252" t="s">
        <v>359</v>
      </c>
      <c r="D118" s="252" t="s">
        <v>360</v>
      </c>
      <c r="E118" s="253">
        <v>155.93</v>
      </c>
      <c r="F118" s="253">
        <v>155.93</v>
      </c>
      <c r="G118" s="253">
        <v>156.35</v>
      </c>
      <c r="H118" s="254"/>
      <c r="I118" s="255">
        <v>155.93</v>
      </c>
      <c r="J118" s="255">
        <v>155.93</v>
      </c>
      <c r="K118" s="255">
        <v>0</v>
      </c>
      <c r="L118" s="255">
        <v>155.93</v>
      </c>
      <c r="M118" s="255">
        <v>0</v>
      </c>
      <c r="N118" s="255">
        <v>0</v>
      </c>
      <c r="O118" s="255">
        <v>0</v>
      </c>
      <c r="P118" s="255">
        <v>155.93</v>
      </c>
      <c r="Q118" s="255">
        <v>0</v>
      </c>
      <c r="R118" s="255">
        <v>312.27999999999997</v>
      </c>
      <c r="S118" s="255">
        <v>156.35</v>
      </c>
      <c r="T118" s="255">
        <v>312.7</v>
      </c>
      <c r="U118" s="255">
        <f t="shared" si="58"/>
        <v>1405.05</v>
      </c>
      <c r="V118" s="255"/>
      <c r="W118" s="255">
        <f t="shared" si="55"/>
        <v>1</v>
      </c>
      <c r="X118" s="255">
        <f t="shared" si="56"/>
        <v>1</v>
      </c>
      <c r="Y118" s="255">
        <f t="shared" si="56"/>
        <v>0</v>
      </c>
      <c r="Z118" s="255">
        <f t="shared" si="56"/>
        <v>1</v>
      </c>
      <c r="AA118" s="255">
        <f t="shared" si="56"/>
        <v>0</v>
      </c>
      <c r="AB118" s="255">
        <f t="shared" si="56"/>
        <v>0</v>
      </c>
      <c r="AC118" s="255">
        <f t="shared" si="56"/>
        <v>0</v>
      </c>
      <c r="AD118" s="255">
        <f t="shared" si="56"/>
        <v>1</v>
      </c>
      <c r="AE118" s="255">
        <f t="shared" si="56"/>
        <v>0</v>
      </c>
      <c r="AF118" s="255">
        <f t="shared" si="59"/>
        <v>1.9973137192196992</v>
      </c>
      <c r="AG118" s="255">
        <f t="shared" si="59"/>
        <v>1</v>
      </c>
      <c r="AH118" s="255">
        <f t="shared" si="59"/>
        <v>2</v>
      </c>
      <c r="AI118" s="256">
        <f t="shared" si="60"/>
        <v>0.74977614326830822</v>
      </c>
      <c r="AJ118" s="255">
        <f>+IFERROR(VLOOKUP($C118,'Kitsap Regulated - Price Out'!$C$90:$AG$111,31,FALSE),0)</f>
        <v>2.6671155860535709</v>
      </c>
      <c r="AR118" s="257">
        <f>+IFERROR(VLOOKUP($C118,'[41]Kitsap Regulated - Price Out'!$C$90:$S$112,17,FALSE),0)</f>
        <v>4990.6000000000004</v>
      </c>
      <c r="AS118" s="257">
        <f t="shared" si="61"/>
        <v>6395.6500000000005</v>
      </c>
      <c r="AT118" s="258">
        <f t="shared" si="62"/>
        <v>164.11935196788176</v>
      </c>
      <c r="AU118" s="259">
        <f t="shared" si="63"/>
        <v>6729.3366763286595</v>
      </c>
      <c r="AV118" s="259">
        <f t="shared" si="64"/>
        <v>333.6866763286589</v>
      </c>
      <c r="AW118" s="260">
        <f t="shared" si="65"/>
        <v>5.2519412350937905E-2</v>
      </c>
    </row>
    <row r="119" spans="1:49" s="223" customFormat="1" ht="12">
      <c r="A119" s="223" t="str">
        <f t="shared" si="57"/>
        <v>MASON CO-REGULATEDRolloffCPHAUL25</v>
      </c>
      <c r="B119" s="223">
        <f t="shared" si="54"/>
        <v>1</v>
      </c>
      <c r="C119" s="252" t="s">
        <v>361</v>
      </c>
      <c r="D119" s="252" t="s">
        <v>362</v>
      </c>
      <c r="E119" s="253">
        <v>170.69</v>
      </c>
      <c r="F119" s="253">
        <v>170.69</v>
      </c>
      <c r="G119" s="253">
        <v>171.16</v>
      </c>
      <c r="H119" s="254"/>
      <c r="I119" s="255">
        <v>2048.2800000000002</v>
      </c>
      <c r="J119" s="255">
        <v>1877.59</v>
      </c>
      <c r="K119" s="255">
        <v>1536.21</v>
      </c>
      <c r="L119" s="255">
        <v>1194.83</v>
      </c>
      <c r="M119" s="255">
        <v>170.69</v>
      </c>
      <c r="N119" s="255">
        <v>853.45</v>
      </c>
      <c r="O119" s="255">
        <v>1365.52</v>
      </c>
      <c r="P119" s="255">
        <v>1024.1400000000001</v>
      </c>
      <c r="Q119" s="255">
        <v>1365.52</v>
      </c>
      <c r="R119" s="255">
        <v>1882.29</v>
      </c>
      <c r="S119" s="255">
        <v>1711.6</v>
      </c>
      <c r="T119" s="255">
        <v>1711.6</v>
      </c>
      <c r="U119" s="255">
        <f t="shared" si="58"/>
        <v>16741.72</v>
      </c>
      <c r="V119" s="255"/>
      <c r="W119" s="255">
        <f t="shared" si="55"/>
        <v>12.000000000000002</v>
      </c>
      <c r="X119" s="255">
        <f t="shared" si="56"/>
        <v>11</v>
      </c>
      <c r="Y119" s="255">
        <f t="shared" si="56"/>
        <v>9</v>
      </c>
      <c r="Z119" s="255">
        <f t="shared" si="56"/>
        <v>7</v>
      </c>
      <c r="AA119" s="255">
        <f t="shared" si="56"/>
        <v>1</v>
      </c>
      <c r="AB119" s="255">
        <f t="shared" si="56"/>
        <v>5</v>
      </c>
      <c r="AC119" s="255">
        <f t="shared" si="56"/>
        <v>8</v>
      </c>
      <c r="AD119" s="255">
        <f t="shared" si="56"/>
        <v>6.0000000000000009</v>
      </c>
      <c r="AE119" s="255">
        <f t="shared" si="56"/>
        <v>8</v>
      </c>
      <c r="AF119" s="255">
        <f t="shared" si="59"/>
        <v>10.997254031315729</v>
      </c>
      <c r="AG119" s="255">
        <f t="shared" si="59"/>
        <v>10</v>
      </c>
      <c r="AH119" s="255">
        <f t="shared" si="59"/>
        <v>10</v>
      </c>
      <c r="AI119" s="256">
        <f t="shared" si="60"/>
        <v>8.1664378359429772</v>
      </c>
      <c r="AJ119" s="255">
        <f>+IFERROR(VLOOKUP($C119,'Kitsap Regulated - Price Out'!$C$90:$AG$111,31,FALSE),0)</f>
        <v>2.0006883824477124</v>
      </c>
      <c r="AR119" s="257">
        <f>+IFERROR(VLOOKUP($C119,'[41]Kitsap Regulated - Price Out'!$C$90:$S$112,17,FALSE),0)</f>
        <v>4097.9700000000012</v>
      </c>
      <c r="AS119" s="257">
        <f t="shared" si="61"/>
        <v>20839.690000000002</v>
      </c>
      <c r="AT119" s="258">
        <f t="shared" si="62"/>
        <v>179.66529122368175</v>
      </c>
      <c r="AU119" s="259">
        <f t="shared" si="63"/>
        <v>21920.156315221124</v>
      </c>
      <c r="AV119" s="259">
        <f t="shared" si="64"/>
        <v>1080.4663152211215</v>
      </c>
      <c r="AW119" s="260">
        <f t="shared" si="65"/>
        <v>5.2582408012664776E-2</v>
      </c>
    </row>
    <row r="120" spans="1:49" s="223" customFormat="1" ht="12">
      <c r="A120" s="223" t="str">
        <f t="shared" si="57"/>
        <v>MASON CO-REGULATEDRolloffCPHAUL30</v>
      </c>
      <c r="B120" s="223">
        <f t="shared" si="54"/>
        <v>1</v>
      </c>
      <c r="C120" s="252" t="s">
        <v>363</v>
      </c>
      <c r="D120" s="252" t="s">
        <v>364</v>
      </c>
      <c r="E120" s="253">
        <v>194.6</v>
      </c>
      <c r="F120" s="253">
        <v>194.6</v>
      </c>
      <c r="G120" s="253">
        <v>195.13</v>
      </c>
      <c r="H120" s="254"/>
      <c r="I120" s="255">
        <v>0</v>
      </c>
      <c r="J120" s="255">
        <v>0</v>
      </c>
      <c r="K120" s="255">
        <v>0</v>
      </c>
      <c r="L120" s="255">
        <v>0</v>
      </c>
      <c r="M120" s="255">
        <v>0</v>
      </c>
      <c r="N120" s="255">
        <v>0</v>
      </c>
      <c r="O120" s="255">
        <v>0</v>
      </c>
      <c r="P120" s="255">
        <v>126.4</v>
      </c>
      <c r="Q120" s="255">
        <v>0</v>
      </c>
      <c r="R120" s="255">
        <v>224.7</v>
      </c>
      <c r="S120" s="255">
        <v>195.13</v>
      </c>
      <c r="T120" s="255">
        <v>0</v>
      </c>
      <c r="U120" s="255">
        <f t="shared" si="58"/>
        <v>546.23</v>
      </c>
      <c r="V120" s="255"/>
      <c r="W120" s="255">
        <f t="shared" si="55"/>
        <v>0</v>
      </c>
      <c r="X120" s="255">
        <f t="shared" si="56"/>
        <v>0</v>
      </c>
      <c r="Y120" s="255">
        <f t="shared" si="56"/>
        <v>0</v>
      </c>
      <c r="Z120" s="255">
        <f t="shared" si="56"/>
        <v>0</v>
      </c>
      <c r="AA120" s="255">
        <f t="shared" si="56"/>
        <v>0</v>
      </c>
      <c r="AB120" s="255">
        <f t="shared" si="56"/>
        <v>0</v>
      </c>
      <c r="AC120" s="255">
        <f t="shared" si="56"/>
        <v>0</v>
      </c>
      <c r="AD120" s="255">
        <f t="shared" si="56"/>
        <v>0.64953751284686545</v>
      </c>
      <c r="AE120" s="255">
        <f t="shared" si="56"/>
        <v>0</v>
      </c>
      <c r="AF120" s="255">
        <f t="shared" si="59"/>
        <v>1.1515399989750423</v>
      </c>
      <c r="AG120" s="255">
        <f t="shared" si="59"/>
        <v>1</v>
      </c>
      <c r="AH120" s="255">
        <f t="shared" si="59"/>
        <v>0</v>
      </c>
      <c r="AI120" s="256">
        <f t="shared" si="60"/>
        <v>0.23342312598515899</v>
      </c>
      <c r="AJ120" s="255">
        <f>+IFERROR(VLOOKUP($C120,'Kitsap Regulated - Price Out'!$C$90:$AG$111,31,FALSE),0)</f>
        <v>0.91689362795477913</v>
      </c>
      <c r="AR120" s="257">
        <f>+IFERROR(VLOOKUP($C120,'[41]Kitsap Regulated - Price Out'!$C$90:$S$112,17,FALSE),0)</f>
        <v>2141.1299999999997</v>
      </c>
      <c r="AS120" s="257">
        <f t="shared" si="61"/>
        <v>2687.3599999999997</v>
      </c>
      <c r="AT120" s="258">
        <f t="shared" si="62"/>
        <v>204.82640965457477</v>
      </c>
      <c r="AU120" s="259">
        <f t="shared" si="63"/>
        <v>2827.3830081002693</v>
      </c>
      <c r="AV120" s="259">
        <f t="shared" si="64"/>
        <v>140.02300810026964</v>
      </c>
      <c r="AW120" s="260">
        <f t="shared" si="65"/>
        <v>5.2550923199253752E-2</v>
      </c>
    </row>
    <row r="121" spans="1:49" s="223" customFormat="1" ht="12">
      <c r="A121" s="223" t="str">
        <f t="shared" si="57"/>
        <v>MASON CO-REGULATEDRolloffCPHAUL35</v>
      </c>
      <c r="B121" s="223">
        <f t="shared" si="54"/>
        <v>1</v>
      </c>
      <c r="C121" s="252" t="s">
        <v>365</v>
      </c>
      <c r="D121" s="252" t="s">
        <v>366</v>
      </c>
      <c r="E121" s="253">
        <v>224.09</v>
      </c>
      <c r="F121" s="253">
        <v>224.09</v>
      </c>
      <c r="G121" s="253">
        <v>224.7</v>
      </c>
      <c r="H121" s="254"/>
      <c r="I121" s="255">
        <v>0</v>
      </c>
      <c r="J121" s="255">
        <v>0</v>
      </c>
      <c r="K121" s="255">
        <v>0</v>
      </c>
      <c r="L121" s="255">
        <v>0</v>
      </c>
      <c r="M121" s="255">
        <v>0</v>
      </c>
      <c r="N121" s="255">
        <v>0</v>
      </c>
      <c r="O121" s="255">
        <v>0</v>
      </c>
      <c r="P121" s="255">
        <v>224.09</v>
      </c>
      <c r="Q121" s="255">
        <v>0</v>
      </c>
      <c r="R121" s="255">
        <v>673.49</v>
      </c>
      <c r="S121" s="255">
        <v>449.4</v>
      </c>
      <c r="T121" s="255">
        <v>449.4</v>
      </c>
      <c r="U121" s="255">
        <f t="shared" si="58"/>
        <v>1796.38</v>
      </c>
      <c r="V121" s="255"/>
      <c r="W121" s="255">
        <f t="shared" si="55"/>
        <v>0</v>
      </c>
      <c r="X121" s="255">
        <f t="shared" si="56"/>
        <v>0</v>
      </c>
      <c r="Y121" s="255">
        <f t="shared" si="56"/>
        <v>0</v>
      </c>
      <c r="Z121" s="255">
        <f t="shared" si="56"/>
        <v>0</v>
      </c>
      <c r="AA121" s="255">
        <f t="shared" si="56"/>
        <v>0</v>
      </c>
      <c r="AB121" s="255">
        <f t="shared" si="56"/>
        <v>0</v>
      </c>
      <c r="AC121" s="255">
        <f t="shared" si="56"/>
        <v>0</v>
      </c>
      <c r="AD121" s="255">
        <f t="shared" si="56"/>
        <v>1</v>
      </c>
      <c r="AE121" s="255">
        <f t="shared" si="56"/>
        <v>0</v>
      </c>
      <c r="AF121" s="255">
        <f t="shared" si="59"/>
        <v>2.9972852692478864</v>
      </c>
      <c r="AG121" s="255">
        <f t="shared" si="59"/>
        <v>2</v>
      </c>
      <c r="AH121" s="255">
        <f t="shared" si="59"/>
        <v>2</v>
      </c>
      <c r="AI121" s="256">
        <f t="shared" si="60"/>
        <v>0.66644043910399053</v>
      </c>
      <c r="AJ121" s="255">
        <f>+IFERROR(VLOOKUP($C121,'Kitsap Regulated - Price Out'!$C$90:$AG$111,31,FALSE),0)</f>
        <v>1.5723667574040192</v>
      </c>
      <c r="AR121" s="257">
        <f>+IFERROR(VLOOKUP($C121,'[41]Kitsap Regulated - Price Out'!$C$90:$S$112,17,FALSE),0)</f>
        <v>4228.2199999999993</v>
      </c>
      <c r="AS121" s="257">
        <f t="shared" si="61"/>
        <v>6024.5999999999995</v>
      </c>
      <c r="AT121" s="258">
        <f t="shared" si="62"/>
        <v>235.8658035636906</v>
      </c>
      <c r="AU121" s="259">
        <f t="shared" si="63"/>
        <v>6336.6967011424213</v>
      </c>
      <c r="AV121" s="259">
        <f t="shared" si="64"/>
        <v>312.09670114242181</v>
      </c>
      <c r="AW121" s="260">
        <f t="shared" si="65"/>
        <v>5.2549438010132545E-2</v>
      </c>
    </row>
    <row r="122" spans="1:49" s="223" customFormat="1" ht="12">
      <c r="A122" s="223" t="str">
        <f t="shared" si="57"/>
        <v>MASON CO-REGULATEDRolloffRORENT10D</v>
      </c>
      <c r="B122" s="223">
        <f t="shared" si="54"/>
        <v>1</v>
      </c>
      <c r="C122" s="252" t="s">
        <v>367</v>
      </c>
      <c r="D122" s="252" t="s">
        <v>368</v>
      </c>
      <c r="E122" s="253">
        <v>139.5</v>
      </c>
      <c r="F122" s="253">
        <v>139.5</v>
      </c>
      <c r="G122" s="253">
        <f>4.65*30</f>
        <v>139.5</v>
      </c>
      <c r="H122" s="254"/>
      <c r="I122" s="255">
        <v>190.65</v>
      </c>
      <c r="J122" s="255">
        <v>330.15</v>
      </c>
      <c r="K122" s="255">
        <v>134.85</v>
      </c>
      <c r="L122" s="255">
        <v>143.4</v>
      </c>
      <c r="M122" s="255">
        <v>251.1</v>
      </c>
      <c r="N122" s="255">
        <v>376.65</v>
      </c>
      <c r="O122" s="255">
        <v>325.5</v>
      </c>
      <c r="P122" s="255">
        <v>319.35000000000002</v>
      </c>
      <c r="Q122" s="255">
        <v>427.8</v>
      </c>
      <c r="R122" s="255">
        <v>274.35000000000002</v>
      </c>
      <c r="S122" s="255">
        <v>232.5</v>
      </c>
      <c r="T122" s="255">
        <v>209.25</v>
      </c>
      <c r="U122" s="255">
        <f t="shared" si="58"/>
        <v>3215.5499999999997</v>
      </c>
      <c r="V122" s="255"/>
      <c r="W122" s="255">
        <f t="shared" si="55"/>
        <v>1.3666666666666667</v>
      </c>
      <c r="X122" s="255">
        <f t="shared" si="56"/>
        <v>2.3666666666666667</v>
      </c>
      <c r="Y122" s="255">
        <f t="shared" si="56"/>
        <v>0.96666666666666667</v>
      </c>
      <c r="Z122" s="255">
        <f t="shared" si="56"/>
        <v>1.0279569892473119</v>
      </c>
      <c r="AA122" s="255">
        <f t="shared" si="56"/>
        <v>1.8</v>
      </c>
      <c r="AB122" s="255">
        <f t="shared" si="56"/>
        <v>2.6999999999999997</v>
      </c>
      <c r="AC122" s="255">
        <f t="shared" si="56"/>
        <v>2.3333333333333335</v>
      </c>
      <c r="AD122" s="255">
        <f t="shared" si="56"/>
        <v>2.2892473118279573</v>
      </c>
      <c r="AE122" s="255">
        <f t="shared" si="56"/>
        <v>3.0666666666666669</v>
      </c>
      <c r="AF122" s="255">
        <f t="shared" si="59"/>
        <v>1.9666666666666668</v>
      </c>
      <c r="AG122" s="255">
        <f t="shared" si="59"/>
        <v>1.6666666666666667</v>
      </c>
      <c r="AH122" s="255">
        <f t="shared" si="59"/>
        <v>1.5</v>
      </c>
      <c r="AI122" s="256">
        <f t="shared" si="60"/>
        <v>1.9208781362007168</v>
      </c>
      <c r="AJ122" s="255">
        <f>+IFERROR(VLOOKUP($C122,'Kitsap Regulated - Price Out'!$C$90:$AG$111,31,FALSE),0)</f>
        <v>0.28611111111111109</v>
      </c>
      <c r="AN122" s="223">
        <v>10</v>
      </c>
      <c r="AO122" s="223">
        <v>1</v>
      </c>
      <c r="AP122" s="256">
        <f t="shared" ref="AP122:AP127" si="66">+AO122*AH122</f>
        <v>1.5</v>
      </c>
      <c r="AQ122" s="256"/>
      <c r="AR122" s="257">
        <f>+IFERROR(VLOOKUP($C122,'[41]Kitsap Regulated - Price Out'!$C$90:$S$112,17,FALSE),0)</f>
        <v>478.95</v>
      </c>
      <c r="AS122" s="257">
        <f t="shared" si="61"/>
        <v>3694.4999999999995</v>
      </c>
      <c r="AT122" s="258">
        <f t="shared" si="62"/>
        <v>146.43204093072916</v>
      </c>
      <c r="AU122" s="259">
        <f t="shared" si="63"/>
        <v>3878.0872775525368</v>
      </c>
      <c r="AV122" s="259">
        <f t="shared" si="64"/>
        <v>183.58727755253722</v>
      </c>
      <c r="AW122" s="260">
        <f t="shared" si="65"/>
        <v>4.9692049682646296E-2</v>
      </c>
    </row>
    <row r="123" spans="1:49" s="223" customFormat="1" ht="12">
      <c r="A123" s="223" t="str">
        <f t="shared" si="57"/>
        <v>MASON CO-REGULATEDRolloffRORENT20D</v>
      </c>
      <c r="B123" s="223">
        <f t="shared" si="54"/>
        <v>1</v>
      </c>
      <c r="C123" s="252" t="s">
        <v>369</v>
      </c>
      <c r="D123" s="252" t="s">
        <v>370</v>
      </c>
      <c r="E123" s="253">
        <v>180.3</v>
      </c>
      <c r="F123" s="253">
        <v>180.3</v>
      </c>
      <c r="G123" s="253">
        <f>6.01*30</f>
        <v>180.29999999999998</v>
      </c>
      <c r="H123" s="254"/>
      <c r="I123" s="255">
        <v>3359.59</v>
      </c>
      <c r="J123" s="255">
        <v>4246.43</v>
      </c>
      <c r="K123" s="255">
        <v>3606</v>
      </c>
      <c r="L123" s="255">
        <v>4262.6499999999996</v>
      </c>
      <c r="M123" s="255">
        <v>4663.84</v>
      </c>
      <c r="N123" s="255">
        <v>5110.6499999999996</v>
      </c>
      <c r="O123" s="255">
        <v>4375.28</v>
      </c>
      <c r="P123" s="255">
        <v>5178.6900000000005</v>
      </c>
      <c r="Q123" s="255">
        <v>7792.6399999999994</v>
      </c>
      <c r="R123" s="255">
        <v>8782.89</v>
      </c>
      <c r="S123" s="255">
        <v>8366.27</v>
      </c>
      <c r="T123" s="255">
        <v>6947.56</v>
      </c>
      <c r="U123" s="255">
        <f t="shared" si="58"/>
        <v>66692.490000000005</v>
      </c>
      <c r="V123" s="255"/>
      <c r="W123" s="255">
        <f t="shared" si="55"/>
        <v>18.633333333333333</v>
      </c>
      <c r="X123" s="255">
        <f t="shared" si="56"/>
        <v>23.55202440377149</v>
      </c>
      <c r="Y123" s="255">
        <f t="shared" si="56"/>
        <v>20</v>
      </c>
      <c r="Z123" s="255">
        <f t="shared" si="56"/>
        <v>23.641985579589569</v>
      </c>
      <c r="AA123" s="255">
        <f t="shared" si="56"/>
        <v>25.867110371602884</v>
      </c>
      <c r="AB123" s="255">
        <f t="shared" si="56"/>
        <v>28.345257903494172</v>
      </c>
      <c r="AC123" s="255">
        <f t="shared" si="56"/>
        <v>24.266666666666662</v>
      </c>
      <c r="AD123" s="255">
        <f t="shared" si="56"/>
        <v>28.72262895174709</v>
      </c>
      <c r="AE123" s="255">
        <f t="shared" si="56"/>
        <v>43.220410427065993</v>
      </c>
      <c r="AF123" s="255">
        <f t="shared" si="59"/>
        <v>48.7126455906822</v>
      </c>
      <c r="AG123" s="255">
        <f t="shared" si="59"/>
        <v>46.401941209095959</v>
      </c>
      <c r="AH123" s="255">
        <f t="shared" si="59"/>
        <v>38.533333333333339</v>
      </c>
      <c r="AI123" s="256">
        <f t="shared" si="60"/>
        <v>30.824778147531891</v>
      </c>
      <c r="AJ123" s="255">
        <f>+IFERROR(VLOOKUP($C123,'Kitsap Regulated - Price Out'!$C$90:$AG$111,31,FALSE),0)</f>
        <v>5.911564059900166</v>
      </c>
      <c r="AN123" s="223">
        <v>20</v>
      </c>
      <c r="AO123" s="223">
        <v>1</v>
      </c>
      <c r="AP123" s="256">
        <f t="shared" si="66"/>
        <v>38.533333333333339</v>
      </c>
      <c r="AQ123" s="256"/>
      <c r="AR123" s="257">
        <f>+IFERROR(VLOOKUP($C123,'[41]Kitsap Regulated - Price Out'!$C$90:$S$112,17,FALSE),0)</f>
        <v>12790.26</v>
      </c>
      <c r="AS123" s="257">
        <f t="shared" si="61"/>
        <v>79482.75</v>
      </c>
      <c r="AT123" s="258">
        <f t="shared" si="62"/>
        <v>189.25947655778111</v>
      </c>
      <c r="AU123" s="259">
        <f t="shared" si="63"/>
        <v>83432.410761913343</v>
      </c>
      <c r="AV123" s="259">
        <f t="shared" si="64"/>
        <v>3949.6607619133429</v>
      </c>
      <c r="AW123" s="260">
        <f t="shared" si="65"/>
        <v>4.969204968264615E-2</v>
      </c>
    </row>
    <row r="124" spans="1:49" s="223" customFormat="1" ht="12">
      <c r="A124" s="223" t="str">
        <f t="shared" si="57"/>
        <v>MASON CO-REGULATEDRolloffRORENT40D</v>
      </c>
      <c r="B124" s="223">
        <f t="shared" si="54"/>
        <v>1</v>
      </c>
      <c r="C124" s="252" t="s">
        <v>371</v>
      </c>
      <c r="D124" s="252" t="s">
        <v>372</v>
      </c>
      <c r="E124" s="253">
        <v>283.8</v>
      </c>
      <c r="F124" s="253">
        <v>283.8</v>
      </c>
      <c r="G124" s="253">
        <f>9.46*30</f>
        <v>283.8</v>
      </c>
      <c r="H124" s="254"/>
      <c r="I124" s="255">
        <v>1485.22</v>
      </c>
      <c r="J124" s="255">
        <v>1286.56</v>
      </c>
      <c r="K124" s="255">
        <v>2336.62</v>
      </c>
      <c r="L124" s="255">
        <v>2212.73</v>
      </c>
      <c r="M124" s="255">
        <v>2487.98</v>
      </c>
      <c r="N124" s="255">
        <v>2979.9</v>
      </c>
      <c r="O124" s="255">
        <v>3301.54</v>
      </c>
      <c r="P124" s="255">
        <v>762.29</v>
      </c>
      <c r="Q124" s="255">
        <v>2923.14</v>
      </c>
      <c r="R124" s="255">
        <v>3282.62</v>
      </c>
      <c r="S124" s="255">
        <v>4427.28</v>
      </c>
      <c r="T124" s="255">
        <v>3396.14</v>
      </c>
      <c r="U124" s="255">
        <f t="shared" si="58"/>
        <v>30882.019999999997</v>
      </c>
      <c r="V124" s="255"/>
      <c r="W124" s="255">
        <f t="shared" si="55"/>
        <v>5.2333333333333334</v>
      </c>
      <c r="X124" s="255">
        <f t="shared" si="56"/>
        <v>4.5333333333333332</v>
      </c>
      <c r="Y124" s="255">
        <f t="shared" si="56"/>
        <v>8.2333333333333325</v>
      </c>
      <c r="Z124" s="255">
        <f t="shared" si="56"/>
        <v>7.7967935165609585</v>
      </c>
      <c r="AA124" s="255">
        <f t="shared" si="56"/>
        <v>8.7666666666666657</v>
      </c>
      <c r="AB124" s="255">
        <f t="shared" si="56"/>
        <v>10.5</v>
      </c>
      <c r="AC124" s="255">
        <f t="shared" si="56"/>
        <v>11.633333333333333</v>
      </c>
      <c r="AD124" s="255">
        <f t="shared" si="56"/>
        <v>2.6860112755461589</v>
      </c>
      <c r="AE124" s="255">
        <f t="shared" si="56"/>
        <v>10.299999999999999</v>
      </c>
      <c r="AF124" s="255">
        <f t="shared" si="59"/>
        <v>11.566666666666666</v>
      </c>
      <c r="AG124" s="255">
        <f t="shared" si="59"/>
        <v>15.599999999999998</v>
      </c>
      <c r="AH124" s="255">
        <f t="shared" si="59"/>
        <v>11.966666666666665</v>
      </c>
      <c r="AI124" s="256">
        <f t="shared" si="60"/>
        <v>9.0680115104533705</v>
      </c>
      <c r="AJ124" s="255">
        <f>+IFERROR(VLOOKUP($C124,'Kitsap Regulated - Price Out'!$C$90:$AG$111,31,FALSE),0)</f>
        <v>1.3883515386422365</v>
      </c>
      <c r="AN124" s="223">
        <v>40</v>
      </c>
      <c r="AO124" s="223">
        <v>1</v>
      </c>
      <c r="AP124" s="256">
        <f t="shared" si="66"/>
        <v>11.966666666666665</v>
      </c>
      <c r="AQ124" s="256"/>
      <c r="AR124" s="257">
        <f>+IFERROR(VLOOKUP($C124,'[41]Kitsap Regulated - Price Out'!$C$90:$S$112,17,FALSE),0)</f>
        <v>4728.1699999999992</v>
      </c>
      <c r="AS124" s="257">
        <f t="shared" si="61"/>
        <v>35610.189999999995</v>
      </c>
      <c r="AT124" s="258">
        <f t="shared" si="62"/>
        <v>297.90260369993501</v>
      </c>
      <c r="AU124" s="259">
        <f t="shared" si="63"/>
        <v>37379.733330688476</v>
      </c>
      <c r="AV124" s="259">
        <f t="shared" si="64"/>
        <v>1769.5433306884806</v>
      </c>
      <c r="AW124" s="260">
        <f t="shared" si="65"/>
        <v>4.969204968264624E-2</v>
      </c>
    </row>
    <row r="125" spans="1:49" s="223" customFormat="1" ht="12">
      <c r="A125" s="223" t="str">
        <f t="shared" si="57"/>
        <v>MASON CO-REGULATEDRolloffRORENT10M</v>
      </c>
      <c r="B125" s="223">
        <f t="shared" si="54"/>
        <v>1</v>
      </c>
      <c r="C125" s="252" t="s">
        <v>373</v>
      </c>
      <c r="D125" s="252" t="s">
        <v>374</v>
      </c>
      <c r="E125" s="253">
        <v>83.93</v>
      </c>
      <c r="F125" s="253">
        <v>83.93</v>
      </c>
      <c r="G125" s="253">
        <v>83.93</v>
      </c>
      <c r="H125" s="254"/>
      <c r="I125" s="255">
        <v>0</v>
      </c>
      <c r="J125" s="255">
        <v>0</v>
      </c>
      <c r="K125" s="255">
        <v>0</v>
      </c>
      <c r="L125" s="255">
        <v>0</v>
      </c>
      <c r="M125" s="255">
        <v>47.56</v>
      </c>
      <c r="N125" s="255">
        <v>83.93</v>
      </c>
      <c r="O125" s="255">
        <v>83.93</v>
      </c>
      <c r="P125" s="255">
        <v>83.93</v>
      </c>
      <c r="Q125" s="255">
        <v>83.93</v>
      </c>
      <c r="R125" s="255">
        <v>167.86</v>
      </c>
      <c r="S125" s="255">
        <v>167.86</v>
      </c>
      <c r="T125" s="255">
        <v>167.86</v>
      </c>
      <c r="U125" s="255">
        <f t="shared" si="58"/>
        <v>886.86000000000013</v>
      </c>
      <c r="V125" s="255"/>
      <c r="W125" s="255">
        <f t="shared" si="55"/>
        <v>0</v>
      </c>
      <c r="X125" s="255">
        <f t="shared" si="56"/>
        <v>0</v>
      </c>
      <c r="Y125" s="255">
        <f t="shared" si="56"/>
        <v>0</v>
      </c>
      <c r="Z125" s="255">
        <f t="shared" si="56"/>
        <v>0</v>
      </c>
      <c r="AA125" s="255">
        <f t="shared" si="56"/>
        <v>0.56666269510306211</v>
      </c>
      <c r="AB125" s="255">
        <f t="shared" si="56"/>
        <v>1</v>
      </c>
      <c r="AC125" s="255">
        <f t="shared" si="56"/>
        <v>1</v>
      </c>
      <c r="AD125" s="255">
        <f t="shared" si="56"/>
        <v>1</v>
      </c>
      <c r="AE125" s="255">
        <f t="shared" si="56"/>
        <v>1</v>
      </c>
      <c r="AF125" s="255">
        <f t="shared" ref="AF125:AH132" si="67">IFERROR(R125/$G125,0)</f>
        <v>2</v>
      </c>
      <c r="AG125" s="255">
        <f t="shared" si="67"/>
        <v>2</v>
      </c>
      <c r="AH125" s="255">
        <f t="shared" si="67"/>
        <v>2</v>
      </c>
      <c r="AI125" s="256">
        <f t="shared" si="60"/>
        <v>0.88055522459192181</v>
      </c>
      <c r="AJ125" s="255">
        <f>+IFERROR(VLOOKUP($C125,'Kitsap Regulated - Price Out'!$C$90:$AG$111,31,FALSE),0)</f>
        <v>0.75</v>
      </c>
      <c r="AN125" s="223">
        <v>10</v>
      </c>
      <c r="AO125" s="223">
        <v>1</v>
      </c>
      <c r="AP125" s="256">
        <f t="shared" si="66"/>
        <v>2</v>
      </c>
      <c r="AQ125" s="256"/>
      <c r="AR125" s="257">
        <f>+IFERROR(VLOOKUP($C125,'[41]Kitsap Regulated - Price Out'!$C$90:$S$112,17,FALSE),0)</f>
        <v>755.37000000000012</v>
      </c>
      <c r="AS125" s="257">
        <f t="shared" si="61"/>
        <v>1642.2300000000002</v>
      </c>
      <c r="AT125" s="258">
        <f t="shared" si="62"/>
        <v>88.100653729864504</v>
      </c>
      <c r="AU125" s="259">
        <f t="shared" si="63"/>
        <v>1723.8357747503323</v>
      </c>
      <c r="AV125" s="259">
        <f t="shared" si="64"/>
        <v>81.605774750332102</v>
      </c>
      <c r="AW125" s="260">
        <f t="shared" si="65"/>
        <v>4.9692049682646219E-2</v>
      </c>
    </row>
    <row r="126" spans="1:49" s="223" customFormat="1" ht="12">
      <c r="A126" s="223" t="str">
        <f t="shared" si="57"/>
        <v>MASON CO-REGULATEDRolloffRORENT20M</v>
      </c>
      <c r="B126" s="223">
        <f t="shared" si="54"/>
        <v>1</v>
      </c>
      <c r="C126" s="252" t="s">
        <v>375</v>
      </c>
      <c r="D126" s="252" t="s">
        <v>376</v>
      </c>
      <c r="E126" s="253">
        <v>97.48</v>
      </c>
      <c r="F126" s="253">
        <v>97.48</v>
      </c>
      <c r="G126" s="253">
        <v>97.48</v>
      </c>
      <c r="H126" s="254"/>
      <c r="I126" s="255">
        <v>2047.08</v>
      </c>
      <c r="J126" s="255">
        <v>2047.08</v>
      </c>
      <c r="K126" s="255">
        <v>1949.6</v>
      </c>
      <c r="L126" s="255">
        <v>1949.6</v>
      </c>
      <c r="M126" s="255">
        <v>1949.6</v>
      </c>
      <c r="N126" s="255">
        <v>1949.6</v>
      </c>
      <c r="O126" s="255">
        <v>1949.6</v>
      </c>
      <c r="P126" s="255">
        <v>1949.6</v>
      </c>
      <c r="Q126" s="255">
        <v>2242.04</v>
      </c>
      <c r="R126" s="255">
        <v>2339.52</v>
      </c>
      <c r="S126" s="255">
        <v>2339.52</v>
      </c>
      <c r="T126" s="255">
        <v>2339.52</v>
      </c>
      <c r="U126" s="255">
        <f t="shared" si="58"/>
        <v>25052.360000000004</v>
      </c>
      <c r="V126" s="255"/>
      <c r="W126" s="255">
        <f t="shared" si="55"/>
        <v>21</v>
      </c>
      <c r="X126" s="255">
        <f t="shared" si="56"/>
        <v>21</v>
      </c>
      <c r="Y126" s="255">
        <f t="shared" si="56"/>
        <v>20</v>
      </c>
      <c r="Z126" s="255">
        <f t="shared" si="56"/>
        <v>20</v>
      </c>
      <c r="AA126" s="255">
        <f t="shared" si="56"/>
        <v>20</v>
      </c>
      <c r="AB126" s="255">
        <f t="shared" si="56"/>
        <v>20</v>
      </c>
      <c r="AC126" s="255">
        <f t="shared" si="56"/>
        <v>20</v>
      </c>
      <c r="AD126" s="255">
        <f t="shared" si="56"/>
        <v>20</v>
      </c>
      <c r="AE126" s="255">
        <f t="shared" si="56"/>
        <v>23</v>
      </c>
      <c r="AF126" s="255">
        <f t="shared" si="67"/>
        <v>24</v>
      </c>
      <c r="AG126" s="255">
        <f t="shared" si="67"/>
        <v>24</v>
      </c>
      <c r="AH126" s="255">
        <f t="shared" si="67"/>
        <v>24</v>
      </c>
      <c r="AI126" s="256">
        <f t="shared" si="60"/>
        <v>21.416666666666668</v>
      </c>
      <c r="AJ126" s="255">
        <f>+IFERROR(VLOOKUP($C126,'Kitsap Regulated - Price Out'!$C$90:$AG$111,31,FALSE),0)</f>
        <v>1.9861168102858704</v>
      </c>
      <c r="AN126" s="223">
        <v>20</v>
      </c>
      <c r="AO126" s="223">
        <v>1</v>
      </c>
      <c r="AP126" s="256">
        <f t="shared" si="66"/>
        <v>24</v>
      </c>
      <c r="AQ126" s="256"/>
      <c r="AR126" s="257">
        <f>+IFERROR(VLOOKUP($C126,'[41]Kitsap Regulated - Price Out'!$C$90:$S$112,17,FALSE),0)</f>
        <v>2323.2800000000002</v>
      </c>
      <c r="AS126" s="257">
        <f t="shared" si="61"/>
        <v>27375.640000000003</v>
      </c>
      <c r="AT126" s="258">
        <f t="shared" si="62"/>
        <v>102.32398100306436</v>
      </c>
      <c r="AU126" s="259">
        <f t="shared" si="63"/>
        <v>28735.99166297424</v>
      </c>
      <c r="AV126" s="259">
        <f t="shared" si="64"/>
        <v>1360.3516629742371</v>
      </c>
      <c r="AW126" s="260">
        <f t="shared" si="65"/>
        <v>4.9692049682646254E-2</v>
      </c>
    </row>
    <row r="127" spans="1:49" s="223" customFormat="1" ht="12">
      <c r="A127" s="223" t="str">
        <f t="shared" si="57"/>
        <v>MASON CO-REGULATEDRolloffRORENT40M</v>
      </c>
      <c r="B127" s="223">
        <f t="shared" si="54"/>
        <v>1</v>
      </c>
      <c r="C127" s="252" t="s">
        <v>377</v>
      </c>
      <c r="D127" s="252" t="s">
        <v>378</v>
      </c>
      <c r="E127" s="253">
        <v>165.74</v>
      </c>
      <c r="F127" s="253">
        <v>165.74</v>
      </c>
      <c r="G127" s="253">
        <v>165.74</v>
      </c>
      <c r="H127" s="254"/>
      <c r="I127" s="255">
        <v>331.48</v>
      </c>
      <c r="J127" s="255">
        <v>331.48</v>
      </c>
      <c r="K127" s="255">
        <v>331.48</v>
      </c>
      <c r="L127" s="255">
        <v>331.48</v>
      </c>
      <c r="M127" s="255">
        <v>331.48</v>
      </c>
      <c r="N127" s="255">
        <v>331.48</v>
      </c>
      <c r="O127" s="255">
        <v>331.48</v>
      </c>
      <c r="P127" s="255">
        <v>331.48</v>
      </c>
      <c r="Q127" s="255">
        <v>497.22</v>
      </c>
      <c r="R127" s="255">
        <v>662.96</v>
      </c>
      <c r="S127" s="255">
        <v>662.96</v>
      </c>
      <c r="T127" s="255">
        <v>662.96</v>
      </c>
      <c r="U127" s="255">
        <f t="shared" si="58"/>
        <v>5137.9400000000005</v>
      </c>
      <c r="V127" s="255"/>
      <c r="W127" s="255">
        <f t="shared" si="55"/>
        <v>2</v>
      </c>
      <c r="X127" s="255">
        <f t="shared" si="56"/>
        <v>2</v>
      </c>
      <c r="Y127" s="255">
        <f t="shared" si="56"/>
        <v>2</v>
      </c>
      <c r="Z127" s="255">
        <f t="shared" si="56"/>
        <v>2</v>
      </c>
      <c r="AA127" s="255">
        <f t="shared" si="56"/>
        <v>2</v>
      </c>
      <c r="AB127" s="255">
        <f t="shared" si="56"/>
        <v>2</v>
      </c>
      <c r="AC127" s="255">
        <f t="shared" si="56"/>
        <v>2</v>
      </c>
      <c r="AD127" s="255">
        <f t="shared" si="56"/>
        <v>2</v>
      </c>
      <c r="AE127" s="255">
        <f t="shared" si="56"/>
        <v>3</v>
      </c>
      <c r="AF127" s="255">
        <f t="shared" si="67"/>
        <v>4</v>
      </c>
      <c r="AG127" s="255">
        <f t="shared" si="67"/>
        <v>4</v>
      </c>
      <c r="AH127" s="255">
        <f t="shared" si="67"/>
        <v>4</v>
      </c>
      <c r="AI127" s="256">
        <f t="shared" si="60"/>
        <v>2.5833333333333335</v>
      </c>
      <c r="AJ127" s="255">
        <f>+IFERROR(VLOOKUP($C127,'Kitsap Regulated - Price Out'!$C$90:$AG$111,31,FALSE),0)</f>
        <v>0.66666666666666663</v>
      </c>
      <c r="AN127" s="223">
        <v>40</v>
      </c>
      <c r="AO127" s="223">
        <v>1</v>
      </c>
      <c r="AP127" s="256">
        <f t="shared" si="66"/>
        <v>4</v>
      </c>
      <c r="AQ127" s="256"/>
      <c r="AR127" s="257">
        <f>+IFERROR(VLOOKUP($C127,'[41]Kitsap Regulated - Price Out'!$C$90:$S$112,17,FALSE),0)</f>
        <v>1325.92</v>
      </c>
      <c r="AS127" s="257">
        <f t="shared" si="61"/>
        <v>6463.8600000000006</v>
      </c>
      <c r="AT127" s="258">
        <f t="shared" si="62"/>
        <v>173.97596031440182</v>
      </c>
      <c r="AU127" s="259">
        <f t="shared" si="63"/>
        <v>6785.0624522616708</v>
      </c>
      <c r="AV127" s="259">
        <f t="shared" si="64"/>
        <v>321.20245226167026</v>
      </c>
      <c r="AW127" s="260">
        <f t="shared" si="65"/>
        <v>4.9692049682646358E-2</v>
      </c>
    </row>
    <row r="128" spans="1:49" s="223" customFormat="1" ht="12">
      <c r="A128" s="223" t="str">
        <f t="shared" si="57"/>
        <v>MASON CO-REGULATEDRolloffROLID</v>
      </c>
      <c r="B128" s="223">
        <f t="shared" si="54"/>
        <v>1</v>
      </c>
      <c r="C128" s="252" t="s">
        <v>379</v>
      </c>
      <c r="D128" s="252" t="s">
        <v>380</v>
      </c>
      <c r="E128" s="253">
        <v>14.56</v>
      </c>
      <c r="F128" s="253">
        <v>14.56</v>
      </c>
      <c r="G128" s="253">
        <v>14.6</v>
      </c>
      <c r="H128" s="254"/>
      <c r="I128" s="255">
        <v>270.89999999999998</v>
      </c>
      <c r="J128" s="255">
        <v>262.08</v>
      </c>
      <c r="K128" s="255">
        <v>260.26</v>
      </c>
      <c r="L128" s="255">
        <v>250.43</v>
      </c>
      <c r="M128" s="255">
        <v>263.06</v>
      </c>
      <c r="N128" s="255">
        <v>262.08</v>
      </c>
      <c r="O128" s="255">
        <v>263.05</v>
      </c>
      <c r="P128" s="255">
        <v>276.64</v>
      </c>
      <c r="Q128" s="255">
        <v>333.91</v>
      </c>
      <c r="R128" s="255">
        <v>358.79</v>
      </c>
      <c r="S128" s="255">
        <v>385.5</v>
      </c>
      <c r="T128" s="255">
        <v>405.96</v>
      </c>
      <c r="U128" s="255">
        <f t="shared" si="58"/>
        <v>3592.66</v>
      </c>
      <c r="V128" s="255"/>
      <c r="W128" s="255">
        <f t="shared" si="55"/>
        <v>18.60576923076923</v>
      </c>
      <c r="X128" s="255">
        <f t="shared" si="56"/>
        <v>18</v>
      </c>
      <c r="Y128" s="255">
        <f t="shared" si="56"/>
        <v>17.875</v>
      </c>
      <c r="Z128" s="255">
        <f t="shared" si="56"/>
        <v>17.199862637362639</v>
      </c>
      <c r="AA128" s="255">
        <f t="shared" si="56"/>
        <v>18.067307692307693</v>
      </c>
      <c r="AB128" s="255">
        <f t="shared" si="56"/>
        <v>18</v>
      </c>
      <c r="AC128" s="255">
        <f t="shared" si="56"/>
        <v>18.06662087912088</v>
      </c>
      <c r="AD128" s="255">
        <f t="shared" si="56"/>
        <v>19</v>
      </c>
      <c r="AE128" s="255">
        <f t="shared" si="56"/>
        <v>22.93337912087912</v>
      </c>
      <c r="AF128" s="255">
        <f t="shared" si="67"/>
        <v>24.574657534246576</v>
      </c>
      <c r="AG128" s="255">
        <f t="shared" si="67"/>
        <v>26.404109589041095</v>
      </c>
      <c r="AH128" s="255">
        <f t="shared" si="67"/>
        <v>27.805479452054794</v>
      </c>
      <c r="AI128" s="256">
        <f t="shared" si="60"/>
        <v>20.5443488446485</v>
      </c>
      <c r="AJ128" s="255">
        <f>+IFERROR(VLOOKUP($C128,'Kitsap Regulated - Price Out'!$C$90:$AG$111,31,FALSE),0)</f>
        <v>2.7067307692307687</v>
      </c>
      <c r="AR128" s="257">
        <f>+IFERROR(VLOOKUP($C128,'[41]Kitsap Regulated - Price Out'!$C$90:$S$112,17,FALSE),0)</f>
        <v>472.92</v>
      </c>
      <c r="AS128" s="257">
        <f t="shared" si="61"/>
        <v>4065.58</v>
      </c>
      <c r="AT128" s="258">
        <f t="shared" si="62"/>
        <v>15.325503925366636</v>
      </c>
      <c r="AU128" s="259">
        <f t="shared" si="63"/>
        <v>4276.0141426982264</v>
      </c>
      <c r="AV128" s="259">
        <f t="shared" si="64"/>
        <v>210.43414269822642</v>
      </c>
      <c r="AW128" s="260">
        <f t="shared" si="65"/>
        <v>5.257581904990629E-2</v>
      </c>
    </row>
    <row r="129" spans="1:49" s="223" customFormat="1" ht="12">
      <c r="A129" s="223" t="str">
        <f t="shared" si="57"/>
        <v>MASON CO-REGULATEDRolloffRODEL</v>
      </c>
      <c r="B129" s="223">
        <f t="shared" si="54"/>
        <v>1</v>
      </c>
      <c r="C129" s="252" t="s">
        <v>381</v>
      </c>
      <c r="D129" s="252" t="s">
        <v>382</v>
      </c>
      <c r="E129" s="253">
        <v>77.959999999999994</v>
      </c>
      <c r="F129" s="253">
        <v>77.959999999999994</v>
      </c>
      <c r="G129" s="253">
        <v>78.17</v>
      </c>
      <c r="H129" s="254"/>
      <c r="I129" s="255">
        <v>1559.2</v>
      </c>
      <c r="J129" s="255">
        <v>1793.08</v>
      </c>
      <c r="K129" s="255">
        <v>2728.6</v>
      </c>
      <c r="L129" s="255">
        <v>2572.6799999999998</v>
      </c>
      <c r="M129" s="255">
        <v>3352.28</v>
      </c>
      <c r="N129" s="255">
        <v>3664.12</v>
      </c>
      <c r="O129" s="255">
        <v>3274.32</v>
      </c>
      <c r="P129" s="255">
        <v>4209.84</v>
      </c>
      <c r="Q129" s="255">
        <v>4677.6000000000004</v>
      </c>
      <c r="R129" s="255">
        <v>5002.46</v>
      </c>
      <c r="S129" s="255">
        <v>5081.05</v>
      </c>
      <c r="T129" s="255">
        <v>1485.23</v>
      </c>
      <c r="U129" s="255">
        <f t="shared" si="58"/>
        <v>39400.460000000006</v>
      </c>
      <c r="V129" s="255"/>
      <c r="W129" s="255">
        <f t="shared" si="55"/>
        <v>20.000000000000004</v>
      </c>
      <c r="X129" s="255">
        <f t="shared" si="56"/>
        <v>23</v>
      </c>
      <c r="Y129" s="255">
        <f t="shared" si="56"/>
        <v>35</v>
      </c>
      <c r="Z129" s="255">
        <f t="shared" si="56"/>
        <v>33</v>
      </c>
      <c r="AA129" s="255">
        <f t="shared" si="56"/>
        <v>43.000000000000007</v>
      </c>
      <c r="AB129" s="255">
        <f t="shared" si="56"/>
        <v>47</v>
      </c>
      <c r="AC129" s="255">
        <f t="shared" si="56"/>
        <v>42.000000000000007</v>
      </c>
      <c r="AD129" s="255">
        <f t="shared" si="56"/>
        <v>54.000000000000007</v>
      </c>
      <c r="AE129" s="255">
        <f t="shared" si="56"/>
        <v>60.000000000000007</v>
      </c>
      <c r="AF129" s="255">
        <f t="shared" si="67"/>
        <v>63.994627094793401</v>
      </c>
      <c r="AG129" s="255">
        <f t="shared" si="67"/>
        <v>65</v>
      </c>
      <c r="AH129" s="255">
        <f t="shared" si="67"/>
        <v>19</v>
      </c>
      <c r="AI129" s="256">
        <f t="shared" si="60"/>
        <v>42.082885591232781</v>
      </c>
      <c r="AJ129" s="255">
        <f>+IFERROR(VLOOKUP($C129,'Kitsap Regulated - Price Out'!$C$90:$AG$111,31,FALSE),0)</f>
        <v>6.5</v>
      </c>
      <c r="AR129" s="257">
        <f>+IFERROR(VLOOKUP($C129,'[41]Kitsap Regulated - Price Out'!$C$90:$S$112,17,FALSE),0)</f>
        <v>6080.880000000001</v>
      </c>
      <c r="AS129" s="257">
        <f t="shared" si="61"/>
        <v>45481.340000000011</v>
      </c>
      <c r="AT129" s="258">
        <f t="shared" si="62"/>
        <v>82.054427523692468</v>
      </c>
      <c r="AU129" s="259">
        <f t="shared" si="63"/>
        <v>47837.290375651835</v>
      </c>
      <c r="AV129" s="259">
        <f t="shared" si="64"/>
        <v>2355.9503756518243</v>
      </c>
      <c r="AW129" s="260">
        <f t="shared" si="65"/>
        <v>5.251959368512666E-2</v>
      </c>
    </row>
    <row r="130" spans="1:49" s="223" customFormat="1" ht="12">
      <c r="A130" s="223" t="str">
        <f t="shared" si="57"/>
        <v>MASON CO-REGULATEDRolloffROMILE</v>
      </c>
      <c r="B130" s="223">
        <f t="shared" si="54"/>
        <v>1</v>
      </c>
      <c r="C130" s="252" t="s">
        <v>383</v>
      </c>
      <c r="D130" s="252" t="s">
        <v>384</v>
      </c>
      <c r="E130" s="253">
        <v>2.4300000000000002</v>
      </c>
      <c r="F130" s="253">
        <v>2.4300000000000002</v>
      </c>
      <c r="G130" s="253">
        <v>2.44</v>
      </c>
      <c r="H130" s="254"/>
      <c r="I130" s="255">
        <v>848.07</v>
      </c>
      <c r="J130" s="255">
        <v>1081.3500000000001</v>
      </c>
      <c r="K130" s="255">
        <v>748.44</v>
      </c>
      <c r="L130" s="255">
        <v>1251.45</v>
      </c>
      <c r="M130" s="255">
        <v>1312.2</v>
      </c>
      <c r="N130" s="255">
        <v>1389.96</v>
      </c>
      <c r="O130" s="255">
        <v>1256.31</v>
      </c>
      <c r="P130" s="255">
        <v>1866.24</v>
      </c>
      <c r="Q130" s="255">
        <v>2714.31</v>
      </c>
      <c r="R130" s="255">
        <v>3673.99</v>
      </c>
      <c r="S130" s="255">
        <v>3220.7999999999997</v>
      </c>
      <c r="T130" s="255">
        <v>2281.4</v>
      </c>
      <c r="U130" s="255">
        <f t="shared" si="58"/>
        <v>21644.52</v>
      </c>
      <c r="V130" s="255"/>
      <c r="W130" s="255">
        <f t="shared" si="55"/>
        <v>349</v>
      </c>
      <c r="X130" s="255">
        <f t="shared" si="56"/>
        <v>445</v>
      </c>
      <c r="Y130" s="255">
        <f t="shared" si="56"/>
        <v>308</v>
      </c>
      <c r="Z130" s="255">
        <f t="shared" si="56"/>
        <v>515</v>
      </c>
      <c r="AA130" s="255">
        <f t="shared" si="56"/>
        <v>540</v>
      </c>
      <c r="AB130" s="255">
        <f t="shared" si="56"/>
        <v>572</v>
      </c>
      <c r="AC130" s="255">
        <f t="shared" si="56"/>
        <v>517</v>
      </c>
      <c r="AD130" s="255">
        <f t="shared" si="56"/>
        <v>768</v>
      </c>
      <c r="AE130" s="255">
        <f t="shared" si="56"/>
        <v>1117</v>
      </c>
      <c r="AF130" s="255">
        <f t="shared" si="67"/>
        <v>1505.733606557377</v>
      </c>
      <c r="AG130" s="255">
        <f t="shared" si="67"/>
        <v>1320</v>
      </c>
      <c r="AH130" s="255">
        <f t="shared" si="67"/>
        <v>935.00000000000011</v>
      </c>
      <c r="AI130" s="256">
        <f t="shared" si="60"/>
        <v>740.97780054644818</v>
      </c>
      <c r="AJ130" s="255">
        <f>+IFERROR(VLOOKUP($C130,'Kitsap Regulated - Price Out'!$C$90:$AG$111,31,FALSE),0)</f>
        <v>278.55246913580248</v>
      </c>
      <c r="AR130" s="257">
        <f>+IFERROR(VLOOKUP($C130,'[41]Kitsap Regulated - Price Out'!$C$90:$S$112,17,FALSE),0)</f>
        <v>8122.5899999999992</v>
      </c>
      <c r="AS130" s="257">
        <f t="shared" si="61"/>
        <v>29767.11</v>
      </c>
      <c r="AT130" s="258">
        <f t="shared" si="62"/>
        <v>2.5612486012256568</v>
      </c>
      <c r="AU130" s="259">
        <f t="shared" si="63"/>
        <v>31335.245725570574</v>
      </c>
      <c r="AV130" s="259">
        <f t="shared" si="64"/>
        <v>1568.1357255705734</v>
      </c>
      <c r="AW130" s="260">
        <f t="shared" si="65"/>
        <v>5.4011770051710539E-2</v>
      </c>
    </row>
    <row r="131" spans="1:49" s="223" customFormat="1" ht="12">
      <c r="A131" s="223" t="str">
        <f t="shared" si="57"/>
        <v>MASON CO-REGULATEDRolloffWASHOUT</v>
      </c>
      <c r="B131" s="223">
        <f t="shared" si="54"/>
        <v>1</v>
      </c>
      <c r="C131" s="252" t="s">
        <v>385</v>
      </c>
      <c r="D131" s="252" t="s">
        <v>386</v>
      </c>
      <c r="E131" s="253">
        <v>10.11</v>
      </c>
      <c r="F131" s="253">
        <v>10.11</v>
      </c>
      <c r="G131" s="253">
        <v>10.14</v>
      </c>
      <c r="H131" s="254"/>
      <c r="I131" s="255">
        <v>0</v>
      </c>
      <c r="J131" s="255">
        <v>0</v>
      </c>
      <c r="K131" s="255">
        <v>10.62</v>
      </c>
      <c r="L131" s="255">
        <v>0</v>
      </c>
      <c r="M131" s="255">
        <v>0</v>
      </c>
      <c r="N131" s="255">
        <v>0</v>
      </c>
      <c r="O131" s="255">
        <v>0</v>
      </c>
      <c r="P131" s="255">
        <v>0</v>
      </c>
      <c r="Q131" s="255">
        <v>31.349999999999998</v>
      </c>
      <c r="R131" s="255">
        <v>42.6</v>
      </c>
      <c r="S131" s="255">
        <v>30.42</v>
      </c>
      <c r="T131" s="255">
        <v>0</v>
      </c>
      <c r="U131" s="255">
        <f t="shared" si="58"/>
        <v>114.99</v>
      </c>
      <c r="V131" s="255"/>
      <c r="W131" s="255">
        <f t="shared" si="55"/>
        <v>0</v>
      </c>
      <c r="X131" s="255">
        <f t="shared" si="56"/>
        <v>0</v>
      </c>
      <c r="Y131" s="255">
        <f t="shared" si="56"/>
        <v>1.0504451038575668</v>
      </c>
      <c r="Z131" s="255">
        <f t="shared" si="56"/>
        <v>0</v>
      </c>
      <c r="AA131" s="255">
        <f t="shared" si="56"/>
        <v>0</v>
      </c>
      <c r="AB131" s="255">
        <f t="shared" si="56"/>
        <v>0</v>
      </c>
      <c r="AC131" s="255">
        <f t="shared" si="56"/>
        <v>0</v>
      </c>
      <c r="AD131" s="255">
        <f t="shared" si="56"/>
        <v>0</v>
      </c>
      <c r="AE131" s="255">
        <f t="shared" si="56"/>
        <v>3.1008902077151337</v>
      </c>
      <c r="AF131" s="255">
        <f t="shared" si="67"/>
        <v>4.2011834319526624</v>
      </c>
      <c r="AG131" s="255">
        <f t="shared" si="67"/>
        <v>3</v>
      </c>
      <c r="AH131" s="255">
        <f t="shared" si="67"/>
        <v>0</v>
      </c>
      <c r="AI131" s="256">
        <f t="shared" si="60"/>
        <v>0.94604322862711354</v>
      </c>
      <c r="AJ131" s="255">
        <f>+IFERROR(VLOOKUP($C131,'Kitsap Regulated - Price Out'!$C$90:$AG$111,31,FALSE),0)</f>
        <v>0</v>
      </c>
      <c r="AR131" s="257">
        <f>+IFERROR(VLOOKUP($C131,'[41]Kitsap Regulated - Price Out'!$C$90:$S$112,17,FALSE),0)</f>
        <v>0</v>
      </c>
      <c r="AS131" s="257">
        <f t="shared" si="61"/>
        <v>114.99</v>
      </c>
      <c r="AT131" s="258">
        <f t="shared" si="62"/>
        <v>10.643877383782034</v>
      </c>
      <c r="AU131" s="259">
        <f t="shared" si="63"/>
        <v>120.83481750317125</v>
      </c>
      <c r="AV131" s="259">
        <f t="shared" si="64"/>
        <v>5.8448175031712566</v>
      </c>
      <c r="AW131" s="260">
        <f t="shared" si="65"/>
        <v>5.2806862886452435E-2</v>
      </c>
    </row>
    <row r="132" spans="1:49" s="223" customFormat="1" ht="12">
      <c r="A132" s="223" t="str">
        <f t="shared" si="57"/>
        <v>MASON CO-REGULATEDRolloffSP</v>
      </c>
      <c r="B132" s="223">
        <f t="shared" si="54"/>
        <v>1</v>
      </c>
      <c r="C132" s="252" t="s">
        <v>387</v>
      </c>
      <c r="D132" s="252" t="s">
        <v>388</v>
      </c>
      <c r="E132" s="253">
        <v>151.68</v>
      </c>
      <c r="F132" s="253">
        <v>151.68</v>
      </c>
      <c r="G132" s="253">
        <v>152.09</v>
      </c>
      <c r="H132" s="254"/>
      <c r="I132" s="255">
        <v>303.36</v>
      </c>
      <c r="J132" s="255">
        <v>0</v>
      </c>
      <c r="K132" s="255">
        <v>0</v>
      </c>
      <c r="L132" s="255">
        <v>0</v>
      </c>
      <c r="M132" s="255">
        <v>0</v>
      </c>
      <c r="N132" s="255">
        <v>303.36</v>
      </c>
      <c r="O132" s="255">
        <v>0</v>
      </c>
      <c r="P132" s="255">
        <v>0</v>
      </c>
      <c r="Q132" s="255">
        <v>0</v>
      </c>
      <c r="R132" s="255">
        <v>0</v>
      </c>
      <c r="S132" s="255">
        <v>0</v>
      </c>
      <c r="T132" s="255">
        <v>0</v>
      </c>
      <c r="U132" s="255">
        <f t="shared" si="58"/>
        <v>606.72</v>
      </c>
      <c r="V132" s="255"/>
      <c r="W132" s="255">
        <f t="shared" si="55"/>
        <v>2</v>
      </c>
      <c r="X132" s="255">
        <f t="shared" si="56"/>
        <v>0</v>
      </c>
      <c r="Y132" s="255">
        <f t="shared" si="56"/>
        <v>0</v>
      </c>
      <c r="Z132" s="255">
        <f t="shared" si="56"/>
        <v>0</v>
      </c>
      <c r="AA132" s="255">
        <f t="shared" si="56"/>
        <v>0</v>
      </c>
      <c r="AB132" s="255">
        <f t="shared" si="56"/>
        <v>2</v>
      </c>
      <c r="AC132" s="255">
        <f t="shared" si="56"/>
        <v>0</v>
      </c>
      <c r="AD132" s="255">
        <f t="shared" si="56"/>
        <v>0</v>
      </c>
      <c r="AE132" s="255">
        <f t="shared" si="56"/>
        <v>0</v>
      </c>
      <c r="AF132" s="255">
        <f t="shared" si="67"/>
        <v>0</v>
      </c>
      <c r="AG132" s="255">
        <f t="shared" si="67"/>
        <v>0</v>
      </c>
      <c r="AH132" s="255">
        <f t="shared" si="67"/>
        <v>0</v>
      </c>
      <c r="AI132" s="256">
        <f t="shared" si="60"/>
        <v>0.33333333333333331</v>
      </c>
      <c r="AJ132" s="255">
        <f>+IFERROR(VLOOKUP($C132,'Kitsap Regulated - Price Out'!$C$90:$AG$111,31,FALSE),0)</f>
        <v>8.3333333333333329E-2</v>
      </c>
      <c r="AR132" s="257">
        <f>+IFERROR(VLOOKUP($C132,'[41]Kitsap Regulated - Price Out'!$C$90:$S$112,17,FALSE),0)</f>
        <v>151.68</v>
      </c>
      <c r="AS132" s="257">
        <f t="shared" si="61"/>
        <v>758.40000000000009</v>
      </c>
      <c r="AT132" s="258">
        <f t="shared" si="62"/>
        <v>159.64766383623368</v>
      </c>
      <c r="AU132" s="259">
        <f t="shared" si="63"/>
        <v>798.23831918116844</v>
      </c>
      <c r="AV132" s="259">
        <f t="shared" si="64"/>
        <v>39.838319181168345</v>
      </c>
      <c r="AW132" s="260">
        <f t="shared" si="65"/>
        <v>5.252942930006374E-2</v>
      </c>
    </row>
    <row r="133" spans="1:49" ht="12">
      <c r="C133" s="272"/>
      <c r="D133" s="272"/>
      <c r="E133" s="254"/>
      <c r="F133" s="254"/>
      <c r="G133" s="254"/>
      <c r="H133" s="254"/>
      <c r="I133" s="255"/>
      <c r="J133" s="255"/>
      <c r="K133" s="255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55"/>
      <c r="AI133" s="223"/>
      <c r="AJ133" s="255"/>
      <c r="AK133" s="269" t="s">
        <v>389</v>
      </c>
      <c r="AL133" s="269">
        <f>+SUM(AP122:AP127)</f>
        <v>82</v>
      </c>
      <c r="AR133" s="242"/>
      <c r="AS133" s="242"/>
      <c r="AU133" s="271"/>
      <c r="AV133" s="271"/>
    </row>
    <row r="134" spans="1:49" ht="12">
      <c r="B134" s="224">
        <f>COUNTIF(C:C,C134)</f>
        <v>0</v>
      </c>
      <c r="C134" s="272"/>
      <c r="D134" s="273" t="s">
        <v>111</v>
      </c>
      <c r="E134" s="254"/>
      <c r="F134" s="254"/>
      <c r="G134" s="254"/>
      <c r="H134" s="254"/>
      <c r="I134" s="274">
        <f t="shared" ref="I134:U134" si="68">SUM(I109:I133)</f>
        <v>22965.920000000006</v>
      </c>
      <c r="J134" s="274">
        <f t="shared" si="68"/>
        <v>23978.58</v>
      </c>
      <c r="K134" s="274">
        <f t="shared" si="68"/>
        <v>23936.649999999994</v>
      </c>
      <c r="L134" s="274">
        <f t="shared" si="68"/>
        <v>27271.399999999998</v>
      </c>
      <c r="M134" s="274">
        <f t="shared" si="68"/>
        <v>29512.719999999998</v>
      </c>
      <c r="N134" s="274">
        <f t="shared" si="68"/>
        <v>32350.659999999996</v>
      </c>
      <c r="O134" s="274">
        <f t="shared" si="68"/>
        <v>29286.789999999997</v>
      </c>
      <c r="P134" s="274">
        <f t="shared" si="68"/>
        <v>33480.439999999995</v>
      </c>
      <c r="Q134" s="274">
        <f t="shared" si="68"/>
        <v>40176.07</v>
      </c>
      <c r="R134" s="274">
        <f t="shared" si="68"/>
        <v>46362.49</v>
      </c>
      <c r="S134" s="274">
        <f t="shared" si="68"/>
        <v>49629.88</v>
      </c>
      <c r="T134" s="274">
        <f t="shared" si="68"/>
        <v>35592.86</v>
      </c>
      <c r="U134" s="274">
        <f t="shared" si="68"/>
        <v>394544.45999999996</v>
      </c>
      <c r="V134" s="277">
        <f>U134-SUM(I134:T134)</f>
        <v>0</v>
      </c>
      <c r="W134" s="275">
        <f t="shared" ref="W134:AJ134" si="69">+SUM(W122:W127)</f>
        <v>48.233333333333334</v>
      </c>
      <c r="X134" s="275">
        <f t="shared" si="69"/>
        <v>53.452024403771489</v>
      </c>
      <c r="Y134" s="275">
        <f t="shared" si="69"/>
        <v>51.199999999999996</v>
      </c>
      <c r="Z134" s="275">
        <f t="shared" si="69"/>
        <v>54.466736085397841</v>
      </c>
      <c r="AA134" s="275">
        <f t="shared" si="69"/>
        <v>59.000439733372616</v>
      </c>
      <c r="AB134" s="275">
        <f t="shared" si="69"/>
        <v>64.545257903494175</v>
      </c>
      <c r="AC134" s="275">
        <f t="shared" si="69"/>
        <v>61.233333333333327</v>
      </c>
      <c r="AD134" s="275">
        <f t="shared" si="69"/>
        <v>56.697887539121204</v>
      </c>
      <c r="AE134" s="275">
        <f t="shared" si="69"/>
        <v>83.58707709373266</v>
      </c>
      <c r="AF134" s="275">
        <f t="shared" si="69"/>
        <v>92.245978924015532</v>
      </c>
      <c r="AG134" s="275">
        <f t="shared" si="69"/>
        <v>93.668607875762618</v>
      </c>
      <c r="AH134" s="275">
        <f t="shared" si="69"/>
        <v>82</v>
      </c>
      <c r="AI134" s="275">
        <f t="shared" si="69"/>
        <v>66.69422301877789</v>
      </c>
      <c r="AJ134" s="275">
        <f t="shared" si="69"/>
        <v>10.988810186606051</v>
      </c>
      <c r="AR134" s="274">
        <f>SUM(AR109:AR133)</f>
        <v>78344.37999999999</v>
      </c>
      <c r="AS134" s="274">
        <f>SUM(AS109:AS133)</f>
        <v>472888.84</v>
      </c>
      <c r="AU134" s="276">
        <f>SUM(AU109:AU133)</f>
        <v>497085.6913411803</v>
      </c>
      <c r="AV134" s="276">
        <f>SUM(AV109:AV133)</f>
        <v>24196.851341180234</v>
      </c>
      <c r="AW134" s="277"/>
    </row>
    <row r="135" spans="1:49" ht="12">
      <c r="C135" s="272"/>
      <c r="D135" s="272"/>
      <c r="E135" s="254"/>
      <c r="F135" s="254"/>
      <c r="G135" s="254"/>
      <c r="H135" s="254"/>
      <c r="I135" s="255"/>
      <c r="J135" s="255"/>
      <c r="K135" s="255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55"/>
      <c r="AI135" s="223"/>
      <c r="AJ135" s="255"/>
      <c r="AR135" s="242">
        <f>+AR134-'[41]Kitsap Regulated - Price Out'!S113</f>
        <v>0</v>
      </c>
      <c r="AS135" s="242"/>
      <c r="AU135" s="271"/>
      <c r="AV135" s="280">
        <f>+AU134-U134-AR134-AV134</f>
        <v>1.0913936421275139E-10</v>
      </c>
    </row>
    <row r="136" spans="1:49" ht="12">
      <c r="E136" s="254"/>
      <c r="F136" s="254"/>
      <c r="G136" s="254"/>
      <c r="H136" s="253"/>
      <c r="I136" s="256"/>
      <c r="J136" s="256"/>
      <c r="K136" s="256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55"/>
      <c r="AI136" s="223"/>
      <c r="AJ136" s="255"/>
      <c r="AR136" s="242"/>
      <c r="AS136" s="242"/>
      <c r="AU136" s="271"/>
      <c r="AV136" s="271"/>
    </row>
    <row r="137" spans="1:49" ht="12">
      <c r="B137" s="224">
        <f>COUNTIF(C:C,C137)</f>
        <v>1</v>
      </c>
      <c r="C137" s="282" t="s">
        <v>112</v>
      </c>
      <c r="D137" s="282" t="s">
        <v>112</v>
      </c>
      <c r="E137" s="254"/>
      <c r="F137" s="254"/>
      <c r="G137" s="254"/>
      <c r="H137" s="254"/>
      <c r="I137" s="255"/>
      <c r="J137" s="255"/>
      <c r="K137" s="255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W137" s="279">
        <f t="shared" ref="W137:W142" si="70">IFERROR(I137/$E137,0)</f>
        <v>0</v>
      </c>
      <c r="X137" s="279">
        <f t="shared" ref="X137:AH142" si="71">IFERROR(J137/$F137,0)</f>
        <v>0</v>
      </c>
      <c r="Y137" s="279">
        <f t="shared" si="71"/>
        <v>0</v>
      </c>
      <c r="Z137" s="279">
        <f t="shared" si="71"/>
        <v>0</v>
      </c>
      <c r="AA137" s="279">
        <f t="shared" si="71"/>
        <v>0</v>
      </c>
      <c r="AB137" s="279">
        <f t="shared" si="71"/>
        <v>0</v>
      </c>
      <c r="AC137" s="279">
        <f t="shared" si="71"/>
        <v>0</v>
      </c>
      <c r="AD137" s="279">
        <f t="shared" si="71"/>
        <v>0</v>
      </c>
      <c r="AE137" s="279">
        <f t="shared" si="71"/>
        <v>0</v>
      </c>
      <c r="AF137" s="255">
        <f t="shared" ref="AF137:AH140" si="72">IFERROR(R137/$G137,0)</f>
        <v>0</v>
      </c>
      <c r="AG137" s="255">
        <f t="shared" si="72"/>
        <v>0</v>
      </c>
      <c r="AH137" s="255">
        <f t="shared" si="72"/>
        <v>0</v>
      </c>
      <c r="AI137" s="256">
        <f t="shared" ref="AI137:AI140" si="73">AVERAGE(W137:AH137)</f>
        <v>0</v>
      </c>
      <c r="AJ137" s="255"/>
      <c r="AR137" s="242"/>
      <c r="AS137" s="242"/>
      <c r="AU137" s="271"/>
      <c r="AV137" s="271"/>
    </row>
    <row r="138" spans="1:49" s="223" customFormat="1" ht="12">
      <c r="A138" s="224" t="str">
        <f>$A$1&amp;"Rolloff"&amp;C138</f>
        <v>MASON CO-REGULATEDRolloffDISPMC-TON</v>
      </c>
      <c r="B138" s="224">
        <f>COUNTIF(C:C,C138)</f>
        <v>1</v>
      </c>
      <c r="C138" s="252" t="s">
        <v>390</v>
      </c>
      <c r="D138" s="252" t="s">
        <v>391</v>
      </c>
      <c r="E138" s="253">
        <v>99.52</v>
      </c>
      <c r="F138" s="253">
        <v>102.31</v>
      </c>
      <c r="G138" s="253"/>
      <c r="H138" s="254"/>
      <c r="I138" s="255">
        <v>29906.83</v>
      </c>
      <c r="J138" s="255">
        <v>37599.97</v>
      </c>
      <c r="K138" s="255">
        <v>32177.57</v>
      </c>
      <c r="L138" s="255">
        <v>35449.480000000003</v>
      </c>
      <c r="M138" s="255">
        <v>33951.329999999994</v>
      </c>
      <c r="N138" s="255">
        <v>39410.94</v>
      </c>
      <c r="O138" s="255">
        <v>30371.019999999997</v>
      </c>
      <c r="P138" s="255">
        <v>41604.639999999999</v>
      </c>
      <c r="Q138" s="255">
        <v>37390.31</v>
      </c>
      <c r="R138" s="255">
        <v>44323.040000000001</v>
      </c>
      <c r="S138" s="255">
        <v>56375.93</v>
      </c>
      <c r="T138" s="255">
        <v>37347.519999999997</v>
      </c>
      <c r="U138" s="279">
        <f>SUM(I138:T138)</f>
        <v>455908.57999999996</v>
      </c>
      <c r="V138" s="279"/>
      <c r="W138" s="279">
        <f t="shared" si="70"/>
        <v>300.51075160771705</v>
      </c>
      <c r="X138" s="279">
        <f t="shared" si="71"/>
        <v>367.51021405532208</v>
      </c>
      <c r="Y138" s="279">
        <f t="shared" si="71"/>
        <v>314.51050728179064</v>
      </c>
      <c r="Z138" s="279">
        <f t="shared" si="71"/>
        <v>346.49086110839607</v>
      </c>
      <c r="AA138" s="279">
        <f t="shared" si="71"/>
        <v>331.84761997849665</v>
      </c>
      <c r="AB138" s="279">
        <f t="shared" si="71"/>
        <v>385.21102531521848</v>
      </c>
      <c r="AC138" s="279">
        <f t="shared" si="71"/>
        <v>296.85289805493107</v>
      </c>
      <c r="AD138" s="279">
        <f t="shared" si="71"/>
        <v>406.65272211904994</v>
      </c>
      <c r="AE138" s="279">
        <f t="shared" si="71"/>
        <v>365.46095200860128</v>
      </c>
      <c r="AF138" s="255">
        <f t="shared" si="72"/>
        <v>0</v>
      </c>
      <c r="AG138" s="255">
        <f t="shared" si="72"/>
        <v>0</v>
      </c>
      <c r="AH138" s="255">
        <f t="shared" si="72"/>
        <v>0</v>
      </c>
      <c r="AI138" s="256">
        <f t="shared" si="73"/>
        <v>259.5872959607936</v>
      </c>
      <c r="AJ138" s="255">
        <f>+IFERROR(VLOOKUP($C138,'Kitsap Regulated - Price Out'!$C$116:$AG$118,31,FALSE),0)</f>
        <v>42.313638288860652</v>
      </c>
      <c r="AK138" s="224"/>
      <c r="AL138" s="224"/>
      <c r="AM138" s="224"/>
      <c r="AN138" s="224"/>
      <c r="AO138" s="224"/>
      <c r="AP138" s="224"/>
      <c r="AQ138" s="224"/>
      <c r="AR138" s="257">
        <f>+IFERROR(VLOOKUP($C138,'[41]Kitsap Regulated - Price Out'!$C$116:$S$118,17,FALSE),0)</f>
        <v>51949.3</v>
      </c>
      <c r="AS138" s="257">
        <f t="shared" ref="AS138:AS140" si="74">U138+AR138</f>
        <v>507857.87999999995</v>
      </c>
      <c r="AT138" s="258">
        <f t="shared" ref="AT138:AT140" si="75">+IFERROR($G138*(1+$AW$1),0)</f>
        <v>0</v>
      </c>
      <c r="AU138" s="259">
        <f t="shared" ref="AU138:AU140" si="76">+$AT138*(AI138+AJ138)*12</f>
        <v>0</v>
      </c>
      <c r="AV138" s="259">
        <v>0</v>
      </c>
      <c r="AW138" s="260">
        <f>+IFERROR((AT138-F138)/F138,0)</f>
        <v>-1</v>
      </c>
    </row>
    <row r="139" spans="1:49" s="223" customFormat="1" ht="12">
      <c r="A139" s="224" t="str">
        <f>$A$1&amp;"Rolloff"&amp;C139</f>
        <v>MASON CO-REGULATEDRolloffDISPOLY-TON</v>
      </c>
      <c r="B139" s="224">
        <f>COUNTIF(C:C,C139)</f>
        <v>1</v>
      </c>
      <c r="C139" s="252" t="s">
        <v>392</v>
      </c>
      <c r="D139" s="252" t="s">
        <v>393</v>
      </c>
      <c r="E139" s="253">
        <v>71</v>
      </c>
      <c r="F139" s="253">
        <v>71</v>
      </c>
      <c r="G139" s="253"/>
      <c r="H139" s="254"/>
      <c r="I139" s="255">
        <v>0</v>
      </c>
      <c r="J139" s="255">
        <v>0</v>
      </c>
      <c r="K139" s="255">
        <v>0</v>
      </c>
      <c r="L139" s="255">
        <v>0</v>
      </c>
      <c r="M139" s="255">
        <v>0</v>
      </c>
      <c r="N139" s="255">
        <v>0</v>
      </c>
      <c r="O139" s="255">
        <v>0</v>
      </c>
      <c r="P139" s="255">
        <v>0</v>
      </c>
      <c r="Q139" s="255">
        <v>0</v>
      </c>
      <c r="R139" s="255">
        <v>0</v>
      </c>
      <c r="S139" s="255">
        <v>0</v>
      </c>
      <c r="T139" s="255">
        <v>0</v>
      </c>
      <c r="U139" s="279">
        <f>SUM(I139:T139)</f>
        <v>0</v>
      </c>
      <c r="V139" s="279"/>
      <c r="W139" s="279">
        <f t="shared" si="70"/>
        <v>0</v>
      </c>
      <c r="X139" s="279">
        <f t="shared" si="71"/>
        <v>0</v>
      </c>
      <c r="Y139" s="279">
        <f t="shared" si="71"/>
        <v>0</v>
      </c>
      <c r="Z139" s="279">
        <f t="shared" si="71"/>
        <v>0</v>
      </c>
      <c r="AA139" s="279">
        <f t="shared" si="71"/>
        <v>0</v>
      </c>
      <c r="AB139" s="279">
        <f t="shared" si="71"/>
        <v>0</v>
      </c>
      <c r="AC139" s="279">
        <f t="shared" si="71"/>
        <v>0</v>
      </c>
      <c r="AD139" s="279">
        <f t="shared" si="71"/>
        <v>0</v>
      </c>
      <c r="AE139" s="279">
        <f t="shared" si="71"/>
        <v>0</v>
      </c>
      <c r="AF139" s="255">
        <f t="shared" si="72"/>
        <v>0</v>
      </c>
      <c r="AG139" s="255">
        <f t="shared" si="72"/>
        <v>0</v>
      </c>
      <c r="AH139" s="255">
        <f t="shared" si="72"/>
        <v>0</v>
      </c>
      <c r="AI139" s="256">
        <f t="shared" si="73"/>
        <v>0</v>
      </c>
      <c r="AJ139" s="255">
        <f>+IFERROR(VLOOKUP($C139,'Kitsap Regulated - Price Out'!$C$116:$AG$118,31,FALSE),0)</f>
        <v>43.207583333333332</v>
      </c>
      <c r="AK139" s="224"/>
      <c r="AL139" s="224"/>
      <c r="AM139" s="224"/>
      <c r="AN139" s="224"/>
      <c r="AO139" s="224"/>
      <c r="AP139" s="224"/>
      <c r="AQ139" s="224"/>
      <c r="AR139" s="257">
        <f>+IFERROR(VLOOKUP($C139,'[41]Kitsap Regulated - Price Out'!$C$116:$S$118,17,FALSE),0)</f>
        <v>41479.279999999999</v>
      </c>
      <c r="AS139" s="257">
        <f t="shared" si="74"/>
        <v>41479.279999999999</v>
      </c>
      <c r="AT139" s="258">
        <f t="shared" si="75"/>
        <v>0</v>
      </c>
      <c r="AU139" s="259">
        <f t="shared" si="76"/>
        <v>0</v>
      </c>
      <c r="AV139" s="259">
        <v>0</v>
      </c>
      <c r="AW139" s="260">
        <f>+IFERROR((AT139-F139)/F139,0)</f>
        <v>-1</v>
      </c>
    </row>
    <row r="140" spans="1:49" s="223" customFormat="1" ht="12">
      <c r="A140" s="224" t="str">
        <f>$A$1&amp;"Rolloff"&amp;C140</f>
        <v>MASON CO-REGULATEDRolloffDISPMCMISC</v>
      </c>
      <c r="B140" s="224">
        <f>COUNTIF(C:C,C140)</f>
        <v>1</v>
      </c>
      <c r="C140" s="272" t="s">
        <v>394</v>
      </c>
      <c r="D140" s="252" t="s">
        <v>395</v>
      </c>
      <c r="E140" s="253">
        <v>0</v>
      </c>
      <c r="F140" s="253"/>
      <c r="G140" s="253"/>
      <c r="H140" s="254"/>
      <c r="I140" s="255">
        <v>314.12</v>
      </c>
      <c r="J140" s="255">
        <v>141.19999999999999</v>
      </c>
      <c r="K140" s="255">
        <v>200.3</v>
      </c>
      <c r="L140" s="255">
        <v>246.42</v>
      </c>
      <c r="M140" s="255">
        <v>504.76</v>
      </c>
      <c r="N140" s="255">
        <v>283.38</v>
      </c>
      <c r="O140" s="255">
        <v>301.60000000000002</v>
      </c>
      <c r="P140" s="255">
        <v>363.65999999999997</v>
      </c>
      <c r="Q140" s="255">
        <v>710.1</v>
      </c>
      <c r="R140" s="255">
        <v>238.06</v>
      </c>
      <c r="S140" s="255">
        <v>143.91999999999999</v>
      </c>
      <c r="T140" s="255">
        <v>126.16</v>
      </c>
      <c r="U140" s="279">
        <f>SUM(I140:T140)</f>
        <v>3573.6799999999994</v>
      </c>
      <c r="V140" s="279"/>
      <c r="W140" s="279">
        <f t="shared" si="70"/>
        <v>0</v>
      </c>
      <c r="X140" s="279">
        <f t="shared" si="71"/>
        <v>0</v>
      </c>
      <c r="Y140" s="279">
        <f t="shared" si="71"/>
        <v>0</v>
      </c>
      <c r="Z140" s="279">
        <f t="shared" si="71"/>
        <v>0</v>
      </c>
      <c r="AA140" s="279">
        <f t="shared" si="71"/>
        <v>0</v>
      </c>
      <c r="AB140" s="279">
        <f t="shared" si="71"/>
        <v>0</v>
      </c>
      <c r="AC140" s="279">
        <f t="shared" si="71"/>
        <v>0</v>
      </c>
      <c r="AD140" s="279">
        <f t="shared" si="71"/>
        <v>0</v>
      </c>
      <c r="AE140" s="279">
        <f t="shared" si="71"/>
        <v>0</v>
      </c>
      <c r="AF140" s="255">
        <f t="shared" si="72"/>
        <v>0</v>
      </c>
      <c r="AG140" s="255">
        <f t="shared" si="72"/>
        <v>0</v>
      </c>
      <c r="AH140" s="255">
        <f t="shared" si="72"/>
        <v>0</v>
      </c>
      <c r="AI140" s="256">
        <f t="shared" si="73"/>
        <v>0</v>
      </c>
      <c r="AJ140" s="255">
        <f>+IFERROR(VLOOKUP($C140,'Kitsap Regulated - Price Out'!$C$116:$AG$118,31,FALSE),0)</f>
        <v>0</v>
      </c>
      <c r="AK140" s="224"/>
      <c r="AL140" s="224"/>
      <c r="AM140" s="224"/>
      <c r="AN140" s="224"/>
      <c r="AO140" s="224"/>
      <c r="AP140" s="224"/>
      <c r="AQ140" s="224"/>
      <c r="AR140" s="257">
        <f>+IFERROR(VLOOKUP($C140,'[41]Kitsap Regulated - Price Out'!$C$116:$S$118,17,FALSE),0)</f>
        <v>401.38</v>
      </c>
      <c r="AS140" s="257">
        <f t="shared" si="74"/>
        <v>3975.0599999999995</v>
      </c>
      <c r="AT140" s="258">
        <f t="shared" si="75"/>
        <v>0</v>
      </c>
      <c r="AU140" s="259">
        <f t="shared" si="76"/>
        <v>0</v>
      </c>
      <c r="AV140" s="259">
        <v>0</v>
      </c>
      <c r="AW140" s="260">
        <f>+IFERROR((AT140-F140)/F140,0)</f>
        <v>0</v>
      </c>
    </row>
    <row r="141" spans="1:49" s="223" customFormat="1" ht="12">
      <c r="A141" s="224"/>
      <c r="B141" s="224"/>
      <c r="C141" s="252"/>
      <c r="D141" s="252"/>
      <c r="E141" s="253"/>
      <c r="F141" s="253"/>
      <c r="G141" s="253"/>
      <c r="H141" s="254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55"/>
      <c r="AJ141" s="255"/>
      <c r="AK141" s="224"/>
      <c r="AL141" s="224"/>
      <c r="AM141" s="224"/>
      <c r="AN141" s="224"/>
      <c r="AO141" s="224"/>
      <c r="AP141" s="224"/>
      <c r="AQ141" s="224"/>
      <c r="AR141" s="256"/>
      <c r="AS141" s="256"/>
      <c r="AT141" s="253"/>
      <c r="AU141" s="289"/>
      <c r="AV141" s="289"/>
      <c r="AW141" s="260"/>
    </row>
    <row r="142" spans="1:49" ht="12">
      <c r="B142" s="224">
        <f>COUNTIF(C:C,C142)</f>
        <v>0</v>
      </c>
      <c r="C142" s="272"/>
      <c r="D142" s="273" t="s">
        <v>113</v>
      </c>
      <c r="E142" s="254"/>
      <c r="F142" s="254"/>
      <c r="G142" s="254"/>
      <c r="H142" s="253"/>
      <c r="I142" s="274">
        <f t="shared" ref="I142:U142" si="77">SUM(I138:I141)</f>
        <v>30220.95</v>
      </c>
      <c r="J142" s="274">
        <f t="shared" si="77"/>
        <v>37741.17</v>
      </c>
      <c r="K142" s="274">
        <f t="shared" si="77"/>
        <v>32377.87</v>
      </c>
      <c r="L142" s="274">
        <f t="shared" si="77"/>
        <v>35695.9</v>
      </c>
      <c r="M142" s="274">
        <f t="shared" si="77"/>
        <v>34456.089999999997</v>
      </c>
      <c r="N142" s="274">
        <f t="shared" si="77"/>
        <v>39694.32</v>
      </c>
      <c r="O142" s="274">
        <f t="shared" si="77"/>
        <v>30672.619999999995</v>
      </c>
      <c r="P142" s="274">
        <f t="shared" si="77"/>
        <v>41968.3</v>
      </c>
      <c r="Q142" s="274">
        <f t="shared" si="77"/>
        <v>38100.409999999996</v>
      </c>
      <c r="R142" s="274">
        <f t="shared" si="77"/>
        <v>44561.1</v>
      </c>
      <c r="S142" s="274">
        <f t="shared" si="77"/>
        <v>56519.85</v>
      </c>
      <c r="T142" s="274">
        <f t="shared" si="77"/>
        <v>37473.68</v>
      </c>
      <c r="U142" s="274">
        <f t="shared" si="77"/>
        <v>459482.25999999995</v>
      </c>
      <c r="V142" s="277">
        <f>U142-SUM(I142:T142)</f>
        <v>0</v>
      </c>
      <c r="W142" s="279">
        <f t="shared" si="70"/>
        <v>0</v>
      </c>
      <c r="X142" s="279">
        <f t="shared" si="71"/>
        <v>0</v>
      </c>
      <c r="Y142" s="279">
        <f t="shared" si="71"/>
        <v>0</v>
      </c>
      <c r="Z142" s="279">
        <f t="shared" si="71"/>
        <v>0</v>
      </c>
      <c r="AA142" s="279">
        <f t="shared" si="71"/>
        <v>0</v>
      </c>
      <c r="AB142" s="279">
        <f t="shared" si="71"/>
        <v>0</v>
      </c>
      <c r="AC142" s="279">
        <f t="shared" si="71"/>
        <v>0</v>
      </c>
      <c r="AD142" s="279">
        <f t="shared" si="71"/>
        <v>0</v>
      </c>
      <c r="AE142" s="279">
        <f t="shared" si="71"/>
        <v>0</v>
      </c>
      <c r="AF142" s="279">
        <f t="shared" si="71"/>
        <v>0</v>
      </c>
      <c r="AG142" s="279">
        <f t="shared" si="71"/>
        <v>0</v>
      </c>
      <c r="AH142" s="255">
        <f t="shared" si="71"/>
        <v>0</v>
      </c>
      <c r="AI142" s="223"/>
      <c r="AJ142" s="255"/>
      <c r="AR142" s="274">
        <f>SUM(AR138:AR141)</f>
        <v>93829.96</v>
      </c>
      <c r="AS142" s="274">
        <f>SUM(AS138:AS141)</f>
        <v>553312.22</v>
      </c>
      <c r="AU142" s="276">
        <f t="shared" ref="AU142:AW142" si="78">SUM(AU138:AU141)</f>
        <v>0</v>
      </c>
      <c r="AV142" s="276">
        <f t="shared" si="78"/>
        <v>0</v>
      </c>
      <c r="AW142" s="296">
        <f t="shared" si="78"/>
        <v>-2</v>
      </c>
    </row>
    <row r="143" spans="1:49" ht="12">
      <c r="C143" s="272"/>
      <c r="E143" s="254"/>
      <c r="F143" s="254"/>
      <c r="G143" s="254"/>
      <c r="H143" s="253"/>
      <c r="I143" s="256"/>
      <c r="J143" s="256"/>
      <c r="K143" s="256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55"/>
      <c r="AI143" s="223"/>
      <c r="AJ143" s="255"/>
      <c r="AR143" s="242">
        <f>+AR142-'[41]Kitsap Regulated - Price Out'!S119</f>
        <v>0</v>
      </c>
      <c r="AS143" s="242"/>
      <c r="AU143" s="271"/>
      <c r="AV143" s="271"/>
    </row>
    <row r="144" spans="1:49" ht="12">
      <c r="E144" s="254"/>
      <c r="F144" s="254"/>
      <c r="G144" s="254"/>
      <c r="H144" s="253"/>
      <c r="I144" s="256"/>
      <c r="J144" s="256"/>
      <c r="K144" s="256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55"/>
      <c r="AI144" s="223"/>
      <c r="AJ144" s="255"/>
      <c r="AR144" s="242"/>
      <c r="AS144" s="242"/>
      <c r="AU144" s="271"/>
      <c r="AV144" s="271"/>
    </row>
    <row r="145" spans="1:48" ht="12">
      <c r="B145" s="224">
        <f>COUNTIF(C:C,C145)</f>
        <v>1</v>
      </c>
      <c r="C145" s="249" t="s">
        <v>138</v>
      </c>
      <c r="D145" s="249" t="s">
        <v>138</v>
      </c>
      <c r="E145" s="254"/>
      <c r="F145" s="254"/>
      <c r="G145" s="254"/>
      <c r="H145" s="253"/>
      <c r="I145" s="255"/>
      <c r="J145" s="256"/>
      <c r="K145" s="256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W145" s="279">
        <f t="shared" ref="W145:AD148" si="79">IFERROR(I145/$F145,0)</f>
        <v>0</v>
      </c>
      <c r="X145" s="279">
        <f t="shared" si="79"/>
        <v>0</v>
      </c>
      <c r="Y145" s="279">
        <f t="shared" si="79"/>
        <v>0</v>
      </c>
      <c r="Z145" s="279">
        <f t="shared" si="79"/>
        <v>0</v>
      </c>
      <c r="AA145" s="279">
        <f t="shared" si="79"/>
        <v>0</v>
      </c>
      <c r="AB145" s="279">
        <f t="shared" si="79"/>
        <v>0</v>
      </c>
      <c r="AC145" s="279">
        <f t="shared" si="79"/>
        <v>0</v>
      </c>
      <c r="AD145" s="279">
        <f t="shared" si="79"/>
        <v>0</v>
      </c>
      <c r="AE145" s="279">
        <f>IFERROR(Q145/#REF!,0)</f>
        <v>0</v>
      </c>
      <c r="AF145" s="279">
        <f>IFERROR(R145/#REF!,0)</f>
        <v>0</v>
      </c>
      <c r="AG145" s="279">
        <f>IFERROR(S145/#REF!,0)</f>
        <v>0</v>
      </c>
      <c r="AH145" s="255">
        <f>IFERROR(T145/#REF!,0)</f>
        <v>0</v>
      </c>
      <c r="AI145" s="223"/>
      <c r="AJ145" s="255"/>
      <c r="AR145" s="242"/>
      <c r="AS145" s="242"/>
      <c r="AU145" s="271"/>
      <c r="AV145" s="271"/>
    </row>
    <row r="146" spans="1:48" ht="12">
      <c r="A146" s="224" t="str">
        <f>$A$1&amp;"ACCOUNTING ADJUSTMENTS"&amp;C146</f>
        <v>MASON CO-REGULATEDACCOUNTING ADJUSTMENTSFINCHG</v>
      </c>
      <c r="B146" s="224">
        <f>COUNTIF(C:C,C146)</f>
        <v>1</v>
      </c>
      <c r="C146" s="252" t="s">
        <v>114</v>
      </c>
      <c r="D146" s="252" t="s">
        <v>139</v>
      </c>
      <c r="E146" s="253">
        <v>1</v>
      </c>
      <c r="F146" s="253">
        <v>1</v>
      </c>
      <c r="G146" s="253"/>
      <c r="H146" s="254"/>
      <c r="I146" s="255">
        <v>198.57</v>
      </c>
      <c r="J146" s="255">
        <v>634.89</v>
      </c>
      <c r="K146" s="255">
        <v>239.54000000000002</v>
      </c>
      <c r="L146" s="255">
        <v>488</v>
      </c>
      <c r="M146" s="255">
        <v>343.61</v>
      </c>
      <c r="N146" s="255">
        <v>515.75</v>
      </c>
      <c r="O146" s="255">
        <v>203.05</v>
      </c>
      <c r="P146" s="255">
        <v>517.99</v>
      </c>
      <c r="Q146" s="255">
        <v>301.42</v>
      </c>
      <c r="R146" s="255">
        <v>840.23</v>
      </c>
      <c r="S146" s="255">
        <v>274.21999999999997</v>
      </c>
      <c r="T146" s="255">
        <v>961.92</v>
      </c>
      <c r="U146" s="279">
        <f>SUM(I146:T146)</f>
        <v>5519.1900000000014</v>
      </c>
      <c r="V146" s="279"/>
      <c r="W146" s="279">
        <f t="shared" si="79"/>
        <v>198.57</v>
      </c>
      <c r="X146" s="279">
        <f t="shared" si="79"/>
        <v>634.89</v>
      </c>
      <c r="Y146" s="279">
        <f t="shared" si="79"/>
        <v>239.54000000000002</v>
      </c>
      <c r="Z146" s="279">
        <f t="shared" si="79"/>
        <v>488</v>
      </c>
      <c r="AA146" s="279">
        <f t="shared" si="79"/>
        <v>343.61</v>
      </c>
      <c r="AB146" s="279">
        <f t="shared" si="79"/>
        <v>515.75</v>
      </c>
      <c r="AC146" s="279">
        <f t="shared" si="79"/>
        <v>203.05</v>
      </c>
      <c r="AD146" s="279">
        <f t="shared" si="79"/>
        <v>517.99</v>
      </c>
      <c r="AE146" s="279">
        <f>IFERROR(Q146/#REF!,0)</f>
        <v>0</v>
      </c>
      <c r="AF146" s="279">
        <f>IFERROR(R146/#REF!,0)</f>
        <v>0</v>
      </c>
      <c r="AG146" s="279">
        <f>IFERROR(S146/#REF!,0)</f>
        <v>0</v>
      </c>
      <c r="AH146" s="255">
        <f>IFERROR(T146/#REF!,0)</f>
        <v>0</v>
      </c>
      <c r="AI146" s="223"/>
      <c r="AJ146" s="255"/>
      <c r="AR146" s="242"/>
      <c r="AS146" s="242"/>
      <c r="AU146" s="271"/>
      <c r="AV146" s="271"/>
    </row>
    <row r="147" spans="1:48" ht="12">
      <c r="A147" s="224" t="str">
        <f>$A$1&amp;"ACCOUNTING ADJUSTMENTS"&amp;C147</f>
        <v>MASON CO-REGULATEDACCOUNTING ADJUSTMENTSC19-ADJFIN</v>
      </c>
      <c r="B147" s="224">
        <f>COUNTIF(C:C,C147)</f>
        <v>1</v>
      </c>
      <c r="C147" s="252" t="s">
        <v>140</v>
      </c>
      <c r="D147" s="252" t="s">
        <v>139</v>
      </c>
      <c r="E147" s="253">
        <v>1</v>
      </c>
      <c r="F147" s="253">
        <v>1</v>
      </c>
      <c r="G147" s="253"/>
      <c r="H147" s="254"/>
      <c r="I147" s="255">
        <v>0</v>
      </c>
      <c r="J147" s="255">
        <v>0</v>
      </c>
      <c r="K147" s="255">
        <v>0</v>
      </c>
      <c r="L147" s="255">
        <v>-493</v>
      </c>
      <c r="M147" s="255">
        <v>-343.61</v>
      </c>
      <c r="N147" s="255">
        <v>-515.75</v>
      </c>
      <c r="O147" s="255">
        <v>0</v>
      </c>
      <c r="P147" s="255">
        <v>0</v>
      </c>
      <c r="Q147" s="255">
        <v>0</v>
      </c>
      <c r="R147" s="255">
        <v>0</v>
      </c>
      <c r="S147" s="255">
        <v>0</v>
      </c>
      <c r="T147" s="255">
        <v>0</v>
      </c>
      <c r="U147" s="279">
        <f>SUM(I147:T147)</f>
        <v>-1352.3600000000001</v>
      </c>
      <c r="V147" s="279"/>
      <c r="W147" s="279">
        <f t="shared" si="79"/>
        <v>0</v>
      </c>
      <c r="X147" s="279">
        <f t="shared" si="79"/>
        <v>0</v>
      </c>
      <c r="Y147" s="279">
        <f t="shared" si="79"/>
        <v>0</v>
      </c>
      <c r="Z147" s="279">
        <f t="shared" si="79"/>
        <v>-493</v>
      </c>
      <c r="AA147" s="279">
        <f t="shared" si="79"/>
        <v>-343.61</v>
      </c>
      <c r="AB147" s="279">
        <f t="shared" si="79"/>
        <v>-515.75</v>
      </c>
      <c r="AC147" s="279">
        <f t="shared" si="79"/>
        <v>0</v>
      </c>
      <c r="AD147" s="279">
        <f t="shared" si="79"/>
        <v>0</v>
      </c>
      <c r="AE147" s="279">
        <f>IFERROR(Q147/#REF!,0)</f>
        <v>0</v>
      </c>
      <c r="AF147" s="279">
        <f>IFERROR(R147/#REF!,0)</f>
        <v>0</v>
      </c>
      <c r="AG147" s="279">
        <f>IFERROR(S147/#REF!,0)</f>
        <v>0</v>
      </c>
      <c r="AH147" s="255">
        <f>IFERROR(T147/#REF!,0)</f>
        <v>0</v>
      </c>
      <c r="AI147" s="223"/>
      <c r="AJ147" s="255"/>
      <c r="AR147" s="242"/>
      <c r="AS147" s="242"/>
      <c r="AU147" s="271"/>
      <c r="AV147" s="271"/>
    </row>
    <row r="148" spans="1:48">
      <c r="A148" s="224" t="str">
        <f>$A$1&amp;"ACCOUNTING ADJUSTMENTS"&amp;C148</f>
        <v>MASON CO-REGULATEDACCOUNTING ADJUSTMENTSNSF FEES</v>
      </c>
      <c r="B148" s="224">
        <f>COUNTIF(C:C,C148)</f>
        <v>1</v>
      </c>
      <c r="C148" s="252" t="s">
        <v>396</v>
      </c>
      <c r="D148" s="59" t="s">
        <v>141</v>
      </c>
      <c r="E148" s="253">
        <v>21.55</v>
      </c>
      <c r="F148" s="253">
        <v>21.55</v>
      </c>
      <c r="G148" s="253"/>
      <c r="H148" s="254"/>
      <c r="I148" s="255">
        <v>0</v>
      </c>
      <c r="J148" s="255">
        <v>0</v>
      </c>
      <c r="K148" s="255">
        <v>21.55</v>
      </c>
      <c r="L148" s="255">
        <v>21.55</v>
      </c>
      <c r="M148" s="255">
        <v>0</v>
      </c>
      <c r="N148" s="255">
        <v>0</v>
      </c>
      <c r="O148" s="255">
        <v>0</v>
      </c>
      <c r="P148" s="255">
        <v>0</v>
      </c>
      <c r="Q148" s="255">
        <v>0</v>
      </c>
      <c r="R148" s="255">
        <v>43.22</v>
      </c>
      <c r="S148" s="255">
        <v>86.44</v>
      </c>
      <c r="T148" s="255">
        <v>0</v>
      </c>
      <c r="U148" s="279">
        <f>SUM(I148:T148)</f>
        <v>172.76</v>
      </c>
      <c r="V148" s="279"/>
      <c r="W148" s="279">
        <f t="shared" si="79"/>
        <v>0</v>
      </c>
      <c r="X148" s="279">
        <f t="shared" si="79"/>
        <v>0</v>
      </c>
      <c r="Y148" s="279">
        <f t="shared" si="79"/>
        <v>1</v>
      </c>
      <c r="Z148" s="279">
        <f t="shared" si="79"/>
        <v>1</v>
      </c>
      <c r="AA148" s="279">
        <f t="shared" si="79"/>
        <v>0</v>
      </c>
      <c r="AB148" s="279">
        <f t="shared" si="79"/>
        <v>0</v>
      </c>
      <c r="AC148" s="279">
        <f t="shared" si="79"/>
        <v>0</v>
      </c>
      <c r="AD148" s="279">
        <f t="shared" si="79"/>
        <v>0</v>
      </c>
      <c r="AE148" s="279">
        <f>IFERROR(Q148/#REF!,0)</f>
        <v>0</v>
      </c>
      <c r="AF148" s="279">
        <f>IFERROR(R148/#REF!,0)</f>
        <v>0</v>
      </c>
      <c r="AG148" s="279">
        <f>IFERROR(S148/#REF!,0)</f>
        <v>0</v>
      </c>
      <c r="AH148" s="255">
        <f>IFERROR(T148/#REF!,0)</f>
        <v>0</v>
      </c>
      <c r="AI148" s="223"/>
      <c r="AJ148" s="255"/>
      <c r="AR148" s="242"/>
      <c r="AS148" s="242"/>
      <c r="AU148" s="271"/>
      <c r="AV148" s="271"/>
    </row>
    <row r="149" spans="1:48">
      <c r="C149" s="272"/>
      <c r="D149" s="272"/>
      <c r="E149" s="297"/>
      <c r="F149" s="297"/>
      <c r="G149" s="297"/>
      <c r="H149" s="253"/>
      <c r="I149" s="255"/>
      <c r="J149" s="255"/>
      <c r="K149" s="255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55"/>
      <c r="AI149" s="223"/>
      <c r="AJ149" s="59"/>
      <c r="AR149" s="242"/>
      <c r="AS149" s="242"/>
      <c r="AU149" s="271"/>
      <c r="AV149" s="271"/>
    </row>
    <row r="150" spans="1:48">
      <c r="C150" s="272"/>
      <c r="D150" s="298" t="s">
        <v>115</v>
      </c>
      <c r="I150" s="274">
        <f t="shared" ref="I150:U150" si="80">SUM(I146:I149)</f>
        <v>198.57</v>
      </c>
      <c r="J150" s="274">
        <f t="shared" si="80"/>
        <v>634.89</v>
      </c>
      <c r="K150" s="274">
        <f t="shared" si="80"/>
        <v>261.09000000000003</v>
      </c>
      <c r="L150" s="274">
        <f t="shared" si="80"/>
        <v>16.55</v>
      </c>
      <c r="M150" s="274">
        <f t="shared" si="80"/>
        <v>0</v>
      </c>
      <c r="N150" s="274">
        <f t="shared" si="80"/>
        <v>0</v>
      </c>
      <c r="O150" s="274">
        <f t="shared" si="80"/>
        <v>203.05</v>
      </c>
      <c r="P150" s="274">
        <f t="shared" si="80"/>
        <v>517.99</v>
      </c>
      <c r="Q150" s="274">
        <f t="shared" si="80"/>
        <v>301.42</v>
      </c>
      <c r="R150" s="274">
        <f t="shared" si="80"/>
        <v>883.45</v>
      </c>
      <c r="S150" s="274">
        <f t="shared" si="80"/>
        <v>360.65999999999997</v>
      </c>
      <c r="T150" s="274">
        <f t="shared" si="80"/>
        <v>961.92</v>
      </c>
      <c r="U150" s="274">
        <f t="shared" si="80"/>
        <v>4339.590000000002</v>
      </c>
      <c r="W150" s="279">
        <f t="shared" ref="W150:AD150" si="81">IFERROR(I150/$F150,0)</f>
        <v>0</v>
      </c>
      <c r="X150" s="279">
        <f t="shared" si="81"/>
        <v>0</v>
      </c>
      <c r="Y150" s="279">
        <f t="shared" si="81"/>
        <v>0</v>
      </c>
      <c r="Z150" s="279">
        <f t="shared" si="81"/>
        <v>0</v>
      </c>
      <c r="AA150" s="279">
        <f t="shared" si="81"/>
        <v>0</v>
      </c>
      <c r="AB150" s="279">
        <f t="shared" si="81"/>
        <v>0</v>
      </c>
      <c r="AC150" s="279">
        <f t="shared" si="81"/>
        <v>0</v>
      </c>
      <c r="AD150" s="279">
        <f t="shared" si="81"/>
        <v>0</v>
      </c>
      <c r="AE150" s="279">
        <f>IFERROR(Q150/#REF!,0)</f>
        <v>0</v>
      </c>
      <c r="AF150" s="279">
        <f>IFERROR(R150/#REF!,0)</f>
        <v>0</v>
      </c>
      <c r="AG150" s="279">
        <f>IFERROR(S150/#REF!,0)</f>
        <v>0</v>
      </c>
      <c r="AH150" s="279">
        <f>IFERROR(T150/#REF!,0)</f>
        <v>0</v>
      </c>
      <c r="AR150" s="242"/>
      <c r="AS150" s="242"/>
      <c r="AU150" s="271"/>
      <c r="AV150" s="271"/>
    </row>
    <row r="151" spans="1:48">
      <c r="C151" s="272"/>
      <c r="I151" s="256"/>
      <c r="J151" s="256"/>
      <c r="K151" s="256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R151" s="242"/>
      <c r="AS151" s="242"/>
      <c r="AU151" s="271"/>
      <c r="AV151" s="271"/>
    </row>
    <row r="152" spans="1:48" s="250" customFormat="1" ht="12.75" thickBot="1">
      <c r="B152" s="224"/>
      <c r="C152" s="221"/>
      <c r="D152" s="298" t="s">
        <v>142</v>
      </c>
      <c r="E152" s="241"/>
      <c r="F152" s="241"/>
      <c r="G152" s="241"/>
      <c r="H152" s="221"/>
      <c r="I152" s="299">
        <f t="shared" ref="I152:U152" si="82">I150+I142+I134+I103+I66+I46</f>
        <v>406580.36830000009</v>
      </c>
      <c r="J152" s="299">
        <f t="shared" si="82"/>
        <v>417048.56830000004</v>
      </c>
      <c r="K152" s="299">
        <f t="shared" si="82"/>
        <v>410061.17830000003</v>
      </c>
      <c r="L152" s="299">
        <f t="shared" si="82"/>
        <v>420414.57330000005</v>
      </c>
      <c r="M152" s="299">
        <f t="shared" si="82"/>
        <v>428077.84329999995</v>
      </c>
      <c r="N152" s="299">
        <f t="shared" si="82"/>
        <v>450689.48830000003</v>
      </c>
      <c r="O152" s="299">
        <f t="shared" si="82"/>
        <v>446710.40829999995</v>
      </c>
      <c r="P152" s="299">
        <f t="shared" si="82"/>
        <v>484655.81329999998</v>
      </c>
      <c r="Q152" s="299">
        <f t="shared" si="82"/>
        <v>529314.85330000008</v>
      </c>
      <c r="R152" s="299">
        <f t="shared" si="82"/>
        <v>619148.99329999997</v>
      </c>
      <c r="S152" s="299">
        <f t="shared" si="82"/>
        <v>625699.48329999996</v>
      </c>
      <c r="T152" s="299">
        <f t="shared" si="82"/>
        <v>586507.77829999989</v>
      </c>
      <c r="U152" s="299">
        <f t="shared" si="82"/>
        <v>5824909.3495999994</v>
      </c>
      <c r="W152" s="279">
        <f t="shared" ref="W152:AD152" si="83">IFERROR(I152/$F152,0)</f>
        <v>0</v>
      </c>
      <c r="X152" s="279">
        <f t="shared" si="83"/>
        <v>0</v>
      </c>
      <c r="Y152" s="279">
        <f t="shared" si="83"/>
        <v>0</v>
      </c>
      <c r="Z152" s="279">
        <f t="shared" si="83"/>
        <v>0</v>
      </c>
      <c r="AA152" s="279">
        <f t="shared" si="83"/>
        <v>0</v>
      </c>
      <c r="AB152" s="279">
        <f t="shared" si="83"/>
        <v>0</v>
      </c>
      <c r="AC152" s="279">
        <f t="shared" si="83"/>
        <v>0</v>
      </c>
      <c r="AD152" s="279">
        <f t="shared" si="83"/>
        <v>0</v>
      </c>
      <c r="AE152" s="279">
        <f>IFERROR(Q152/#REF!,0)</f>
        <v>0</v>
      </c>
      <c r="AF152" s="279">
        <f>IFERROR(R152/#REF!,0)</f>
        <v>0</v>
      </c>
      <c r="AG152" s="279">
        <f>IFERROR(S152/#REF!,0)</f>
        <v>0</v>
      </c>
      <c r="AH152" s="279">
        <f>IFERROR(T152/#REF!,0)</f>
        <v>0</v>
      </c>
      <c r="AR152" s="299">
        <f>AR150+AR142+AR134+AR103+AR66+AR46</f>
        <v>1062746.3999999999</v>
      </c>
      <c r="AS152" s="300"/>
      <c r="AT152" s="250" t="s">
        <v>397</v>
      </c>
      <c r="AU152" s="301">
        <f>AU150+AU142+AU134+AU103+AU66+AU46</f>
        <v>6769482.8329688003</v>
      </c>
      <c r="AV152" s="301">
        <f>AV150+AV142+AV134+AV103+AV66+AV46</f>
        <v>439478.89336880075</v>
      </c>
    </row>
    <row r="153" spans="1:48" s="250" customFormat="1" ht="12.75" thickTop="1">
      <c r="B153" s="224"/>
      <c r="C153" s="221"/>
      <c r="D153" s="221"/>
      <c r="E153" s="241"/>
      <c r="F153" s="241"/>
      <c r="G153" s="241"/>
      <c r="H153" s="298"/>
      <c r="I153" s="302"/>
      <c r="J153" s="303"/>
      <c r="K153" s="303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R153" s="300"/>
      <c r="AS153" s="300"/>
      <c r="AT153" s="224"/>
      <c r="AU153" s="304"/>
    </row>
    <row r="154" spans="1:48" s="250" customFormat="1" ht="12">
      <c r="B154" s="224"/>
      <c r="C154" s="221"/>
      <c r="D154" s="221"/>
      <c r="E154" s="241"/>
      <c r="F154" s="241"/>
      <c r="G154" s="241"/>
      <c r="H154" s="298"/>
      <c r="I154" s="305"/>
      <c r="J154" s="306"/>
      <c r="K154" s="303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R154" s="300"/>
      <c r="AS154" s="300"/>
      <c r="AV154" s="224"/>
    </row>
    <row r="155" spans="1:48">
      <c r="C155" s="272"/>
      <c r="I155" s="305"/>
      <c r="J155" s="306"/>
      <c r="K155" s="303"/>
      <c r="L155" s="300"/>
      <c r="M155" s="242"/>
      <c r="N155" s="242"/>
      <c r="O155" s="242"/>
      <c r="P155" s="242"/>
      <c r="Q155" s="242"/>
      <c r="R155" s="242"/>
      <c r="S155" s="242"/>
      <c r="T155" s="242"/>
      <c r="U155" s="242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R155" s="242"/>
      <c r="AS155" s="242"/>
      <c r="AT155" s="307" t="s">
        <v>398</v>
      </c>
      <c r="AU155" s="271">
        <f>+AU152</f>
        <v>6769482.8329688003</v>
      </c>
      <c r="AV155" s="271">
        <f>+AV152</f>
        <v>439478.89336880075</v>
      </c>
    </row>
    <row r="156" spans="1:48">
      <c r="I156" s="305"/>
      <c r="J156" s="306"/>
      <c r="K156" s="303"/>
      <c r="L156" s="300"/>
      <c r="M156" s="242"/>
      <c r="N156" s="242"/>
      <c r="O156" s="242"/>
      <c r="P156" s="242"/>
      <c r="Q156" s="242"/>
      <c r="R156" s="242"/>
      <c r="S156" s="242"/>
      <c r="T156" s="242"/>
      <c r="U156" s="242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36"/>
      <c r="AR156" s="308"/>
      <c r="AS156" s="242"/>
      <c r="AT156" s="307" t="s">
        <v>399</v>
      </c>
      <c r="AU156" s="309">
        <f>+'[41]Shelton Regulated - Price Out'!AS63</f>
        <v>347689.88133240008</v>
      </c>
      <c r="AV156" s="309">
        <f>+'[41]Shelton Regulated - Price Out'!AT63</f>
        <v>7426.828245583396</v>
      </c>
    </row>
    <row r="157" spans="1:48" s="250" customFormat="1" ht="12">
      <c r="B157" s="224"/>
      <c r="C157" s="221"/>
      <c r="D157" s="223"/>
      <c r="E157" s="241"/>
      <c r="F157" s="241"/>
      <c r="G157" s="241"/>
      <c r="H157" s="221"/>
      <c r="I157" s="305"/>
      <c r="J157" s="306"/>
      <c r="K157" s="303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T157" s="310"/>
      <c r="AU157" s="304">
        <f>+AU155+AU156</f>
        <v>7117172.7143012006</v>
      </c>
      <c r="AV157" s="304">
        <f>+AV155+AV156</f>
        <v>446905.72161438415</v>
      </c>
    </row>
    <row r="158" spans="1:48" s="250" customFormat="1" ht="12.75" thickBot="1">
      <c r="B158" s="224"/>
      <c r="C158" s="221"/>
      <c r="D158" s="223"/>
      <c r="E158" s="241"/>
      <c r="F158" s="241"/>
      <c r="G158" s="241"/>
      <c r="H158" s="298"/>
      <c r="I158" s="305"/>
      <c r="J158" s="306"/>
      <c r="K158" s="303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T158" s="310"/>
    </row>
    <row r="159" spans="1:48" s="250" customFormat="1" ht="12">
      <c r="B159" s="224"/>
      <c r="C159" s="221"/>
      <c r="D159" s="221"/>
      <c r="E159" s="241"/>
      <c r="F159" s="241"/>
      <c r="G159" s="241"/>
      <c r="H159" s="298"/>
      <c r="I159" s="305"/>
      <c r="J159" s="306"/>
      <c r="K159" s="303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S159" s="311"/>
      <c r="AT159" s="312" t="s">
        <v>143</v>
      </c>
      <c r="AU159" s="313" t="s">
        <v>144</v>
      </c>
      <c r="AV159" s="314" t="s">
        <v>400</v>
      </c>
    </row>
    <row r="160" spans="1:48">
      <c r="E160" s="315"/>
      <c r="F160" s="315"/>
      <c r="G160" s="315"/>
      <c r="I160" s="305"/>
      <c r="J160" s="306"/>
      <c r="K160" s="303"/>
      <c r="L160" s="300"/>
      <c r="M160" s="242"/>
      <c r="N160" s="242"/>
      <c r="O160" s="242"/>
      <c r="P160" s="242"/>
      <c r="Q160" s="242"/>
      <c r="R160" s="242"/>
      <c r="S160" s="242"/>
      <c r="T160" s="242"/>
      <c r="U160" s="242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S160" s="316" t="s">
        <v>128</v>
      </c>
      <c r="AT160" s="317">
        <f>'[41]LG BRG - MSW'!M21</f>
        <v>336900.8377971829</v>
      </c>
      <c r="AU160" s="318">
        <f>+AV142+AV134+AV103+AV46+'[41]Shelton Regulated - Price Out'!AT54+'[41]Shelton Regulated - Price Out'!AT49+'[41]Shelton Regulated - Price Out'!AT23</f>
        <v>337538.35170282604</v>
      </c>
      <c r="AV160" s="319">
        <f>+AU160-AT160</f>
        <v>637.51390564313624</v>
      </c>
    </row>
    <row r="161" spans="5:48">
      <c r="E161" s="315"/>
      <c r="F161" s="315"/>
      <c r="G161" s="315"/>
      <c r="I161" s="305"/>
      <c r="J161" s="306"/>
      <c r="K161" s="303"/>
      <c r="L161" s="300"/>
      <c r="M161" s="242"/>
      <c r="N161" s="242"/>
      <c r="O161" s="242"/>
      <c r="P161" s="242"/>
      <c r="Q161" s="242"/>
      <c r="R161" s="242"/>
      <c r="S161" s="242"/>
      <c r="T161" s="242"/>
      <c r="U161" s="242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S161" s="316" t="s">
        <v>129</v>
      </c>
      <c r="AT161" s="317">
        <f>'[41]LG BRG - Recycle'!M21</f>
        <v>109297.51204852987</v>
      </c>
      <c r="AU161" s="318">
        <f>+AV66</f>
        <v>109367.36991155808</v>
      </c>
      <c r="AV161" s="319">
        <f>+AU161-AT161</f>
        <v>69.857863028213615</v>
      </c>
    </row>
    <row r="162" spans="5:48" ht="15.75" thickBot="1">
      <c r="E162" s="315"/>
      <c r="F162" s="315"/>
      <c r="G162" s="315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S162" s="320"/>
      <c r="AT162" s="321"/>
      <c r="AU162" s="321"/>
      <c r="AV162" s="322"/>
    </row>
    <row r="163" spans="5:48" ht="15.75" thickBot="1"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</row>
    <row r="164" spans="5:48" ht="24.75"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S164" s="323"/>
      <c r="AT164" s="324" t="s">
        <v>401</v>
      </c>
      <c r="AU164" s="324" t="s">
        <v>186</v>
      </c>
      <c r="AV164" s="325" t="s">
        <v>402</v>
      </c>
    </row>
    <row r="165" spans="5:48"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S165" s="326" t="s">
        <v>403</v>
      </c>
      <c r="AT165" s="292">
        <f>+AS46</f>
        <v>3286127.375</v>
      </c>
      <c r="AU165" s="327">
        <f>+AV46</f>
        <v>213999.49672634713</v>
      </c>
      <c r="AV165" s="328">
        <f>+AU165/AT165</f>
        <v>6.5122094278633108E-2</v>
      </c>
    </row>
    <row r="166" spans="5:48"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S166" s="326" t="s">
        <v>404</v>
      </c>
      <c r="AT166" s="292">
        <f>+AS66</f>
        <v>1371900.2349999999</v>
      </c>
      <c r="AU166" s="327">
        <f>+AV66</f>
        <v>109367.36991155808</v>
      </c>
      <c r="AV166" s="328">
        <f t="shared" ref="AV166:AV169" si="84">+AU166/AT166</f>
        <v>7.9719623279719098E-2</v>
      </c>
    </row>
    <row r="167" spans="5:48"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S167" s="326" t="s">
        <v>405</v>
      </c>
      <c r="AT167" s="318">
        <f>+AS103+'[41]Shelton Regulated - Price Out'!U23</f>
        <v>1201566.5196000002</v>
      </c>
      <c r="AU167" s="318">
        <f>+AV103+'[41]Shelton Regulated - Price Out'!AT23</f>
        <v>92044.927825841965</v>
      </c>
      <c r="AV167" s="328">
        <f t="shared" si="84"/>
        <v>7.6604104994939096E-2</v>
      </c>
    </row>
    <row r="168" spans="5:48"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S168" s="326" t="s">
        <v>406</v>
      </c>
      <c r="AT168" s="318">
        <f>+AS134+'[41]Shelton Regulated - Price Out'!U49</f>
        <v>614998.41</v>
      </c>
      <c r="AU168" s="329">
        <f>+AV134+'[41]Shelton Regulated - Price Out'!AT49</f>
        <v>31493.927150636962</v>
      </c>
      <c r="AV168" s="328">
        <f t="shared" si="84"/>
        <v>5.1209770039302965E-2</v>
      </c>
    </row>
    <row r="169" spans="5:48"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S169" s="326" t="s">
        <v>14</v>
      </c>
      <c r="AT169" s="327">
        <f>+SUM(AT165:AT168)</f>
        <v>6474592.5395999998</v>
      </c>
      <c r="AU169" s="327">
        <f>+SUM(AU165:AU168)</f>
        <v>446905.72161438415</v>
      </c>
      <c r="AV169" s="328">
        <f t="shared" si="84"/>
        <v>6.902453225913642E-2</v>
      </c>
    </row>
    <row r="170" spans="5:48" ht="15.75" thickBot="1"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S170" s="320" t="s">
        <v>116</v>
      </c>
      <c r="AT170" s="321"/>
      <c r="AU170" s="330">
        <f>+AU169-AU160-AU161</f>
        <v>0</v>
      </c>
      <c r="AV170" s="322"/>
    </row>
    <row r="171" spans="5:48"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</row>
    <row r="172" spans="5:48"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</row>
    <row r="173" spans="5:48">
      <c r="I173" s="224"/>
      <c r="J173" s="224"/>
      <c r="K173" s="224"/>
    </row>
    <row r="174" spans="5:48">
      <c r="I174" s="224"/>
      <c r="J174" s="224"/>
      <c r="K174" s="224"/>
    </row>
    <row r="175" spans="5:48">
      <c r="I175" s="224"/>
      <c r="J175" s="224"/>
      <c r="K175" s="224"/>
    </row>
    <row r="176" spans="5:48">
      <c r="I176" s="224"/>
      <c r="J176" s="224"/>
      <c r="K176" s="224"/>
    </row>
    <row r="177" spans="2:16">
      <c r="I177" s="224"/>
      <c r="J177" s="224"/>
      <c r="K177" s="224"/>
    </row>
    <row r="178" spans="2:16">
      <c r="I178" s="224"/>
      <c r="J178" s="224"/>
      <c r="K178" s="224"/>
    </row>
    <row r="179" spans="2:16">
      <c r="I179" s="224"/>
      <c r="J179" s="224"/>
      <c r="K179" s="224"/>
    </row>
    <row r="180" spans="2:16">
      <c r="I180" s="224"/>
      <c r="J180" s="224"/>
      <c r="K180" s="224"/>
    </row>
    <row r="181" spans="2:16">
      <c r="I181" s="224"/>
      <c r="J181" s="224"/>
      <c r="K181" s="224"/>
    </row>
    <row r="182" spans="2:16" s="223" customFormat="1" ht="12">
      <c r="B182" s="224"/>
      <c r="E182" s="222"/>
      <c r="F182" s="222"/>
      <c r="G182" s="222"/>
      <c r="I182" s="224"/>
      <c r="J182" s="224"/>
      <c r="K182" s="224"/>
      <c r="L182" s="224"/>
      <c r="M182" s="224"/>
      <c r="N182" s="224"/>
      <c r="O182" s="224"/>
      <c r="P182" s="224"/>
    </row>
    <row r="183" spans="2:16" s="223" customFormat="1" ht="12">
      <c r="E183" s="222"/>
      <c r="F183" s="222"/>
      <c r="G183" s="222"/>
      <c r="I183" s="224"/>
      <c r="J183" s="224"/>
      <c r="K183" s="224"/>
      <c r="M183" s="224"/>
      <c r="N183" s="224"/>
      <c r="O183" s="224"/>
      <c r="P183" s="224"/>
    </row>
    <row r="184" spans="2:16">
      <c r="I184" s="224"/>
      <c r="J184" s="224"/>
      <c r="K184" s="224"/>
      <c r="L184" s="223"/>
    </row>
    <row r="185" spans="2:16" s="223" customFormat="1" ht="12">
      <c r="E185" s="222"/>
      <c r="F185" s="222"/>
      <c r="G185" s="222"/>
      <c r="L185" s="224"/>
      <c r="M185" s="224"/>
      <c r="N185" s="224"/>
      <c r="O185" s="224"/>
      <c r="P185" s="224"/>
    </row>
    <row r="186" spans="2:16" s="223" customFormat="1" ht="12">
      <c r="E186" s="222"/>
      <c r="F186" s="222"/>
      <c r="G186" s="222"/>
      <c r="L186" s="224"/>
      <c r="M186" s="224"/>
      <c r="N186" s="224"/>
      <c r="O186" s="224"/>
      <c r="P186" s="224"/>
    </row>
    <row r="187" spans="2:16" s="223" customFormat="1" ht="12">
      <c r="E187" s="222"/>
      <c r="F187" s="222"/>
      <c r="G187" s="222"/>
      <c r="L187" s="224"/>
      <c r="M187" s="224"/>
      <c r="N187" s="224"/>
      <c r="O187" s="224"/>
      <c r="P187" s="224"/>
    </row>
    <row r="189" spans="2:16" s="223" customFormat="1" ht="12">
      <c r="E189" s="222"/>
      <c r="F189" s="222"/>
      <c r="G189" s="222"/>
      <c r="L189" s="224"/>
      <c r="M189" s="224"/>
      <c r="N189" s="224"/>
      <c r="O189" s="224"/>
      <c r="P189" s="224"/>
    </row>
    <row r="190" spans="2:16" s="223" customFormat="1" ht="12">
      <c r="E190" s="222"/>
      <c r="F190" s="222"/>
      <c r="G190" s="222"/>
      <c r="L190" s="224"/>
      <c r="M190" s="224"/>
      <c r="N190" s="224"/>
      <c r="O190" s="224"/>
      <c r="P190" s="224"/>
    </row>
    <row r="191" spans="2:16" s="223" customFormat="1" ht="12">
      <c r="E191" s="222"/>
      <c r="F191" s="222"/>
      <c r="G191" s="222"/>
      <c r="L191" s="224"/>
      <c r="M191" s="224"/>
      <c r="N191" s="224"/>
      <c r="O191" s="224"/>
      <c r="P191" s="224"/>
    </row>
    <row r="192" spans="2:16" s="223" customFormat="1" ht="12">
      <c r="E192" s="222"/>
      <c r="F192" s="222"/>
      <c r="G192" s="222"/>
      <c r="L192" s="224"/>
      <c r="M192" s="224"/>
      <c r="N192" s="224"/>
      <c r="O192" s="224"/>
      <c r="P192" s="224"/>
    </row>
    <row r="193" spans="5:16" s="223" customFormat="1" ht="12">
      <c r="E193" s="222"/>
      <c r="F193" s="222"/>
      <c r="G193" s="222"/>
      <c r="L193" s="224"/>
      <c r="M193" s="224"/>
      <c r="N193" s="224"/>
      <c r="O193" s="224"/>
      <c r="P193" s="224"/>
    </row>
  </sheetData>
  <autoFilter ref="A5:AP148"/>
  <mergeCells count="1">
    <mergeCell ref="AL4:AP4"/>
  </mergeCells>
  <pageMargins left="0.7" right="0.7" top="0.75" bottom="0.75" header="0.3" footer="0.3"/>
  <pageSetup scale="51" fitToHeight="5" orientation="landscape" r:id="rId1"/>
  <headerFooter alignWithMargins="0"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64"/>
  <sheetViews>
    <sheetView view="pageBreakPreview" zoomScale="70" zoomScaleNormal="85" zoomScaleSheetLayoutView="70" workbookViewId="0">
      <pane xSplit="6" ySplit="5" topLeftCell="R98" activePane="bottomRight" state="frozen"/>
      <selection activeCell="O52" sqref="O52"/>
      <selection pane="topRight" activeCell="O52" sqref="O52"/>
      <selection pane="bottomLeft" activeCell="O52" sqref="O52"/>
      <selection pane="bottomRight" activeCell="O52" sqref="O52"/>
    </sheetView>
  </sheetViews>
  <sheetFormatPr defaultColWidth="10.28515625" defaultRowHeight="15" outlineLevelCol="1"/>
  <cols>
    <col min="1" max="1" width="22.140625" style="224" hidden="1" customWidth="1"/>
    <col min="2" max="2" width="4.28515625" style="224" hidden="1" customWidth="1"/>
    <col min="3" max="3" width="22.140625" style="223" customWidth="1"/>
    <col min="4" max="4" width="26" style="223" customWidth="1"/>
    <col min="6" max="6" width="1.85546875" style="223" customWidth="1"/>
    <col min="7" max="9" width="15.140625" style="223" hidden="1" customWidth="1" outlineLevel="1"/>
    <col min="10" max="17" width="15.140625" style="224" hidden="1" customWidth="1" outlineLevel="1"/>
    <col min="18" max="18" width="15.140625" style="224" bestFit="1" customWidth="1" collapsed="1"/>
    <col min="19" max="19" width="17.42578125" style="224" bestFit="1" customWidth="1"/>
    <col min="20" max="20" width="5.28515625" style="224" bestFit="1" customWidth="1"/>
    <col min="21" max="31" width="16.5703125" style="224" hidden="1" customWidth="1" outlineLevel="1"/>
    <col min="32" max="32" width="16.5703125" style="224" bestFit="1" customWidth="1" collapsed="1"/>
    <col min="33" max="33" width="13" style="224" bestFit="1" customWidth="1"/>
    <col min="35" max="37" width="10.28515625" style="224"/>
    <col min="38" max="38" width="16.28515625" style="224" bestFit="1" customWidth="1"/>
    <col min="39" max="16384" width="10.28515625" style="224"/>
  </cols>
  <sheetData>
    <row r="1" spans="1:40">
      <c r="A1" s="387" t="s">
        <v>496</v>
      </c>
      <c r="B1" s="387"/>
      <c r="C1" s="221" t="s">
        <v>173</v>
      </c>
    </row>
    <row r="2" spans="1:40">
      <c r="C2" s="221" t="s">
        <v>514</v>
      </c>
    </row>
    <row r="3" spans="1:40">
      <c r="C3" s="221" t="str">
        <f>'[41]Mason Co. Regulated - Price Out'!C3</f>
        <v>Dec 1, 2019 - Nov 30, 2020</v>
      </c>
      <c r="J3" s="235"/>
    </row>
    <row r="4" spans="1:40">
      <c r="D4" s="237"/>
      <c r="E4" s="238" t="s">
        <v>181</v>
      </c>
      <c r="G4" s="239">
        <f>'[41]Mason Co. Regulated - Price Out'!I4</f>
        <v>43800</v>
      </c>
      <c r="H4" s="239">
        <f>'[41]Mason Co. Regulated - Price Out'!J4</f>
        <v>43831</v>
      </c>
      <c r="I4" s="239">
        <f>'[41]Mason Co. Regulated - Price Out'!K4</f>
        <v>43862</v>
      </c>
      <c r="J4" s="239">
        <f>'[41]Mason Co. Regulated - Price Out'!L4</f>
        <v>43891</v>
      </c>
      <c r="K4" s="239">
        <f>'[41]Mason Co. Regulated - Price Out'!M4</f>
        <v>43922</v>
      </c>
      <c r="L4" s="239">
        <f>'[41]Mason Co. Regulated - Price Out'!N4</f>
        <v>43952</v>
      </c>
      <c r="M4" s="239">
        <f>'[41]Mason Co. Regulated - Price Out'!O4</f>
        <v>43983</v>
      </c>
      <c r="N4" s="239">
        <f>'[41]Mason Co. Regulated - Price Out'!P4</f>
        <v>44013</v>
      </c>
      <c r="O4" s="239">
        <f>'[41]Mason Co. Regulated - Price Out'!Q4</f>
        <v>44044</v>
      </c>
      <c r="P4" s="239">
        <f>'[41]Mason Co. Regulated - Price Out'!R4</f>
        <v>44075</v>
      </c>
      <c r="Q4" s="239">
        <f>'[41]Mason Co. Regulated - Price Out'!S4</f>
        <v>44105</v>
      </c>
      <c r="R4" s="239">
        <f>'[41]Mason Co. Regulated - Price Out'!T4</f>
        <v>44136</v>
      </c>
      <c r="S4" s="237" t="s">
        <v>14</v>
      </c>
      <c r="U4" s="240">
        <f>G4</f>
        <v>43800</v>
      </c>
      <c r="V4" s="240">
        <f t="shared" ref="V4:AF4" si="0">H4</f>
        <v>43831</v>
      </c>
      <c r="W4" s="240">
        <f t="shared" si="0"/>
        <v>43862</v>
      </c>
      <c r="X4" s="240">
        <f t="shared" si="0"/>
        <v>43891</v>
      </c>
      <c r="Y4" s="240">
        <f t="shared" si="0"/>
        <v>43922</v>
      </c>
      <c r="Z4" s="240">
        <f t="shared" si="0"/>
        <v>43952</v>
      </c>
      <c r="AA4" s="240">
        <f t="shared" si="0"/>
        <v>43983</v>
      </c>
      <c r="AB4" s="240">
        <f t="shared" si="0"/>
        <v>44013</v>
      </c>
      <c r="AC4" s="240">
        <f t="shared" si="0"/>
        <v>44044</v>
      </c>
      <c r="AD4" s="240">
        <f t="shared" si="0"/>
        <v>44075</v>
      </c>
      <c r="AE4" s="240">
        <f t="shared" si="0"/>
        <v>44105</v>
      </c>
      <c r="AF4" s="240">
        <f t="shared" si="0"/>
        <v>44136</v>
      </c>
      <c r="AJ4" s="443" t="s">
        <v>130</v>
      </c>
      <c r="AK4" s="443"/>
      <c r="AL4" s="443"/>
      <c r="AM4" s="443"/>
      <c r="AN4" s="443"/>
    </row>
    <row r="5" spans="1:40">
      <c r="C5" s="241" t="s">
        <v>84</v>
      </c>
      <c r="D5" s="237" t="s">
        <v>100</v>
      </c>
      <c r="E5" s="243">
        <v>43647</v>
      </c>
      <c r="F5" s="237"/>
      <c r="G5" s="244" t="s">
        <v>99</v>
      </c>
      <c r="H5" s="244" t="s">
        <v>99</v>
      </c>
      <c r="I5" s="244" t="s">
        <v>99</v>
      </c>
      <c r="J5" s="244" t="s">
        <v>99</v>
      </c>
      <c r="K5" s="244" t="s">
        <v>99</v>
      </c>
      <c r="L5" s="244" t="s">
        <v>99</v>
      </c>
      <c r="M5" s="244" t="s">
        <v>99</v>
      </c>
      <c r="N5" s="244" t="s">
        <v>99</v>
      </c>
      <c r="O5" s="244" t="s">
        <v>99</v>
      </c>
      <c r="P5" s="244" t="s">
        <v>99</v>
      </c>
      <c r="Q5" s="244" t="s">
        <v>99</v>
      </c>
      <c r="R5" s="244" t="s">
        <v>99</v>
      </c>
      <c r="S5" s="237" t="s">
        <v>99</v>
      </c>
      <c r="U5" s="245" t="s">
        <v>123</v>
      </c>
      <c r="V5" s="245" t="s">
        <v>123</v>
      </c>
      <c r="W5" s="245" t="s">
        <v>123</v>
      </c>
      <c r="X5" s="245" t="s">
        <v>123</v>
      </c>
      <c r="Y5" s="245" t="s">
        <v>123</v>
      </c>
      <c r="Z5" s="245" t="s">
        <v>123</v>
      </c>
      <c r="AA5" s="245" t="s">
        <v>123</v>
      </c>
      <c r="AB5" s="245" t="s">
        <v>123</v>
      </c>
      <c r="AC5" s="245" t="s">
        <v>123</v>
      </c>
      <c r="AD5" s="245" t="s">
        <v>123</v>
      </c>
      <c r="AE5" s="245" t="s">
        <v>123</v>
      </c>
      <c r="AF5" s="245" t="s">
        <v>123</v>
      </c>
      <c r="AG5" s="245" t="s">
        <v>497</v>
      </c>
      <c r="AJ5" s="385" t="s">
        <v>131</v>
      </c>
      <c r="AK5" s="385" t="s">
        <v>132</v>
      </c>
      <c r="AL5" s="385" t="s">
        <v>133</v>
      </c>
      <c r="AM5" s="385" t="s">
        <v>134</v>
      </c>
      <c r="AN5" s="385" t="s">
        <v>135</v>
      </c>
    </row>
    <row r="7" spans="1:40">
      <c r="B7" s="224">
        <f>COUNTIF(C:C,C7)</f>
        <v>1</v>
      </c>
      <c r="C7" s="247" t="s">
        <v>101</v>
      </c>
      <c r="D7" s="247" t="s">
        <v>101</v>
      </c>
      <c r="F7" s="248"/>
      <c r="G7" s="248"/>
    </row>
    <row r="8" spans="1:40">
      <c r="C8" s="247"/>
      <c r="D8" s="249"/>
      <c r="F8" s="248"/>
      <c r="G8" s="248"/>
    </row>
    <row r="9" spans="1:40">
      <c r="A9" s="250" t="s">
        <v>187</v>
      </c>
      <c r="B9" s="250" t="s">
        <v>188</v>
      </c>
      <c r="C9" s="251" t="s">
        <v>102</v>
      </c>
      <c r="D9" s="251" t="s">
        <v>102</v>
      </c>
      <c r="F9" s="248"/>
      <c r="G9" s="248"/>
    </row>
    <row r="10" spans="1:40" s="393" customFormat="1" ht="12">
      <c r="A10" s="393" t="str">
        <f t="shared" ref="A10:A39" si="1">$A$1&amp;"Residential"&amp;C10</f>
        <v>KITSAP CO -REGULATEDResidential35RW1</v>
      </c>
      <c r="B10" s="393">
        <f t="shared" ref="B10:B40" si="2">COUNTIF(C:C,C10)</f>
        <v>1</v>
      </c>
      <c r="C10" s="394" t="s">
        <v>199</v>
      </c>
      <c r="D10" s="394" t="s">
        <v>200</v>
      </c>
      <c r="E10" s="395">
        <v>17.14</v>
      </c>
      <c r="F10" s="395"/>
      <c r="G10" s="396">
        <v>11133.460000000001</v>
      </c>
      <c r="H10" s="396">
        <v>10930.11</v>
      </c>
      <c r="I10" s="396">
        <v>11176.75</v>
      </c>
      <c r="J10" s="396">
        <v>11088.61</v>
      </c>
      <c r="K10" s="396">
        <v>11130.52</v>
      </c>
      <c r="L10" s="396">
        <v>11424.74</v>
      </c>
      <c r="M10" s="396">
        <v>11763.789999999999</v>
      </c>
      <c r="N10" s="396">
        <v>12821.735000000001</v>
      </c>
      <c r="O10" s="396">
        <v>12784.764999999999</v>
      </c>
      <c r="P10" s="396">
        <v>13.86</v>
      </c>
      <c r="Q10" s="396">
        <v>13.86</v>
      </c>
      <c r="R10" s="396">
        <v>0</v>
      </c>
      <c r="S10" s="396">
        <f t="shared" ref="S10:S39" si="3">SUM(G10:R10)</f>
        <v>104282.2</v>
      </c>
      <c r="T10" s="396"/>
      <c r="U10" s="396">
        <f t="shared" ref="U10:AF25" si="4">IFERROR(G10/$E10,0)</f>
        <v>649.56009334889154</v>
      </c>
      <c r="V10" s="396">
        <f t="shared" si="4"/>
        <v>637.69603267211198</v>
      </c>
      <c r="W10" s="396">
        <f t="shared" si="4"/>
        <v>652.085764294049</v>
      </c>
      <c r="X10" s="396">
        <f t="shared" si="4"/>
        <v>646.94340723453911</v>
      </c>
      <c r="Y10" s="396">
        <f t="shared" si="4"/>
        <v>649.38856476079343</v>
      </c>
      <c r="Z10" s="396">
        <f t="shared" si="4"/>
        <v>666.55425904317383</v>
      </c>
      <c r="AA10" s="396">
        <f t="shared" si="4"/>
        <v>686.33547257876307</v>
      </c>
      <c r="AB10" s="396">
        <f t="shared" si="4"/>
        <v>748.05921820303388</v>
      </c>
      <c r="AC10" s="396">
        <f t="shared" si="4"/>
        <v>745.90227537922976</v>
      </c>
      <c r="AD10" s="396">
        <f t="shared" si="4"/>
        <v>0.80863477246207693</v>
      </c>
      <c r="AE10" s="396">
        <f t="shared" si="4"/>
        <v>0.80863477246207693</v>
      </c>
      <c r="AF10" s="396">
        <f t="shared" si="4"/>
        <v>0</v>
      </c>
      <c r="AG10" s="396">
        <f>AVERAGE(U10:AF10)</f>
        <v>507.0118630882925</v>
      </c>
      <c r="AJ10" s="393">
        <v>35</v>
      </c>
      <c r="AM10" s="393">
        <v>1</v>
      </c>
      <c r="AN10" s="397">
        <f>+AM10*AF10</f>
        <v>0</v>
      </c>
    </row>
    <row r="11" spans="1:40" s="393" customFormat="1">
      <c r="A11" s="393" t="str">
        <f t="shared" si="1"/>
        <v>KITSAP CO -REGULATEDResidential48RW1</v>
      </c>
      <c r="B11" s="393">
        <f t="shared" si="2"/>
        <v>1</v>
      </c>
      <c r="C11" s="394" t="s">
        <v>201</v>
      </c>
      <c r="D11" s="394" t="s">
        <v>202</v>
      </c>
      <c r="E11" s="395">
        <v>21.43</v>
      </c>
      <c r="F11" s="395"/>
      <c r="G11" s="396">
        <v>7498.1399999999994</v>
      </c>
      <c r="H11" s="396">
        <v>7224.9</v>
      </c>
      <c r="I11" s="396">
        <v>7428.83</v>
      </c>
      <c r="J11" s="396">
        <v>7390.97</v>
      </c>
      <c r="K11" s="396">
        <v>7521.93</v>
      </c>
      <c r="L11" s="396">
        <v>7677.96</v>
      </c>
      <c r="M11" s="396">
        <v>7921.41</v>
      </c>
      <c r="N11" s="396">
        <v>8610.6749999999993</v>
      </c>
      <c r="O11" s="396">
        <v>8600.2349999999988</v>
      </c>
      <c r="P11" s="396">
        <v>0</v>
      </c>
      <c r="Q11" s="396">
        <v>11.74</v>
      </c>
      <c r="R11" s="396">
        <v>0</v>
      </c>
      <c r="S11" s="396">
        <f t="shared" si="3"/>
        <v>69886.790000000008</v>
      </c>
      <c r="T11" s="396"/>
      <c r="U11" s="396">
        <f t="shared" si="4"/>
        <v>349.88987400839943</v>
      </c>
      <c r="V11" s="396">
        <f t="shared" si="4"/>
        <v>337.13952403173118</v>
      </c>
      <c r="W11" s="396">
        <f t="shared" si="4"/>
        <v>346.65562295846945</v>
      </c>
      <c r="X11" s="396">
        <f t="shared" si="4"/>
        <v>344.8889407372842</v>
      </c>
      <c r="Y11" s="396">
        <f t="shared" si="4"/>
        <v>351</v>
      </c>
      <c r="Z11" s="396">
        <f t="shared" si="4"/>
        <v>358.28091460569294</v>
      </c>
      <c r="AA11" s="396">
        <f t="shared" si="4"/>
        <v>369.64115725618291</v>
      </c>
      <c r="AB11" s="396">
        <f t="shared" si="4"/>
        <v>401.80471301913201</v>
      </c>
      <c r="AC11" s="396">
        <f t="shared" si="4"/>
        <v>401.31754549696683</v>
      </c>
      <c r="AD11" s="396">
        <f t="shared" si="4"/>
        <v>0</v>
      </c>
      <c r="AE11" s="396">
        <f t="shared" si="4"/>
        <v>0.54783014465702284</v>
      </c>
      <c r="AF11" s="396">
        <f t="shared" si="4"/>
        <v>0</v>
      </c>
      <c r="AG11" s="396">
        <f t="shared" ref="AG11:AG39" si="5">AVERAGE(U11:AF11)</f>
        <v>271.76384352154304</v>
      </c>
      <c r="AH11" s="398"/>
      <c r="AJ11" s="393">
        <v>48</v>
      </c>
      <c r="AM11" s="393">
        <v>1</v>
      </c>
      <c r="AN11" s="397">
        <f t="shared" ref="AN11:AN21" si="6">+AM11*AF11</f>
        <v>0</v>
      </c>
    </row>
    <row r="12" spans="1:40" s="393" customFormat="1">
      <c r="A12" s="393" t="str">
        <f t="shared" si="1"/>
        <v>KITSAP CO -REGULATEDResidential64RW1</v>
      </c>
      <c r="B12" s="393">
        <f t="shared" si="2"/>
        <v>1</v>
      </c>
      <c r="C12" s="394" t="s">
        <v>203</v>
      </c>
      <c r="D12" s="394" t="s">
        <v>204</v>
      </c>
      <c r="E12" s="395">
        <v>25.53</v>
      </c>
      <c r="F12" s="395"/>
      <c r="G12" s="396">
        <v>10004.915000000001</v>
      </c>
      <c r="H12" s="396">
        <v>9832.25</v>
      </c>
      <c r="I12" s="396">
        <v>9959.9499999999989</v>
      </c>
      <c r="J12" s="396">
        <v>10180.805</v>
      </c>
      <c r="K12" s="396">
        <v>10339.664999999999</v>
      </c>
      <c r="L12" s="396">
        <v>10646</v>
      </c>
      <c r="M12" s="396">
        <v>11102.71</v>
      </c>
      <c r="N12" s="396">
        <v>12442.995000000001</v>
      </c>
      <c r="O12" s="396">
        <v>12430.275000000001</v>
      </c>
      <c r="P12" s="396">
        <v>0</v>
      </c>
      <c r="Q12" s="396">
        <v>0</v>
      </c>
      <c r="R12" s="396">
        <v>0</v>
      </c>
      <c r="S12" s="396">
        <f t="shared" si="3"/>
        <v>96939.565000000002</v>
      </c>
      <c r="T12" s="396"/>
      <c r="U12" s="396">
        <f t="shared" si="4"/>
        <v>391.888562475519</v>
      </c>
      <c r="V12" s="396">
        <f t="shared" si="4"/>
        <v>385.12534273403838</v>
      </c>
      <c r="W12" s="396">
        <f t="shared" si="4"/>
        <v>390.12730121425767</v>
      </c>
      <c r="X12" s="396">
        <f t="shared" si="4"/>
        <v>398.77810419114769</v>
      </c>
      <c r="Y12" s="396">
        <f t="shared" si="4"/>
        <v>405.00058754406575</v>
      </c>
      <c r="Z12" s="396">
        <f t="shared" si="4"/>
        <v>416.99960830395611</v>
      </c>
      <c r="AA12" s="396">
        <f t="shared" si="4"/>
        <v>434.88875832354086</v>
      </c>
      <c r="AB12" s="396">
        <f t="shared" si="4"/>
        <v>487.38719153936546</v>
      </c>
      <c r="AC12" s="396">
        <f t="shared" si="4"/>
        <v>486.88895417156289</v>
      </c>
      <c r="AD12" s="396">
        <f t="shared" si="4"/>
        <v>0</v>
      </c>
      <c r="AE12" s="396">
        <f t="shared" si="4"/>
        <v>0</v>
      </c>
      <c r="AF12" s="396">
        <f t="shared" si="4"/>
        <v>0</v>
      </c>
      <c r="AG12" s="396">
        <f t="shared" si="5"/>
        <v>316.42370087478781</v>
      </c>
      <c r="AH12" s="398"/>
      <c r="AJ12" s="393">
        <v>64</v>
      </c>
      <c r="AM12" s="393">
        <v>1</v>
      </c>
      <c r="AN12" s="397">
        <f t="shared" si="6"/>
        <v>0</v>
      </c>
    </row>
    <row r="13" spans="1:40" s="393" customFormat="1">
      <c r="A13" s="393" t="str">
        <f t="shared" si="1"/>
        <v>KITSAP CO -REGULATEDResidential96RW1</v>
      </c>
      <c r="B13" s="393">
        <f t="shared" si="2"/>
        <v>1</v>
      </c>
      <c r="C13" s="398" t="s">
        <v>205</v>
      </c>
      <c r="D13" s="394" t="s">
        <v>206</v>
      </c>
      <c r="E13" s="395">
        <v>32.29</v>
      </c>
      <c r="F13" s="395"/>
      <c r="G13" s="396">
        <v>6303.7049999999999</v>
      </c>
      <c r="H13" s="396">
        <v>6175.4650000000001</v>
      </c>
      <c r="I13" s="396">
        <v>6336.0349999999999</v>
      </c>
      <c r="J13" s="396">
        <v>6540.51</v>
      </c>
      <c r="K13" s="396">
        <v>6755.78</v>
      </c>
      <c r="L13" s="396">
        <v>7161.19</v>
      </c>
      <c r="M13" s="396">
        <v>7383.63</v>
      </c>
      <c r="N13" s="396">
        <v>8381.4050000000007</v>
      </c>
      <c r="O13" s="396">
        <v>8389.3550000000014</v>
      </c>
      <c r="P13" s="396">
        <v>0</v>
      </c>
      <c r="Q13" s="396">
        <v>0</v>
      </c>
      <c r="R13" s="396">
        <v>0</v>
      </c>
      <c r="S13" s="396">
        <f t="shared" si="3"/>
        <v>63427.075000000004</v>
      </c>
      <c r="T13" s="396"/>
      <c r="U13" s="396">
        <f t="shared" si="4"/>
        <v>195.22158563022609</v>
      </c>
      <c r="V13" s="396">
        <f t="shared" si="4"/>
        <v>191.25007742335089</v>
      </c>
      <c r="W13" s="396">
        <f t="shared" si="4"/>
        <v>196.22282440384021</v>
      </c>
      <c r="X13" s="396">
        <f t="shared" si="4"/>
        <v>202.55528027253021</v>
      </c>
      <c r="Y13" s="396">
        <f t="shared" si="4"/>
        <v>209.22205017033136</v>
      </c>
      <c r="Z13" s="396">
        <f t="shared" si="4"/>
        <v>221.77733044286157</v>
      </c>
      <c r="AA13" s="396">
        <f t="shared" si="4"/>
        <v>228.66615051099413</v>
      </c>
      <c r="AB13" s="396">
        <f t="shared" si="4"/>
        <v>259.56658408175906</v>
      </c>
      <c r="AC13" s="396">
        <f t="shared" si="4"/>
        <v>259.81279033756584</v>
      </c>
      <c r="AD13" s="396">
        <f t="shared" si="4"/>
        <v>0</v>
      </c>
      <c r="AE13" s="396">
        <f t="shared" si="4"/>
        <v>0</v>
      </c>
      <c r="AF13" s="396">
        <f t="shared" si="4"/>
        <v>0</v>
      </c>
      <c r="AG13" s="396">
        <f t="shared" si="5"/>
        <v>163.69122277278828</v>
      </c>
      <c r="AH13" s="398"/>
      <c r="AJ13" s="393">
        <v>96</v>
      </c>
      <c r="AM13" s="393">
        <v>1</v>
      </c>
      <c r="AN13" s="397">
        <f t="shared" si="6"/>
        <v>0</v>
      </c>
    </row>
    <row r="14" spans="1:40" s="393" customFormat="1" ht="12">
      <c r="A14" s="393" t="str">
        <f t="shared" si="1"/>
        <v>KITSAP CO -REGULATEDResidential35RE1</v>
      </c>
      <c r="B14" s="393">
        <f t="shared" si="2"/>
        <v>1</v>
      </c>
      <c r="C14" s="394" t="s">
        <v>189</v>
      </c>
      <c r="D14" s="394" t="s">
        <v>190</v>
      </c>
      <c r="E14" s="395">
        <v>10.27</v>
      </c>
      <c r="F14" s="395"/>
      <c r="G14" s="396">
        <v>3364.0349999999999</v>
      </c>
      <c r="H14" s="396">
        <v>3245.335</v>
      </c>
      <c r="I14" s="396">
        <v>3271.0349999999999</v>
      </c>
      <c r="J14" s="396">
        <v>3274.6</v>
      </c>
      <c r="K14" s="396">
        <v>3340.25</v>
      </c>
      <c r="L14" s="396">
        <v>3228.3850000000002</v>
      </c>
      <c r="M14" s="396">
        <v>3304.4250000000002</v>
      </c>
      <c r="N14" s="396">
        <v>3403.625</v>
      </c>
      <c r="O14" s="396">
        <v>3403.625</v>
      </c>
      <c r="P14" s="396">
        <v>0</v>
      </c>
      <c r="Q14" s="396">
        <v>0</v>
      </c>
      <c r="R14" s="396">
        <v>0</v>
      </c>
      <c r="S14" s="396">
        <f t="shared" si="3"/>
        <v>29835.314999999999</v>
      </c>
      <c r="T14" s="396"/>
      <c r="U14" s="396">
        <f t="shared" si="4"/>
        <v>327.55939629990263</v>
      </c>
      <c r="V14" s="396">
        <f t="shared" si="4"/>
        <v>316.00146056475171</v>
      </c>
      <c r="W14" s="396">
        <f t="shared" si="4"/>
        <v>318.50389483933787</v>
      </c>
      <c r="X14" s="396">
        <f t="shared" si="4"/>
        <v>318.8510223953262</v>
      </c>
      <c r="Y14" s="396">
        <f t="shared" si="4"/>
        <v>325.24342745861736</v>
      </c>
      <c r="Z14" s="396">
        <f t="shared" si="4"/>
        <v>314.35102239532625</v>
      </c>
      <c r="AA14" s="396">
        <f t="shared" si="4"/>
        <v>321.75511197663099</v>
      </c>
      <c r="AB14" s="396">
        <f t="shared" si="4"/>
        <v>331.4143135345667</v>
      </c>
      <c r="AC14" s="396">
        <f t="shared" si="4"/>
        <v>331.4143135345667</v>
      </c>
      <c r="AD14" s="396">
        <f t="shared" si="4"/>
        <v>0</v>
      </c>
      <c r="AE14" s="396">
        <f t="shared" si="4"/>
        <v>0</v>
      </c>
      <c r="AF14" s="396">
        <f t="shared" si="4"/>
        <v>0</v>
      </c>
      <c r="AG14" s="396">
        <f t="shared" si="5"/>
        <v>242.09116358325218</v>
      </c>
      <c r="AJ14" s="393">
        <v>35</v>
      </c>
      <c r="AM14" s="393">
        <v>1</v>
      </c>
      <c r="AN14" s="397">
        <f t="shared" si="6"/>
        <v>0</v>
      </c>
    </row>
    <row r="15" spans="1:40" s="393" customFormat="1">
      <c r="A15" s="393" t="str">
        <f t="shared" si="1"/>
        <v>KITSAP CO -REGULATEDResidential48RE1</v>
      </c>
      <c r="B15" s="393">
        <f t="shared" si="2"/>
        <v>1</v>
      </c>
      <c r="C15" s="394" t="s">
        <v>191</v>
      </c>
      <c r="D15" s="394" t="s">
        <v>192</v>
      </c>
      <c r="E15" s="395">
        <v>13.52</v>
      </c>
      <c r="F15" s="395"/>
      <c r="G15" s="396">
        <v>1301.2949999999998</v>
      </c>
      <c r="H15" s="396">
        <v>1264.1199999999999</v>
      </c>
      <c r="I15" s="396">
        <v>1297.9199999999998</v>
      </c>
      <c r="J15" s="396">
        <v>1318.2</v>
      </c>
      <c r="K15" s="396">
        <v>1350.65</v>
      </c>
      <c r="L15" s="396">
        <v>1407.43</v>
      </c>
      <c r="M15" s="396">
        <v>1453.42</v>
      </c>
      <c r="N15" s="396">
        <v>1521.125</v>
      </c>
      <c r="O15" s="396">
        <v>1513.885</v>
      </c>
      <c r="P15" s="396">
        <v>0</v>
      </c>
      <c r="Q15" s="396">
        <v>0</v>
      </c>
      <c r="R15" s="396">
        <v>0</v>
      </c>
      <c r="S15" s="396">
        <f t="shared" si="3"/>
        <v>12428.045</v>
      </c>
      <c r="T15" s="396"/>
      <c r="U15" s="396">
        <f t="shared" si="4"/>
        <v>96.249630177514788</v>
      </c>
      <c r="V15" s="396">
        <f t="shared" si="4"/>
        <v>93.5</v>
      </c>
      <c r="W15" s="396">
        <f t="shared" si="4"/>
        <v>95.999999999999986</v>
      </c>
      <c r="X15" s="396">
        <f t="shared" si="4"/>
        <v>97.5</v>
      </c>
      <c r="Y15" s="396">
        <f t="shared" si="4"/>
        <v>99.900147928994087</v>
      </c>
      <c r="Z15" s="396">
        <f t="shared" si="4"/>
        <v>104.09985207100593</v>
      </c>
      <c r="AA15" s="396">
        <f t="shared" si="4"/>
        <v>107.50147928994083</v>
      </c>
      <c r="AB15" s="396">
        <f t="shared" si="4"/>
        <v>112.50924556213018</v>
      </c>
      <c r="AC15" s="396">
        <f t="shared" si="4"/>
        <v>111.97374260355029</v>
      </c>
      <c r="AD15" s="396">
        <f t="shared" si="4"/>
        <v>0</v>
      </c>
      <c r="AE15" s="396">
        <f t="shared" si="4"/>
        <v>0</v>
      </c>
      <c r="AF15" s="396">
        <f t="shared" si="4"/>
        <v>0</v>
      </c>
      <c r="AG15" s="396">
        <f t="shared" si="5"/>
        <v>76.602841469428014</v>
      </c>
      <c r="AH15" s="398"/>
      <c r="AJ15" s="393">
        <v>48</v>
      </c>
      <c r="AM15" s="393">
        <v>1</v>
      </c>
      <c r="AN15" s="397">
        <f t="shared" si="6"/>
        <v>0</v>
      </c>
    </row>
    <row r="16" spans="1:40" s="393" customFormat="1" ht="12.75" customHeight="1">
      <c r="A16" s="393" t="str">
        <f t="shared" si="1"/>
        <v>KITSAP CO -REGULATEDResidential64RE1</v>
      </c>
      <c r="B16" s="393">
        <f t="shared" si="2"/>
        <v>1</v>
      </c>
      <c r="C16" s="398" t="s">
        <v>193</v>
      </c>
      <c r="D16" s="394" t="s">
        <v>194</v>
      </c>
      <c r="E16" s="395">
        <v>16.04</v>
      </c>
      <c r="F16" s="395"/>
      <c r="G16" s="396">
        <v>2063.5500000000002</v>
      </c>
      <c r="H16" s="396">
        <v>2025.05</v>
      </c>
      <c r="I16" s="396">
        <v>2073.17</v>
      </c>
      <c r="J16" s="396">
        <v>2029.06</v>
      </c>
      <c r="K16" s="396">
        <v>2059.54</v>
      </c>
      <c r="L16" s="396">
        <v>2076.1</v>
      </c>
      <c r="M16" s="396">
        <v>2114.6</v>
      </c>
      <c r="N16" s="396">
        <v>2315.625</v>
      </c>
      <c r="O16" s="396">
        <v>2300.0949999999998</v>
      </c>
      <c r="P16" s="396">
        <v>0</v>
      </c>
      <c r="Q16" s="396">
        <v>0</v>
      </c>
      <c r="R16" s="396">
        <v>0</v>
      </c>
      <c r="S16" s="396">
        <f t="shared" si="3"/>
        <v>19056.79</v>
      </c>
      <c r="T16" s="396"/>
      <c r="U16" s="396">
        <f t="shared" si="4"/>
        <v>128.65024937655863</v>
      </c>
      <c r="V16" s="396">
        <f t="shared" si="4"/>
        <v>126.25</v>
      </c>
      <c r="W16" s="396">
        <f t="shared" si="4"/>
        <v>129.25</v>
      </c>
      <c r="X16" s="396">
        <f t="shared" si="4"/>
        <v>126.5</v>
      </c>
      <c r="Y16" s="396">
        <f t="shared" si="4"/>
        <v>128.40024937655861</v>
      </c>
      <c r="Z16" s="396">
        <f t="shared" si="4"/>
        <v>129.43266832917706</v>
      </c>
      <c r="AA16" s="396">
        <f t="shared" si="4"/>
        <v>131.83291770573567</v>
      </c>
      <c r="AB16" s="396">
        <f t="shared" si="4"/>
        <v>144.36564837905237</v>
      </c>
      <c r="AC16" s="396">
        <f t="shared" si="4"/>
        <v>143.3974438902743</v>
      </c>
      <c r="AD16" s="396">
        <f t="shared" si="4"/>
        <v>0</v>
      </c>
      <c r="AE16" s="396">
        <f t="shared" si="4"/>
        <v>0</v>
      </c>
      <c r="AF16" s="396">
        <f t="shared" si="4"/>
        <v>0</v>
      </c>
      <c r="AG16" s="396">
        <f t="shared" si="5"/>
        <v>99.00659808811308</v>
      </c>
      <c r="AH16" s="398"/>
      <c r="AJ16" s="393">
        <v>64</v>
      </c>
      <c r="AM16" s="393">
        <v>1</v>
      </c>
      <c r="AN16" s="397">
        <f t="shared" si="6"/>
        <v>0</v>
      </c>
    </row>
    <row r="17" spans="1:40" s="393" customFormat="1">
      <c r="A17" s="393" t="str">
        <f t="shared" si="1"/>
        <v>KITSAP CO -REGULATEDResidential96RE1</v>
      </c>
      <c r="B17" s="393">
        <f t="shared" si="2"/>
        <v>1</v>
      </c>
      <c r="C17" s="398" t="s">
        <v>195</v>
      </c>
      <c r="D17" s="394" t="s">
        <v>196</v>
      </c>
      <c r="E17" s="395">
        <v>20.03</v>
      </c>
      <c r="F17" s="395"/>
      <c r="G17" s="396">
        <v>1459.175</v>
      </c>
      <c r="H17" s="396">
        <v>1592.395</v>
      </c>
      <c r="I17" s="396">
        <v>1592.395</v>
      </c>
      <c r="J17" s="396">
        <v>1629.4449999999999</v>
      </c>
      <c r="K17" s="396">
        <v>1669.5149999999999</v>
      </c>
      <c r="L17" s="396">
        <v>1482.2249999999999</v>
      </c>
      <c r="M17" s="396">
        <v>1548.3249999999998</v>
      </c>
      <c r="N17" s="396">
        <v>1687.095</v>
      </c>
      <c r="O17" s="396">
        <v>1669.7750000000001</v>
      </c>
      <c r="P17" s="396">
        <v>0</v>
      </c>
      <c r="Q17" s="396">
        <v>10.83</v>
      </c>
      <c r="R17" s="396">
        <v>0</v>
      </c>
      <c r="S17" s="396">
        <f t="shared" si="3"/>
        <v>14341.174999999997</v>
      </c>
      <c r="T17" s="396"/>
      <c r="U17" s="396">
        <f t="shared" si="4"/>
        <v>72.849475786320511</v>
      </c>
      <c r="V17" s="396">
        <f t="shared" si="4"/>
        <v>79.500499251123316</v>
      </c>
      <c r="W17" s="396">
        <f t="shared" si="4"/>
        <v>79.500499251123316</v>
      </c>
      <c r="X17" s="396">
        <f t="shared" si="4"/>
        <v>81.350224663005477</v>
      </c>
      <c r="Y17" s="396">
        <f t="shared" si="4"/>
        <v>83.350723914128793</v>
      </c>
      <c r="Z17" s="396">
        <f t="shared" si="4"/>
        <v>74.000249625561651</v>
      </c>
      <c r="AA17" s="396">
        <f t="shared" si="4"/>
        <v>77.300299550673969</v>
      </c>
      <c r="AB17" s="396">
        <f t="shared" si="4"/>
        <v>84.228407388916622</v>
      </c>
      <c r="AC17" s="396">
        <f t="shared" si="4"/>
        <v>83.363704443334996</v>
      </c>
      <c r="AD17" s="396">
        <f t="shared" si="4"/>
        <v>0</v>
      </c>
      <c r="AE17" s="396">
        <f t="shared" si="4"/>
        <v>0.54068896655017473</v>
      </c>
      <c r="AF17" s="396">
        <f t="shared" si="4"/>
        <v>0</v>
      </c>
      <c r="AG17" s="396">
        <f t="shared" si="5"/>
        <v>59.665397736728231</v>
      </c>
      <c r="AH17" s="398"/>
      <c r="AJ17" s="393">
        <v>96</v>
      </c>
      <c r="AM17" s="393">
        <v>1</v>
      </c>
      <c r="AN17" s="397">
        <f t="shared" si="6"/>
        <v>0</v>
      </c>
    </row>
    <row r="18" spans="1:40" s="393" customFormat="1">
      <c r="A18" s="393" t="str">
        <f t="shared" si="1"/>
        <v>KITSAP CO -REGULATEDResidential35RM1</v>
      </c>
      <c r="B18" s="393">
        <f t="shared" si="2"/>
        <v>1</v>
      </c>
      <c r="C18" s="398" t="s">
        <v>207</v>
      </c>
      <c r="D18" s="394" t="s">
        <v>208</v>
      </c>
      <c r="E18" s="395">
        <v>6.17</v>
      </c>
      <c r="F18" s="395"/>
      <c r="G18" s="396">
        <v>194.35499999999999</v>
      </c>
      <c r="H18" s="396">
        <v>191.27</v>
      </c>
      <c r="I18" s="396">
        <v>209.78</v>
      </c>
      <c r="J18" s="396">
        <v>212.86500000000001</v>
      </c>
      <c r="K18" s="396">
        <v>200.52500000000001</v>
      </c>
      <c r="L18" s="396">
        <v>188.185</v>
      </c>
      <c r="M18" s="396">
        <v>194.35499999999999</v>
      </c>
      <c r="N18" s="396">
        <v>184.965</v>
      </c>
      <c r="O18" s="396">
        <v>184.965</v>
      </c>
      <c r="P18" s="396">
        <v>0</v>
      </c>
      <c r="Q18" s="396">
        <v>0</v>
      </c>
      <c r="R18" s="396">
        <v>0</v>
      </c>
      <c r="S18" s="396">
        <f t="shared" si="3"/>
        <v>1761.2649999999999</v>
      </c>
      <c r="T18" s="396"/>
      <c r="U18" s="396">
        <f t="shared" si="4"/>
        <v>31.5</v>
      </c>
      <c r="V18" s="396">
        <f t="shared" si="4"/>
        <v>31.000000000000004</v>
      </c>
      <c r="W18" s="396">
        <f t="shared" si="4"/>
        <v>34</v>
      </c>
      <c r="X18" s="396">
        <f t="shared" si="4"/>
        <v>34.5</v>
      </c>
      <c r="Y18" s="396">
        <f t="shared" si="4"/>
        <v>32.5</v>
      </c>
      <c r="Z18" s="396">
        <f t="shared" si="4"/>
        <v>30.5</v>
      </c>
      <c r="AA18" s="396">
        <f t="shared" si="4"/>
        <v>31.5</v>
      </c>
      <c r="AB18" s="396">
        <f t="shared" si="4"/>
        <v>29.978119935170181</v>
      </c>
      <c r="AC18" s="396">
        <f t="shared" si="4"/>
        <v>29.978119935170181</v>
      </c>
      <c r="AD18" s="396">
        <f t="shared" si="4"/>
        <v>0</v>
      </c>
      <c r="AE18" s="396">
        <f t="shared" si="4"/>
        <v>0</v>
      </c>
      <c r="AF18" s="396">
        <f t="shared" si="4"/>
        <v>0</v>
      </c>
      <c r="AG18" s="396">
        <f t="shared" si="5"/>
        <v>23.788019989195032</v>
      </c>
      <c r="AH18" s="398"/>
      <c r="AJ18" s="393">
        <v>35</v>
      </c>
      <c r="AM18" s="393">
        <v>1</v>
      </c>
      <c r="AN18" s="397">
        <f t="shared" si="6"/>
        <v>0</v>
      </c>
    </row>
    <row r="19" spans="1:40" s="393" customFormat="1">
      <c r="A19" s="393" t="str">
        <f t="shared" si="1"/>
        <v>KITSAP CO -REGULATEDResidential48RM1</v>
      </c>
      <c r="B19" s="393">
        <f t="shared" si="2"/>
        <v>1</v>
      </c>
      <c r="C19" s="398" t="s">
        <v>209</v>
      </c>
      <c r="D19" s="394" t="s">
        <v>210</v>
      </c>
      <c r="E19" s="395">
        <v>7.73</v>
      </c>
      <c r="F19" s="395"/>
      <c r="G19" s="396">
        <v>23.19</v>
      </c>
      <c r="H19" s="396">
        <v>23.19</v>
      </c>
      <c r="I19" s="396">
        <v>7.73</v>
      </c>
      <c r="J19" s="396">
        <v>15.46</v>
      </c>
      <c r="K19" s="396">
        <v>15.46</v>
      </c>
      <c r="L19" s="396">
        <v>23.19</v>
      </c>
      <c r="M19" s="396">
        <v>23.19</v>
      </c>
      <c r="N19" s="396">
        <v>16.260000000000002</v>
      </c>
      <c r="O19" s="396">
        <v>16.260000000000002</v>
      </c>
      <c r="P19" s="396">
        <v>0</v>
      </c>
      <c r="Q19" s="396">
        <v>0</v>
      </c>
      <c r="R19" s="396">
        <v>0</v>
      </c>
      <c r="S19" s="396">
        <f t="shared" si="3"/>
        <v>163.92999999999998</v>
      </c>
      <c r="T19" s="396"/>
      <c r="U19" s="396">
        <f t="shared" si="4"/>
        <v>3</v>
      </c>
      <c r="V19" s="396">
        <f t="shared" si="4"/>
        <v>3</v>
      </c>
      <c r="W19" s="396">
        <f t="shared" si="4"/>
        <v>1</v>
      </c>
      <c r="X19" s="396">
        <f t="shared" si="4"/>
        <v>2</v>
      </c>
      <c r="Y19" s="396">
        <f t="shared" si="4"/>
        <v>2</v>
      </c>
      <c r="Z19" s="396">
        <f t="shared" si="4"/>
        <v>3</v>
      </c>
      <c r="AA19" s="396">
        <f t="shared" si="4"/>
        <v>3</v>
      </c>
      <c r="AB19" s="396">
        <f t="shared" si="4"/>
        <v>2.1034928848641656</v>
      </c>
      <c r="AC19" s="396">
        <f t="shared" si="4"/>
        <v>2.1034928848641656</v>
      </c>
      <c r="AD19" s="396">
        <f t="shared" si="4"/>
        <v>0</v>
      </c>
      <c r="AE19" s="396">
        <f t="shared" si="4"/>
        <v>0</v>
      </c>
      <c r="AF19" s="396">
        <f t="shared" si="4"/>
        <v>0</v>
      </c>
      <c r="AG19" s="396">
        <f t="shared" si="5"/>
        <v>1.7672488141440279</v>
      </c>
      <c r="AH19" s="398"/>
      <c r="AJ19" s="393">
        <v>48</v>
      </c>
      <c r="AM19" s="393">
        <v>1</v>
      </c>
      <c r="AN19" s="397">
        <f t="shared" si="6"/>
        <v>0</v>
      </c>
    </row>
    <row r="20" spans="1:40" s="393" customFormat="1">
      <c r="A20" s="393" t="str">
        <f t="shared" si="1"/>
        <v>KITSAP CO -REGULATEDResidential64RM1</v>
      </c>
      <c r="B20" s="393">
        <f t="shared" si="2"/>
        <v>1</v>
      </c>
      <c r="C20" s="398" t="s">
        <v>211</v>
      </c>
      <c r="D20" s="394" t="s">
        <v>212</v>
      </c>
      <c r="E20" s="395">
        <v>9.08</v>
      </c>
      <c r="F20" s="395"/>
      <c r="G20" s="396">
        <v>72.64</v>
      </c>
      <c r="H20" s="396">
        <v>77.180000000000007</v>
      </c>
      <c r="I20" s="396">
        <v>77.180000000000007</v>
      </c>
      <c r="J20" s="396">
        <v>81.72</v>
      </c>
      <c r="K20" s="396">
        <v>81.72</v>
      </c>
      <c r="L20" s="396">
        <v>63.56</v>
      </c>
      <c r="M20" s="396">
        <v>63.56</v>
      </c>
      <c r="N20" s="396">
        <v>67.2</v>
      </c>
      <c r="O20" s="396">
        <v>67.2</v>
      </c>
      <c r="P20" s="396">
        <v>0</v>
      </c>
      <c r="Q20" s="396">
        <v>0</v>
      </c>
      <c r="R20" s="396">
        <v>0</v>
      </c>
      <c r="S20" s="396">
        <f t="shared" si="3"/>
        <v>651.96000000000015</v>
      </c>
      <c r="T20" s="396"/>
      <c r="U20" s="396">
        <f t="shared" si="4"/>
        <v>8</v>
      </c>
      <c r="V20" s="396">
        <f t="shared" si="4"/>
        <v>8.5</v>
      </c>
      <c r="W20" s="396">
        <f t="shared" si="4"/>
        <v>8.5</v>
      </c>
      <c r="X20" s="396">
        <f t="shared" si="4"/>
        <v>9</v>
      </c>
      <c r="Y20" s="396">
        <f t="shared" si="4"/>
        <v>9</v>
      </c>
      <c r="Z20" s="396">
        <f t="shared" si="4"/>
        <v>7</v>
      </c>
      <c r="AA20" s="396">
        <f t="shared" si="4"/>
        <v>7</v>
      </c>
      <c r="AB20" s="396">
        <f t="shared" si="4"/>
        <v>7.4008810572687231</v>
      </c>
      <c r="AC20" s="396">
        <f t="shared" si="4"/>
        <v>7.4008810572687231</v>
      </c>
      <c r="AD20" s="396">
        <f t="shared" si="4"/>
        <v>0</v>
      </c>
      <c r="AE20" s="396">
        <f t="shared" si="4"/>
        <v>0</v>
      </c>
      <c r="AF20" s="396">
        <f t="shared" si="4"/>
        <v>0</v>
      </c>
      <c r="AG20" s="396">
        <f t="shared" si="5"/>
        <v>5.9834801762114536</v>
      </c>
      <c r="AH20" s="398"/>
      <c r="AJ20" s="393">
        <v>64</v>
      </c>
      <c r="AM20" s="393">
        <v>1</v>
      </c>
      <c r="AN20" s="397">
        <f t="shared" si="6"/>
        <v>0</v>
      </c>
    </row>
    <row r="21" spans="1:40" s="393" customFormat="1">
      <c r="A21" s="393" t="str">
        <f t="shared" si="1"/>
        <v>KITSAP CO -REGULATEDResidential96RM1</v>
      </c>
      <c r="B21" s="393">
        <f t="shared" si="2"/>
        <v>1</v>
      </c>
      <c r="C21" s="398" t="s">
        <v>213</v>
      </c>
      <c r="D21" s="394" t="s">
        <v>214</v>
      </c>
      <c r="E21" s="395">
        <v>11.12</v>
      </c>
      <c r="F21" s="395"/>
      <c r="G21" s="396">
        <v>55.599999999999994</v>
      </c>
      <c r="H21" s="396">
        <v>50.04</v>
      </c>
      <c r="I21" s="396">
        <v>50.04</v>
      </c>
      <c r="J21" s="396">
        <v>55.6</v>
      </c>
      <c r="K21" s="396">
        <v>66.72</v>
      </c>
      <c r="L21" s="396">
        <v>72.28</v>
      </c>
      <c r="M21" s="396">
        <v>72.28</v>
      </c>
      <c r="N21" s="396">
        <v>59.25</v>
      </c>
      <c r="O21" s="396">
        <v>59.25</v>
      </c>
      <c r="P21" s="396">
        <v>0</v>
      </c>
      <c r="Q21" s="396">
        <v>0</v>
      </c>
      <c r="R21" s="396">
        <v>0</v>
      </c>
      <c r="S21" s="396">
        <f t="shared" si="3"/>
        <v>541.05999999999995</v>
      </c>
      <c r="T21" s="396"/>
      <c r="U21" s="396">
        <f t="shared" si="4"/>
        <v>5</v>
      </c>
      <c r="V21" s="396">
        <f t="shared" si="4"/>
        <v>4.5</v>
      </c>
      <c r="W21" s="396">
        <f t="shared" si="4"/>
        <v>4.5</v>
      </c>
      <c r="X21" s="396">
        <f t="shared" si="4"/>
        <v>5.0000000000000009</v>
      </c>
      <c r="Y21" s="396">
        <f t="shared" si="4"/>
        <v>6</v>
      </c>
      <c r="Z21" s="396">
        <f t="shared" si="4"/>
        <v>6.5000000000000009</v>
      </c>
      <c r="AA21" s="396">
        <f t="shared" si="4"/>
        <v>6.5000000000000009</v>
      </c>
      <c r="AB21" s="396">
        <f t="shared" si="4"/>
        <v>5.3282374100719432</v>
      </c>
      <c r="AC21" s="396">
        <f t="shared" si="4"/>
        <v>5.3282374100719432</v>
      </c>
      <c r="AD21" s="396">
        <f t="shared" si="4"/>
        <v>0</v>
      </c>
      <c r="AE21" s="396">
        <f t="shared" si="4"/>
        <v>0</v>
      </c>
      <c r="AF21" s="396">
        <f t="shared" si="4"/>
        <v>0</v>
      </c>
      <c r="AG21" s="396">
        <f t="shared" si="5"/>
        <v>4.0547062350119907</v>
      </c>
      <c r="AH21" s="398"/>
      <c r="AJ21" s="393">
        <v>96</v>
      </c>
      <c r="AM21" s="393">
        <v>1</v>
      </c>
      <c r="AN21" s="397">
        <f t="shared" si="6"/>
        <v>0</v>
      </c>
    </row>
    <row r="22" spans="1:40" s="223" customFormat="1">
      <c r="A22" s="223" t="str">
        <f t="shared" si="1"/>
        <v>KITSAP CO -REGULATEDResidentialDRVNRW1</v>
      </c>
      <c r="B22" s="223">
        <f t="shared" si="2"/>
        <v>1</v>
      </c>
      <c r="C22" s="59" t="s">
        <v>229</v>
      </c>
      <c r="D22" s="252" t="s">
        <v>230</v>
      </c>
      <c r="E22" s="254">
        <f>1.11*4.33</f>
        <v>4.8063000000000002</v>
      </c>
      <c r="F22" s="254"/>
      <c r="G22" s="255">
        <v>92.46</v>
      </c>
      <c r="H22" s="255">
        <v>96.8</v>
      </c>
      <c r="I22" s="255">
        <v>99.21</v>
      </c>
      <c r="J22" s="255">
        <v>101.545</v>
      </c>
      <c r="K22" s="255">
        <v>112.245</v>
      </c>
      <c r="L22" s="255">
        <v>105.82</v>
      </c>
      <c r="M22" s="255">
        <v>105.82</v>
      </c>
      <c r="N22" s="255">
        <v>113.63500000000001</v>
      </c>
      <c r="O22" s="255">
        <v>107.625</v>
      </c>
      <c r="P22" s="255">
        <v>0</v>
      </c>
      <c r="Q22" s="255">
        <v>0</v>
      </c>
      <c r="R22" s="255">
        <v>0</v>
      </c>
      <c r="S22" s="255">
        <f t="shared" si="3"/>
        <v>935.15999999999985</v>
      </c>
      <c r="T22" s="255"/>
      <c r="U22" s="255">
        <f t="shared" si="4"/>
        <v>19.237251107920851</v>
      </c>
      <c r="V22" s="255">
        <f t="shared" si="4"/>
        <v>20.140232611364251</v>
      </c>
      <c r="W22" s="255">
        <f t="shared" si="4"/>
        <v>20.641657824105859</v>
      </c>
      <c r="X22" s="255">
        <f t="shared" si="4"/>
        <v>21.127478517778748</v>
      </c>
      <c r="Y22" s="255">
        <f t="shared" si="4"/>
        <v>23.353723238249795</v>
      </c>
      <c r="Z22" s="255">
        <f t="shared" si="4"/>
        <v>22.016936104695919</v>
      </c>
      <c r="AA22" s="255">
        <f t="shared" si="4"/>
        <v>22.016936104695919</v>
      </c>
      <c r="AB22" s="255">
        <f t="shared" si="4"/>
        <v>23.642926991656783</v>
      </c>
      <c r="AC22" s="255">
        <f t="shared" si="4"/>
        <v>22.392484863616502</v>
      </c>
      <c r="AD22" s="255">
        <f t="shared" si="4"/>
        <v>0</v>
      </c>
      <c r="AE22" s="255">
        <f t="shared" si="4"/>
        <v>0</v>
      </c>
      <c r="AF22" s="255">
        <f t="shared" si="4"/>
        <v>0</v>
      </c>
      <c r="AG22" s="255">
        <f t="shared" si="5"/>
        <v>16.214135613673719</v>
      </c>
      <c r="AH22" s="59"/>
    </row>
    <row r="23" spans="1:40" s="223" customFormat="1">
      <c r="A23" s="223" t="str">
        <f t="shared" si="1"/>
        <v>KITSAP CO -REGULATEDResidentialDRVNRE1</v>
      </c>
      <c r="B23" s="223">
        <f t="shared" si="2"/>
        <v>1</v>
      </c>
      <c r="C23" s="59" t="s">
        <v>227</v>
      </c>
      <c r="D23" s="252" t="s">
        <v>228</v>
      </c>
      <c r="E23" s="254">
        <f>1.11*2.17</f>
        <v>2.4087000000000001</v>
      </c>
      <c r="F23" s="254"/>
      <c r="G23" s="255">
        <v>24.05</v>
      </c>
      <c r="H23" s="255">
        <v>24.05</v>
      </c>
      <c r="I23" s="255">
        <v>24.05</v>
      </c>
      <c r="J23" s="255">
        <v>24.05</v>
      </c>
      <c r="K23" s="255">
        <v>24.05</v>
      </c>
      <c r="L23" s="255">
        <v>24.05</v>
      </c>
      <c r="M23" s="255">
        <v>24.05</v>
      </c>
      <c r="N23" s="255">
        <v>23.93</v>
      </c>
      <c r="O23" s="255">
        <v>23.93</v>
      </c>
      <c r="P23" s="255">
        <v>0</v>
      </c>
      <c r="Q23" s="255">
        <v>0</v>
      </c>
      <c r="R23" s="255">
        <v>0</v>
      </c>
      <c r="S23" s="255">
        <f t="shared" si="3"/>
        <v>216.21000000000004</v>
      </c>
      <c r="T23" s="255"/>
      <c r="U23" s="255">
        <f t="shared" si="4"/>
        <v>9.9846390168970807</v>
      </c>
      <c r="V23" s="255">
        <f t="shared" si="4"/>
        <v>9.9846390168970807</v>
      </c>
      <c r="W23" s="255">
        <f t="shared" si="4"/>
        <v>9.9846390168970807</v>
      </c>
      <c r="X23" s="255">
        <f t="shared" si="4"/>
        <v>9.9846390168970807</v>
      </c>
      <c r="Y23" s="255">
        <f t="shared" si="4"/>
        <v>9.9846390168970807</v>
      </c>
      <c r="Z23" s="255">
        <f t="shared" si="4"/>
        <v>9.9846390168970807</v>
      </c>
      <c r="AA23" s="255">
        <f t="shared" si="4"/>
        <v>9.9846390168970807</v>
      </c>
      <c r="AB23" s="255">
        <f t="shared" si="4"/>
        <v>9.9348196122389663</v>
      </c>
      <c r="AC23" s="255">
        <f t="shared" si="4"/>
        <v>9.9348196122389663</v>
      </c>
      <c r="AD23" s="255">
        <f t="shared" si="4"/>
        <v>0</v>
      </c>
      <c r="AE23" s="255">
        <f t="shared" si="4"/>
        <v>0</v>
      </c>
      <c r="AF23" s="255">
        <f t="shared" si="4"/>
        <v>0</v>
      </c>
      <c r="AG23" s="255">
        <f t="shared" si="5"/>
        <v>7.4801760285631245</v>
      </c>
      <c r="AH23" s="59"/>
    </row>
    <row r="24" spans="1:40" s="223" customFormat="1">
      <c r="A24" s="223" t="str">
        <f>$A$1&amp;"Residential"&amp;C24</f>
        <v>KITSAP CO -REGULATEDResidentialDRVNRW2</v>
      </c>
      <c r="B24" s="223">
        <f t="shared" si="2"/>
        <v>1</v>
      </c>
      <c r="C24" s="59" t="s">
        <v>233</v>
      </c>
      <c r="D24" s="252" t="s">
        <v>234</v>
      </c>
      <c r="E24" s="254">
        <f>1.4*4.33</f>
        <v>6.0619999999999994</v>
      </c>
      <c r="F24" s="254"/>
      <c r="G24" s="255">
        <v>6.06</v>
      </c>
      <c r="H24" s="255">
        <v>6.06</v>
      </c>
      <c r="I24" s="255">
        <v>6.06</v>
      </c>
      <c r="J24" s="255">
        <v>6.06</v>
      </c>
      <c r="K24" s="255">
        <v>8.75</v>
      </c>
      <c r="L24" s="255">
        <v>12.12</v>
      </c>
      <c r="M24" s="255">
        <v>12.12</v>
      </c>
      <c r="N24" s="255">
        <v>12.12</v>
      </c>
      <c r="O24" s="255">
        <v>12.12</v>
      </c>
      <c r="P24" s="255">
        <v>0</v>
      </c>
      <c r="Q24" s="255">
        <v>0</v>
      </c>
      <c r="R24" s="255">
        <v>0</v>
      </c>
      <c r="S24" s="255">
        <f>SUM(G24:R24)</f>
        <v>81.47</v>
      </c>
      <c r="T24" s="255"/>
      <c r="U24" s="255">
        <f t="shared" si="4"/>
        <v>0.99967007588254708</v>
      </c>
      <c r="V24" s="255">
        <f t="shared" si="4"/>
        <v>0.99967007588254708</v>
      </c>
      <c r="W24" s="255">
        <f t="shared" si="4"/>
        <v>0.99967007588254708</v>
      </c>
      <c r="X24" s="255">
        <f t="shared" si="4"/>
        <v>0.99967007588254708</v>
      </c>
      <c r="Y24" s="255">
        <f t="shared" si="4"/>
        <v>1.4434180138568131</v>
      </c>
      <c r="Z24" s="255">
        <f t="shared" si="4"/>
        <v>1.9993401517650942</v>
      </c>
      <c r="AA24" s="255">
        <f t="shared" si="4"/>
        <v>1.9993401517650942</v>
      </c>
      <c r="AB24" s="255">
        <f t="shared" si="4"/>
        <v>1.9993401517650942</v>
      </c>
      <c r="AC24" s="255">
        <f t="shared" si="4"/>
        <v>1.9993401517650942</v>
      </c>
      <c r="AD24" s="255">
        <f t="shared" si="4"/>
        <v>0</v>
      </c>
      <c r="AE24" s="255">
        <f t="shared" si="4"/>
        <v>0</v>
      </c>
      <c r="AF24" s="255">
        <f t="shared" si="4"/>
        <v>0</v>
      </c>
      <c r="AG24" s="255">
        <f t="shared" si="5"/>
        <v>1.119954910370615</v>
      </c>
      <c r="AH24" s="59"/>
    </row>
    <row r="25" spans="1:40" s="223" customFormat="1">
      <c r="A25" s="223" t="str">
        <f>$A$1&amp;"Residential"&amp;C25</f>
        <v>KITSAP CO -REGULATEDResidentialDRVNRE2</v>
      </c>
      <c r="B25" s="223">
        <f t="shared" si="2"/>
        <v>1</v>
      </c>
      <c r="C25" s="59" t="s">
        <v>237</v>
      </c>
      <c r="D25" s="252" t="s">
        <v>238</v>
      </c>
      <c r="E25" s="254">
        <f>1.4*2.17</f>
        <v>3.0379999999999998</v>
      </c>
      <c r="F25" s="254"/>
      <c r="G25" s="255">
        <v>9.09</v>
      </c>
      <c r="H25" s="255">
        <v>9.09</v>
      </c>
      <c r="I25" s="255">
        <v>9.09</v>
      </c>
      <c r="J25" s="255">
        <v>9.09</v>
      </c>
      <c r="K25" s="255">
        <v>9.09</v>
      </c>
      <c r="L25" s="255">
        <v>9.09</v>
      </c>
      <c r="M25" s="255">
        <v>9.09</v>
      </c>
      <c r="N25" s="255">
        <v>9.09</v>
      </c>
      <c r="O25" s="255">
        <v>9.09</v>
      </c>
      <c r="P25" s="255">
        <v>0</v>
      </c>
      <c r="Q25" s="255">
        <v>0</v>
      </c>
      <c r="R25" s="255">
        <v>0</v>
      </c>
      <c r="S25" s="255">
        <f>SUM(G25:R25)</f>
        <v>81.810000000000016</v>
      </c>
      <c r="T25" s="255"/>
      <c r="U25" s="255">
        <f t="shared" si="4"/>
        <v>2.9921000658327848</v>
      </c>
      <c r="V25" s="255">
        <f t="shared" si="4"/>
        <v>2.9921000658327848</v>
      </c>
      <c r="W25" s="255">
        <f t="shared" si="4"/>
        <v>2.9921000658327848</v>
      </c>
      <c r="X25" s="255">
        <f t="shared" si="4"/>
        <v>2.9921000658327848</v>
      </c>
      <c r="Y25" s="255">
        <f t="shared" si="4"/>
        <v>2.9921000658327848</v>
      </c>
      <c r="Z25" s="255">
        <f t="shared" si="4"/>
        <v>2.9921000658327848</v>
      </c>
      <c r="AA25" s="255">
        <f t="shared" si="4"/>
        <v>2.9921000658327848</v>
      </c>
      <c r="AB25" s="255">
        <f t="shared" si="4"/>
        <v>2.9921000658327848</v>
      </c>
      <c r="AC25" s="255">
        <f t="shared" si="4"/>
        <v>2.9921000658327848</v>
      </c>
      <c r="AD25" s="255">
        <f t="shared" si="4"/>
        <v>0</v>
      </c>
      <c r="AE25" s="255">
        <f t="shared" si="4"/>
        <v>0</v>
      </c>
      <c r="AF25" s="255">
        <f t="shared" si="4"/>
        <v>0</v>
      </c>
      <c r="AG25" s="255">
        <f t="shared" si="5"/>
        <v>2.244075049374588</v>
      </c>
      <c r="AH25" s="59"/>
    </row>
    <row r="26" spans="1:40" s="223" customFormat="1">
      <c r="A26" s="223" t="str">
        <f t="shared" si="1"/>
        <v>KITSAP CO -REGULATEDResidentialREDELIVER</v>
      </c>
      <c r="B26" s="223">
        <f t="shared" si="2"/>
        <v>1</v>
      </c>
      <c r="C26" s="59" t="s">
        <v>249</v>
      </c>
      <c r="D26" s="252" t="s">
        <v>250</v>
      </c>
      <c r="E26" s="254">
        <v>16.940000000000001</v>
      </c>
      <c r="F26" s="254"/>
      <c r="G26" s="255">
        <v>33.880000000000003</v>
      </c>
      <c r="H26" s="255">
        <v>16.940000000000001</v>
      </c>
      <c r="I26" s="255">
        <v>52.32</v>
      </c>
      <c r="J26" s="255">
        <v>0</v>
      </c>
      <c r="K26" s="255">
        <v>101.64</v>
      </c>
      <c r="L26" s="255">
        <v>0</v>
      </c>
      <c r="M26" s="255">
        <v>33.880000000000003</v>
      </c>
      <c r="N26" s="255">
        <v>84.7</v>
      </c>
      <c r="O26" s="255">
        <v>0</v>
      </c>
      <c r="P26" s="255">
        <v>0</v>
      </c>
      <c r="Q26" s="255">
        <v>0</v>
      </c>
      <c r="R26" s="255">
        <v>0</v>
      </c>
      <c r="S26" s="255">
        <f t="shared" si="3"/>
        <v>323.36</v>
      </c>
      <c r="T26" s="255"/>
      <c r="U26" s="255">
        <f t="shared" ref="U26:AG40" si="7">IFERROR(G26/$E26,0)</f>
        <v>2</v>
      </c>
      <c r="V26" s="255">
        <f t="shared" si="7"/>
        <v>1</v>
      </c>
      <c r="W26" s="255">
        <f t="shared" si="7"/>
        <v>3.0885478158205428</v>
      </c>
      <c r="X26" s="255">
        <f t="shared" si="7"/>
        <v>0</v>
      </c>
      <c r="Y26" s="255">
        <f t="shared" si="7"/>
        <v>6</v>
      </c>
      <c r="Z26" s="255">
        <f t="shared" si="7"/>
        <v>0</v>
      </c>
      <c r="AA26" s="255">
        <f t="shared" si="7"/>
        <v>2</v>
      </c>
      <c r="AB26" s="255">
        <f t="shared" si="7"/>
        <v>5</v>
      </c>
      <c r="AC26" s="255">
        <f t="shared" si="7"/>
        <v>0</v>
      </c>
      <c r="AD26" s="255">
        <f t="shared" si="7"/>
        <v>0</v>
      </c>
      <c r="AE26" s="255">
        <f t="shared" si="7"/>
        <v>0</v>
      </c>
      <c r="AF26" s="255">
        <f t="shared" si="7"/>
        <v>0</v>
      </c>
      <c r="AG26" s="255">
        <f t="shared" si="5"/>
        <v>1.5907123179850453</v>
      </c>
      <c r="AH26" s="59"/>
    </row>
    <row r="27" spans="1:40" s="223" customFormat="1">
      <c r="A27" s="223" t="str">
        <f t="shared" si="1"/>
        <v>KITSAP CO -REGULATEDResidentialRESTART</v>
      </c>
      <c r="B27" s="223">
        <f t="shared" si="2"/>
        <v>1</v>
      </c>
      <c r="C27" s="59" t="s">
        <v>251</v>
      </c>
      <c r="D27" s="252" t="s">
        <v>252</v>
      </c>
      <c r="E27" s="254">
        <v>5.78</v>
      </c>
      <c r="F27" s="254"/>
      <c r="G27" s="255">
        <v>403.60999999999996</v>
      </c>
      <c r="H27" s="255">
        <v>5.31</v>
      </c>
      <c r="I27" s="255">
        <v>324.09999999999997</v>
      </c>
      <c r="J27" s="255">
        <v>38.58</v>
      </c>
      <c r="K27" s="255">
        <v>0</v>
      </c>
      <c r="L27" s="255">
        <v>0</v>
      </c>
      <c r="M27" s="255">
        <v>331.28999999999996</v>
      </c>
      <c r="N27" s="255">
        <v>16.399999999999999</v>
      </c>
      <c r="O27" s="255">
        <v>11.09</v>
      </c>
      <c r="P27" s="255">
        <v>0</v>
      </c>
      <c r="Q27" s="255">
        <v>0</v>
      </c>
      <c r="R27" s="255">
        <v>0</v>
      </c>
      <c r="S27" s="255">
        <f t="shared" si="3"/>
        <v>1130.3799999999999</v>
      </c>
      <c r="T27" s="255"/>
      <c r="U27" s="255">
        <f t="shared" si="7"/>
        <v>69.828719723183383</v>
      </c>
      <c r="V27" s="255">
        <f t="shared" si="7"/>
        <v>0.9186851211072663</v>
      </c>
      <c r="W27" s="255">
        <f t="shared" si="7"/>
        <v>56.072664359861584</v>
      </c>
      <c r="X27" s="255">
        <f t="shared" si="7"/>
        <v>6.6747404844290648</v>
      </c>
      <c r="Y27" s="255">
        <f t="shared" si="7"/>
        <v>0</v>
      </c>
      <c r="Z27" s="255">
        <f t="shared" si="7"/>
        <v>0</v>
      </c>
      <c r="AA27" s="255">
        <f t="shared" si="7"/>
        <v>57.316608996539784</v>
      </c>
      <c r="AB27" s="255">
        <f t="shared" si="7"/>
        <v>2.8373702422145324</v>
      </c>
      <c r="AC27" s="255">
        <f t="shared" si="7"/>
        <v>1.9186851211072664</v>
      </c>
      <c r="AD27" s="255">
        <f t="shared" si="7"/>
        <v>0</v>
      </c>
      <c r="AE27" s="255">
        <f t="shared" si="7"/>
        <v>0</v>
      </c>
      <c r="AF27" s="255">
        <f t="shared" si="7"/>
        <v>0</v>
      </c>
      <c r="AG27" s="255">
        <f t="shared" si="5"/>
        <v>16.297289504036904</v>
      </c>
      <c r="AH27" s="59"/>
    </row>
    <row r="28" spans="1:40" s="393" customFormat="1">
      <c r="A28" s="393" t="str">
        <f t="shared" si="1"/>
        <v>KITSAP CO -REGULATEDResidential35ROCC1</v>
      </c>
      <c r="B28" s="393">
        <f t="shared" si="2"/>
        <v>1</v>
      </c>
      <c r="C28" s="398" t="s">
        <v>219</v>
      </c>
      <c r="D28" s="394" t="s">
        <v>220</v>
      </c>
      <c r="E28" s="395">
        <v>6.49</v>
      </c>
      <c r="F28" s="395"/>
      <c r="G28" s="396">
        <v>333.17999999999995</v>
      </c>
      <c r="H28" s="396">
        <v>314.66999999999996</v>
      </c>
      <c r="I28" s="396">
        <v>277.65000000000003</v>
      </c>
      <c r="J28" s="396">
        <v>357.85999999999996</v>
      </c>
      <c r="K28" s="396">
        <v>438.07</v>
      </c>
      <c r="L28" s="396">
        <v>505.40999999999997</v>
      </c>
      <c r="M28" s="396">
        <v>647.84999999999991</v>
      </c>
      <c r="N28" s="396">
        <v>616.55000000000007</v>
      </c>
      <c r="O28" s="396">
        <v>-6.17</v>
      </c>
      <c r="P28" s="396">
        <v>0</v>
      </c>
      <c r="Q28" s="396">
        <v>6.49</v>
      </c>
      <c r="R28" s="396">
        <v>0</v>
      </c>
      <c r="S28" s="396">
        <f t="shared" si="3"/>
        <v>3491.5599999999995</v>
      </c>
      <c r="T28" s="396"/>
      <c r="U28" s="396">
        <f t="shared" si="7"/>
        <v>51.337442218798138</v>
      </c>
      <c r="V28" s="396">
        <f t="shared" si="7"/>
        <v>48.485362095531578</v>
      </c>
      <c r="W28" s="396">
        <f t="shared" si="7"/>
        <v>42.781201848998464</v>
      </c>
      <c r="X28" s="396">
        <f t="shared" si="7"/>
        <v>55.140215716486892</v>
      </c>
      <c r="Y28" s="396">
        <f t="shared" si="7"/>
        <v>67.49922958397535</v>
      </c>
      <c r="Z28" s="396">
        <f t="shared" si="7"/>
        <v>77.875192604006159</v>
      </c>
      <c r="AA28" s="396">
        <f t="shared" si="7"/>
        <v>99.822804314329716</v>
      </c>
      <c r="AB28" s="396">
        <f t="shared" si="7"/>
        <v>95.000000000000014</v>
      </c>
      <c r="AC28" s="396">
        <f t="shared" si="7"/>
        <v>-0.95069337442218793</v>
      </c>
      <c r="AD28" s="396">
        <f t="shared" si="7"/>
        <v>0</v>
      </c>
      <c r="AE28" s="396">
        <f t="shared" si="7"/>
        <v>1</v>
      </c>
      <c r="AF28" s="396">
        <f t="shared" si="7"/>
        <v>0</v>
      </c>
      <c r="AG28" s="396">
        <f t="shared" si="5"/>
        <v>44.832562917308678</v>
      </c>
      <c r="AH28" s="398"/>
      <c r="AJ28" s="393">
        <v>35</v>
      </c>
      <c r="AM28" s="393">
        <v>1</v>
      </c>
      <c r="AN28" s="397">
        <f t="shared" ref="AN28:AN30" si="8">+AM28*AF28</f>
        <v>0</v>
      </c>
    </row>
    <row r="29" spans="1:40" s="393" customFormat="1">
      <c r="A29" s="393" t="str">
        <f t="shared" si="1"/>
        <v>KITSAP CO -REGULATEDResidential48ROCC1</v>
      </c>
      <c r="B29" s="393">
        <f t="shared" si="2"/>
        <v>1</v>
      </c>
      <c r="C29" s="398" t="s">
        <v>221</v>
      </c>
      <c r="D29" s="394" t="s">
        <v>222</v>
      </c>
      <c r="E29" s="395">
        <v>8.1300000000000008</v>
      </c>
      <c r="F29" s="395"/>
      <c r="G29" s="396">
        <v>61.84</v>
      </c>
      <c r="H29" s="396">
        <v>46.38</v>
      </c>
      <c r="I29" s="396">
        <v>61.84</v>
      </c>
      <c r="J29" s="396">
        <v>92.76</v>
      </c>
      <c r="K29" s="396">
        <v>115.95</v>
      </c>
      <c r="L29" s="396">
        <v>131.41</v>
      </c>
      <c r="M29" s="396">
        <v>139.13999999999999</v>
      </c>
      <c r="N29" s="396">
        <v>178.86</v>
      </c>
      <c r="O29" s="396">
        <v>0</v>
      </c>
      <c r="P29" s="396">
        <v>0</v>
      </c>
      <c r="Q29" s="396">
        <v>0</v>
      </c>
      <c r="R29" s="396">
        <v>0</v>
      </c>
      <c r="S29" s="396">
        <f t="shared" si="3"/>
        <v>828.18</v>
      </c>
      <c r="T29" s="396"/>
      <c r="U29" s="396">
        <f t="shared" si="7"/>
        <v>7.6063960639606396</v>
      </c>
      <c r="V29" s="396">
        <f t="shared" si="7"/>
        <v>5.7047970479704793</v>
      </c>
      <c r="W29" s="396">
        <f t="shared" si="7"/>
        <v>7.6063960639606396</v>
      </c>
      <c r="X29" s="396">
        <f t="shared" si="7"/>
        <v>11.409594095940959</v>
      </c>
      <c r="Y29" s="396">
        <f t="shared" si="7"/>
        <v>14.261992619926199</v>
      </c>
      <c r="Z29" s="396">
        <f t="shared" si="7"/>
        <v>16.163591635916358</v>
      </c>
      <c r="AA29" s="396">
        <f t="shared" si="7"/>
        <v>17.114391143911437</v>
      </c>
      <c r="AB29" s="396">
        <f t="shared" si="7"/>
        <v>22</v>
      </c>
      <c r="AC29" s="396">
        <f t="shared" si="7"/>
        <v>0</v>
      </c>
      <c r="AD29" s="396">
        <f t="shared" si="7"/>
        <v>0</v>
      </c>
      <c r="AE29" s="396">
        <f t="shared" si="7"/>
        <v>0</v>
      </c>
      <c r="AF29" s="396">
        <f t="shared" si="7"/>
        <v>0</v>
      </c>
      <c r="AG29" s="396">
        <f t="shared" si="5"/>
        <v>8.4889298892988929</v>
      </c>
      <c r="AH29" s="398"/>
      <c r="AJ29" s="393">
        <v>48</v>
      </c>
      <c r="AM29" s="393">
        <v>1</v>
      </c>
      <c r="AN29" s="397">
        <f t="shared" si="8"/>
        <v>0</v>
      </c>
    </row>
    <row r="30" spans="1:40" s="393" customFormat="1">
      <c r="A30" s="393" t="str">
        <f t="shared" si="1"/>
        <v>KITSAP CO -REGULATEDResidential64ROCC1</v>
      </c>
      <c r="B30" s="393">
        <f t="shared" si="2"/>
        <v>1</v>
      </c>
      <c r="C30" s="398" t="s">
        <v>223</v>
      </c>
      <c r="D30" s="394" t="s">
        <v>224</v>
      </c>
      <c r="E30" s="395">
        <v>9.6</v>
      </c>
      <c r="F30" s="395"/>
      <c r="G30" s="396">
        <v>72.64</v>
      </c>
      <c r="H30" s="396">
        <v>18.16</v>
      </c>
      <c r="I30" s="396">
        <v>9.08</v>
      </c>
      <c r="J30" s="396">
        <v>54.48</v>
      </c>
      <c r="K30" s="396">
        <v>45.4</v>
      </c>
      <c r="L30" s="396">
        <v>81.72</v>
      </c>
      <c r="M30" s="396">
        <v>63.56</v>
      </c>
      <c r="N30" s="396">
        <v>76.8</v>
      </c>
      <c r="O30" s="396">
        <v>0</v>
      </c>
      <c r="P30" s="396">
        <v>0</v>
      </c>
      <c r="Q30" s="396">
        <v>0</v>
      </c>
      <c r="R30" s="396">
        <v>0</v>
      </c>
      <c r="S30" s="396">
        <f t="shared" si="3"/>
        <v>421.84000000000003</v>
      </c>
      <c r="T30" s="396"/>
      <c r="U30" s="396">
        <f t="shared" si="7"/>
        <v>7.5666666666666673</v>
      </c>
      <c r="V30" s="396">
        <f t="shared" si="7"/>
        <v>1.8916666666666668</v>
      </c>
      <c r="W30" s="396">
        <f t="shared" si="7"/>
        <v>0.94583333333333341</v>
      </c>
      <c r="X30" s="396">
        <f t="shared" si="7"/>
        <v>5.6749999999999998</v>
      </c>
      <c r="Y30" s="396">
        <f t="shared" si="7"/>
        <v>4.729166666666667</v>
      </c>
      <c r="Z30" s="396">
        <f t="shared" si="7"/>
        <v>8.5125000000000011</v>
      </c>
      <c r="AA30" s="396">
        <f t="shared" si="7"/>
        <v>6.6208333333333336</v>
      </c>
      <c r="AB30" s="396">
        <f t="shared" si="7"/>
        <v>8</v>
      </c>
      <c r="AC30" s="396">
        <f t="shared" si="7"/>
        <v>0</v>
      </c>
      <c r="AD30" s="396">
        <f t="shared" si="7"/>
        <v>0</v>
      </c>
      <c r="AE30" s="396">
        <f t="shared" si="7"/>
        <v>0</v>
      </c>
      <c r="AF30" s="396">
        <f t="shared" si="7"/>
        <v>0</v>
      </c>
      <c r="AG30" s="396">
        <f t="shared" si="5"/>
        <v>3.6618055555555551</v>
      </c>
      <c r="AH30" s="398"/>
      <c r="AJ30" s="393">
        <v>64</v>
      </c>
      <c r="AM30" s="393">
        <v>1</v>
      </c>
      <c r="AN30" s="397">
        <f t="shared" si="8"/>
        <v>0</v>
      </c>
    </row>
    <row r="31" spans="1:40" s="223" customFormat="1">
      <c r="A31" s="223" t="str">
        <f t="shared" si="1"/>
        <v>KITSAP CO -REGULATEDResidentialWLKNRE1</v>
      </c>
      <c r="B31" s="223">
        <f t="shared" si="2"/>
        <v>1</v>
      </c>
      <c r="C31" s="59" t="s">
        <v>241</v>
      </c>
      <c r="D31" s="252" t="s">
        <v>242</v>
      </c>
      <c r="E31" s="254">
        <f>0.59*2.17</f>
        <v>1.2803</v>
      </c>
      <c r="F31" s="254"/>
      <c r="G31" s="255">
        <v>7.33</v>
      </c>
      <c r="H31" s="255">
        <v>7.97</v>
      </c>
      <c r="I31" s="255">
        <v>8.61</v>
      </c>
      <c r="J31" s="255">
        <v>7.97</v>
      </c>
      <c r="K31" s="255">
        <v>7.97</v>
      </c>
      <c r="L31" s="255">
        <v>7.0149999999999997</v>
      </c>
      <c r="M31" s="255">
        <v>7.6549999999999994</v>
      </c>
      <c r="N31" s="255">
        <v>6.6950000000000003</v>
      </c>
      <c r="O31" s="255">
        <v>6.6950000000000003</v>
      </c>
      <c r="P31" s="255">
        <v>0</v>
      </c>
      <c r="Q31" s="255">
        <v>0</v>
      </c>
      <c r="R31" s="255">
        <v>0</v>
      </c>
      <c r="S31" s="255">
        <f t="shared" si="3"/>
        <v>67.91</v>
      </c>
      <c r="T31" s="255"/>
      <c r="U31" s="255">
        <f t="shared" si="7"/>
        <v>5.7252206514098258</v>
      </c>
      <c r="V31" s="255">
        <f t="shared" si="7"/>
        <v>6.22510349136921</v>
      </c>
      <c r="W31" s="255">
        <f t="shared" si="7"/>
        <v>6.7249863313285942</v>
      </c>
      <c r="X31" s="255">
        <f t="shared" si="7"/>
        <v>6.22510349136921</v>
      </c>
      <c r="Y31" s="255">
        <f t="shared" si="7"/>
        <v>6.22510349136921</v>
      </c>
      <c r="Z31" s="255">
        <f t="shared" si="7"/>
        <v>5.4791845661173157</v>
      </c>
      <c r="AA31" s="255">
        <f t="shared" si="7"/>
        <v>5.9790674060767</v>
      </c>
      <c r="AB31" s="255">
        <f t="shared" si="7"/>
        <v>5.2292431461376241</v>
      </c>
      <c r="AC31" s="255">
        <f t="shared" si="7"/>
        <v>5.2292431461376241</v>
      </c>
      <c r="AD31" s="255">
        <f t="shared" si="7"/>
        <v>0</v>
      </c>
      <c r="AE31" s="255">
        <f t="shared" si="7"/>
        <v>0</v>
      </c>
      <c r="AF31" s="255">
        <f t="shared" si="7"/>
        <v>0</v>
      </c>
      <c r="AG31" s="255">
        <f t="shared" si="5"/>
        <v>4.4201879767762771</v>
      </c>
      <c r="AH31" s="59"/>
    </row>
    <row r="32" spans="1:40" s="223" customFormat="1">
      <c r="A32" s="223" t="str">
        <f t="shared" si="1"/>
        <v>KITSAP CO -REGULATEDResidentialWLKNRW1</v>
      </c>
      <c r="B32" s="223">
        <f t="shared" si="2"/>
        <v>1</v>
      </c>
      <c r="C32" s="59" t="s">
        <v>245</v>
      </c>
      <c r="D32" s="252" t="s">
        <v>246</v>
      </c>
      <c r="E32" s="254">
        <f>0.59*4.33</f>
        <v>2.5547</v>
      </c>
      <c r="F32" s="254"/>
      <c r="G32" s="255">
        <v>33.68</v>
      </c>
      <c r="H32" s="255">
        <v>30.605</v>
      </c>
      <c r="I32" s="255">
        <v>30.605</v>
      </c>
      <c r="J32" s="255">
        <v>32.585000000000001</v>
      </c>
      <c r="K32" s="255">
        <v>32.585000000000001</v>
      </c>
      <c r="L32" s="255">
        <v>33.15</v>
      </c>
      <c r="M32" s="255">
        <v>33.15</v>
      </c>
      <c r="N32" s="255">
        <v>35.134999999999998</v>
      </c>
      <c r="O32" s="255">
        <v>35.134999999999998</v>
      </c>
      <c r="P32" s="255">
        <v>0</v>
      </c>
      <c r="Q32" s="255">
        <v>0</v>
      </c>
      <c r="R32" s="255">
        <v>0</v>
      </c>
      <c r="S32" s="255">
        <f t="shared" si="3"/>
        <v>296.63</v>
      </c>
      <c r="T32" s="255"/>
      <c r="U32" s="255">
        <f t="shared" si="7"/>
        <v>13.183544056053549</v>
      </c>
      <c r="V32" s="255">
        <f t="shared" si="7"/>
        <v>11.979880220769562</v>
      </c>
      <c r="W32" s="255">
        <f t="shared" si="7"/>
        <v>11.979880220769562</v>
      </c>
      <c r="X32" s="255">
        <f t="shared" si="7"/>
        <v>12.754922300074373</v>
      </c>
      <c r="Y32" s="255">
        <f t="shared" si="7"/>
        <v>12.754922300074373</v>
      </c>
      <c r="Z32" s="255">
        <f t="shared" si="7"/>
        <v>12.976083297451755</v>
      </c>
      <c r="AA32" s="255">
        <f t="shared" si="7"/>
        <v>12.976083297451755</v>
      </c>
      <c r="AB32" s="255">
        <f t="shared" si="7"/>
        <v>13.753082553724507</v>
      </c>
      <c r="AC32" s="255">
        <f t="shared" si="7"/>
        <v>13.753082553724507</v>
      </c>
      <c r="AD32" s="255">
        <f t="shared" si="7"/>
        <v>0</v>
      </c>
      <c r="AE32" s="255">
        <f t="shared" si="7"/>
        <v>0</v>
      </c>
      <c r="AF32" s="255">
        <f t="shared" si="7"/>
        <v>0</v>
      </c>
      <c r="AG32" s="255">
        <f t="shared" si="5"/>
        <v>9.6759567333411614</v>
      </c>
      <c r="AH32" s="59"/>
    </row>
    <row r="33" spans="1:40" s="223" customFormat="1">
      <c r="A33" s="223" t="str">
        <f t="shared" si="1"/>
        <v>KITSAP CO -REGULATEDResidentialWLKNRW2</v>
      </c>
      <c r="B33" s="223">
        <f t="shared" si="2"/>
        <v>1</v>
      </c>
      <c r="C33" s="59" t="s">
        <v>247</v>
      </c>
      <c r="D33" s="252" t="s">
        <v>248</v>
      </c>
      <c r="E33" s="254">
        <f>0.59*4.33</f>
        <v>2.5547</v>
      </c>
      <c r="F33" s="254"/>
      <c r="G33" s="255">
        <v>14.889999999999999</v>
      </c>
      <c r="H33" s="255">
        <v>13.09</v>
      </c>
      <c r="I33" s="255">
        <v>13.09</v>
      </c>
      <c r="J33" s="255">
        <v>13.77</v>
      </c>
      <c r="K33" s="255">
        <v>13.77</v>
      </c>
      <c r="L33" s="255">
        <v>13.43</v>
      </c>
      <c r="M33" s="255">
        <v>13.79</v>
      </c>
      <c r="N33" s="255">
        <v>13.77</v>
      </c>
      <c r="O33" s="255">
        <v>13.77</v>
      </c>
      <c r="P33" s="255">
        <v>0</v>
      </c>
      <c r="Q33" s="255">
        <v>0</v>
      </c>
      <c r="R33" s="255">
        <v>0</v>
      </c>
      <c r="S33" s="255">
        <f t="shared" si="3"/>
        <v>123.36999999999998</v>
      </c>
      <c r="T33" s="255"/>
      <c r="U33" s="255">
        <f t="shared" si="7"/>
        <v>5.8284730105296116</v>
      </c>
      <c r="V33" s="255">
        <f t="shared" si="7"/>
        <v>5.123889302070693</v>
      </c>
      <c r="W33" s="255">
        <f t="shared" si="7"/>
        <v>5.123889302070693</v>
      </c>
      <c r="X33" s="255">
        <f t="shared" si="7"/>
        <v>5.3900653697107295</v>
      </c>
      <c r="Y33" s="255">
        <f t="shared" si="7"/>
        <v>5.3900653697107295</v>
      </c>
      <c r="Z33" s="255">
        <f t="shared" si="7"/>
        <v>5.2569773358907108</v>
      </c>
      <c r="AA33" s="255">
        <f t="shared" si="7"/>
        <v>5.3978940775824951</v>
      </c>
      <c r="AB33" s="255">
        <f t="shared" si="7"/>
        <v>5.3900653697107295</v>
      </c>
      <c r="AC33" s="255">
        <f t="shared" si="7"/>
        <v>5.3900653697107295</v>
      </c>
      <c r="AD33" s="255">
        <f t="shared" si="7"/>
        <v>0</v>
      </c>
      <c r="AE33" s="255">
        <f t="shared" si="7"/>
        <v>0</v>
      </c>
      <c r="AF33" s="255">
        <f t="shared" si="7"/>
        <v>0</v>
      </c>
      <c r="AG33" s="255">
        <f t="shared" si="5"/>
        <v>4.0242820422489265</v>
      </c>
      <c r="AH33" s="59"/>
    </row>
    <row r="34" spans="1:40" s="393" customFormat="1">
      <c r="A34" s="393" t="str">
        <f t="shared" si="1"/>
        <v>KITSAP CO -REGULATEDResidential96ROCC1</v>
      </c>
      <c r="B34" s="393">
        <f t="shared" si="2"/>
        <v>1</v>
      </c>
      <c r="C34" s="398" t="s">
        <v>225</v>
      </c>
      <c r="D34" s="394" t="s">
        <v>226</v>
      </c>
      <c r="E34" s="395">
        <v>11.85</v>
      </c>
      <c r="F34" s="395"/>
      <c r="G34" s="396">
        <v>144.56</v>
      </c>
      <c r="H34" s="396">
        <v>88.960000000000008</v>
      </c>
      <c r="I34" s="396">
        <v>144.56</v>
      </c>
      <c r="J34" s="396">
        <v>100.08</v>
      </c>
      <c r="K34" s="396">
        <v>133.44</v>
      </c>
      <c r="L34" s="396">
        <v>122.32000000000001</v>
      </c>
      <c r="M34" s="396">
        <v>166.8</v>
      </c>
      <c r="N34" s="396">
        <v>225.15</v>
      </c>
      <c r="O34" s="396">
        <v>0</v>
      </c>
      <c r="P34" s="396">
        <v>0</v>
      </c>
      <c r="Q34" s="396">
        <v>11.85</v>
      </c>
      <c r="R34" s="396">
        <v>0</v>
      </c>
      <c r="S34" s="396">
        <f t="shared" si="3"/>
        <v>1137.72</v>
      </c>
      <c r="T34" s="396"/>
      <c r="U34" s="396">
        <f t="shared" si="7"/>
        <v>12.19915611814346</v>
      </c>
      <c r="V34" s="396">
        <f t="shared" si="7"/>
        <v>7.5071729957805919</v>
      </c>
      <c r="W34" s="396">
        <f t="shared" si="7"/>
        <v>12.19915611814346</v>
      </c>
      <c r="X34" s="396">
        <f t="shared" si="7"/>
        <v>8.4455696202531652</v>
      </c>
      <c r="Y34" s="396">
        <f t="shared" si="7"/>
        <v>11.260759493670886</v>
      </c>
      <c r="Z34" s="396">
        <f t="shared" si="7"/>
        <v>10.322362869198313</v>
      </c>
      <c r="AA34" s="396">
        <f t="shared" si="7"/>
        <v>14.07594936708861</v>
      </c>
      <c r="AB34" s="396">
        <f t="shared" si="7"/>
        <v>19</v>
      </c>
      <c r="AC34" s="396">
        <f t="shared" si="7"/>
        <v>0</v>
      </c>
      <c r="AD34" s="396">
        <f t="shared" si="7"/>
        <v>0</v>
      </c>
      <c r="AE34" s="396">
        <f t="shared" si="7"/>
        <v>1</v>
      </c>
      <c r="AF34" s="396">
        <f t="shared" si="7"/>
        <v>0</v>
      </c>
      <c r="AG34" s="396">
        <f t="shared" si="5"/>
        <v>8.0008438818565413</v>
      </c>
      <c r="AH34" s="398"/>
      <c r="AJ34" s="393">
        <v>96</v>
      </c>
      <c r="AM34" s="393">
        <v>1</v>
      </c>
      <c r="AN34" s="397">
        <f>+AM34*AF34</f>
        <v>0</v>
      </c>
    </row>
    <row r="35" spans="1:40" s="399" customFormat="1">
      <c r="A35" s="399" t="str">
        <f t="shared" si="1"/>
        <v>KITSAP CO -REGULATEDResidentialEXPUR</v>
      </c>
      <c r="B35" s="399">
        <f t="shared" si="2"/>
        <v>1</v>
      </c>
      <c r="C35" s="398" t="s">
        <v>215</v>
      </c>
      <c r="D35" s="394" t="s">
        <v>216</v>
      </c>
      <c r="E35" s="395">
        <v>4.55</v>
      </c>
      <c r="F35" s="395"/>
      <c r="G35" s="396">
        <v>102.24</v>
      </c>
      <c r="H35" s="396">
        <v>48.99</v>
      </c>
      <c r="I35" s="396">
        <v>34.08</v>
      </c>
      <c r="J35" s="396">
        <v>75.13</v>
      </c>
      <c r="K35" s="396">
        <v>166.14</v>
      </c>
      <c r="L35" s="396">
        <v>102.53</v>
      </c>
      <c r="M35" s="396">
        <v>287.55</v>
      </c>
      <c r="N35" s="396">
        <v>209.32</v>
      </c>
      <c r="O35" s="396">
        <v>0</v>
      </c>
      <c r="P35" s="396">
        <v>0</v>
      </c>
      <c r="Q35" s="396">
        <v>0</v>
      </c>
      <c r="R35" s="396">
        <v>0</v>
      </c>
      <c r="S35" s="400">
        <f t="shared" si="3"/>
        <v>1025.98</v>
      </c>
      <c r="T35" s="400"/>
      <c r="U35" s="396">
        <f t="shared" si="7"/>
        <v>22.470329670329669</v>
      </c>
      <c r="V35" s="396">
        <f t="shared" si="7"/>
        <v>10.767032967032968</v>
      </c>
      <c r="W35" s="396">
        <f t="shared" si="7"/>
        <v>7.4901098901098901</v>
      </c>
      <c r="X35" s="396">
        <f t="shared" si="7"/>
        <v>16.51208791208791</v>
      </c>
      <c r="Y35" s="396">
        <f t="shared" si="7"/>
        <v>36.514285714285712</v>
      </c>
      <c r="Z35" s="396">
        <f t="shared" si="7"/>
        <v>22.534065934065936</v>
      </c>
      <c r="AA35" s="396">
        <f t="shared" si="7"/>
        <v>63.197802197802204</v>
      </c>
      <c r="AB35" s="396">
        <f t="shared" si="7"/>
        <v>46.004395604395604</v>
      </c>
      <c r="AC35" s="396">
        <f t="shared" si="7"/>
        <v>0</v>
      </c>
      <c r="AD35" s="396">
        <f t="shared" si="7"/>
        <v>0</v>
      </c>
      <c r="AE35" s="396">
        <f t="shared" si="7"/>
        <v>0</v>
      </c>
      <c r="AF35" s="396">
        <f t="shared" si="7"/>
        <v>0</v>
      </c>
      <c r="AG35" s="396">
        <f t="shared" si="5"/>
        <v>18.79084249084249</v>
      </c>
      <c r="AH35" s="401"/>
      <c r="AI35" s="402" t="s">
        <v>341</v>
      </c>
      <c r="AJ35" s="403">
        <f>+SUM(AN10:AN34)</f>
        <v>0</v>
      </c>
    </row>
    <row r="36" spans="1:40" s="399" customFormat="1">
      <c r="A36" s="399" t="str">
        <f t="shared" si="1"/>
        <v>KITSAP CO -REGULATEDResidentialEXTRAR</v>
      </c>
      <c r="B36" s="399">
        <f t="shared" si="2"/>
        <v>1</v>
      </c>
      <c r="C36" s="398" t="s">
        <v>217</v>
      </c>
      <c r="D36" s="394" t="s">
        <v>218</v>
      </c>
      <c r="E36" s="395">
        <v>4.55</v>
      </c>
      <c r="F36" s="395"/>
      <c r="G36" s="396">
        <v>962.76</v>
      </c>
      <c r="H36" s="396">
        <v>685.86</v>
      </c>
      <c r="I36" s="396">
        <v>511.2</v>
      </c>
      <c r="J36" s="396">
        <v>903.12</v>
      </c>
      <c r="K36" s="396">
        <v>766.8</v>
      </c>
      <c r="L36" s="396">
        <v>907.38</v>
      </c>
      <c r="M36" s="396">
        <v>1192.8</v>
      </c>
      <c r="N36" s="396">
        <v>1415.05</v>
      </c>
      <c r="O36" s="396">
        <v>27.3</v>
      </c>
      <c r="P36" s="396">
        <v>0</v>
      </c>
      <c r="Q36" s="396">
        <v>0</v>
      </c>
      <c r="R36" s="396">
        <v>0</v>
      </c>
      <c r="S36" s="400">
        <f t="shared" si="3"/>
        <v>7372.27</v>
      </c>
      <c r="T36" s="400"/>
      <c r="U36" s="396">
        <f t="shared" si="7"/>
        <v>211.5956043956044</v>
      </c>
      <c r="V36" s="396">
        <f t="shared" si="7"/>
        <v>150.73846153846154</v>
      </c>
      <c r="W36" s="396">
        <f t="shared" si="7"/>
        <v>112.35164835164835</v>
      </c>
      <c r="X36" s="396">
        <f t="shared" si="7"/>
        <v>198.48791208791209</v>
      </c>
      <c r="Y36" s="396">
        <f t="shared" si="7"/>
        <v>168.52747252747253</v>
      </c>
      <c r="Z36" s="396">
        <f t="shared" si="7"/>
        <v>199.42417582417582</v>
      </c>
      <c r="AA36" s="396">
        <f t="shared" si="7"/>
        <v>262.15384615384613</v>
      </c>
      <c r="AB36" s="396">
        <f t="shared" si="7"/>
        <v>311</v>
      </c>
      <c r="AC36" s="396">
        <f t="shared" si="7"/>
        <v>6</v>
      </c>
      <c r="AD36" s="396">
        <f t="shared" si="7"/>
        <v>0</v>
      </c>
      <c r="AE36" s="396">
        <f t="shared" si="7"/>
        <v>0</v>
      </c>
      <c r="AF36" s="396">
        <f t="shared" si="7"/>
        <v>0</v>
      </c>
      <c r="AG36" s="396">
        <f t="shared" si="5"/>
        <v>135.02326007326008</v>
      </c>
      <c r="AH36" s="401"/>
      <c r="AI36" s="402" t="s">
        <v>498</v>
      </c>
      <c r="AJ36" s="403">
        <v>0</v>
      </c>
    </row>
    <row r="37" spans="1:40" s="393" customFormat="1">
      <c r="A37" s="393" t="str">
        <f t="shared" si="1"/>
        <v>KITSAP CO -REGULATEDResidentialOFOWR</v>
      </c>
      <c r="B37" s="393">
        <f t="shared" si="2"/>
        <v>1</v>
      </c>
      <c r="C37" s="398" t="s">
        <v>256</v>
      </c>
      <c r="D37" s="394" t="s">
        <v>257</v>
      </c>
      <c r="E37" s="395">
        <v>4.26</v>
      </c>
      <c r="F37" s="395"/>
      <c r="G37" s="396">
        <v>864.78</v>
      </c>
      <c r="H37" s="396">
        <v>532.5</v>
      </c>
      <c r="I37" s="396">
        <v>374.88</v>
      </c>
      <c r="J37" s="396">
        <v>498.42</v>
      </c>
      <c r="K37" s="396">
        <v>562.31999999999994</v>
      </c>
      <c r="L37" s="396">
        <v>647.52</v>
      </c>
      <c r="M37" s="396">
        <v>613.43999999999994</v>
      </c>
      <c r="N37" s="396">
        <v>878.15</v>
      </c>
      <c r="O37" s="396">
        <v>13.65</v>
      </c>
      <c r="P37" s="396">
        <v>0</v>
      </c>
      <c r="Q37" s="396">
        <v>-4.26</v>
      </c>
      <c r="R37" s="396">
        <v>0</v>
      </c>
      <c r="S37" s="396">
        <f t="shared" si="3"/>
        <v>4981.3999999999987</v>
      </c>
      <c r="T37" s="396"/>
      <c r="U37" s="396">
        <f t="shared" si="7"/>
        <v>203</v>
      </c>
      <c r="V37" s="396">
        <f t="shared" si="7"/>
        <v>125</v>
      </c>
      <c r="W37" s="396">
        <f t="shared" si="7"/>
        <v>88</v>
      </c>
      <c r="X37" s="396">
        <f t="shared" si="7"/>
        <v>117.00000000000001</v>
      </c>
      <c r="Y37" s="396">
        <f t="shared" si="7"/>
        <v>132</v>
      </c>
      <c r="Z37" s="396">
        <f t="shared" si="7"/>
        <v>152</v>
      </c>
      <c r="AA37" s="396">
        <f t="shared" si="7"/>
        <v>144</v>
      </c>
      <c r="AB37" s="396">
        <f t="shared" si="7"/>
        <v>206.13849765258217</v>
      </c>
      <c r="AC37" s="396">
        <f t="shared" si="7"/>
        <v>3.2042253521126765</v>
      </c>
      <c r="AD37" s="396">
        <f t="shared" si="7"/>
        <v>0</v>
      </c>
      <c r="AE37" s="396">
        <f t="shared" si="7"/>
        <v>-1</v>
      </c>
      <c r="AF37" s="396">
        <f t="shared" si="7"/>
        <v>0</v>
      </c>
      <c r="AG37" s="396">
        <f t="shared" si="5"/>
        <v>97.445226917057894</v>
      </c>
      <c r="AH37" s="398"/>
    </row>
    <row r="38" spans="1:40" s="223" customFormat="1">
      <c r="A38" s="223" t="str">
        <f t="shared" si="1"/>
        <v>KITSAP CO -REGULATEDResidentialSP</v>
      </c>
      <c r="B38" s="223">
        <f t="shared" si="2"/>
        <v>2</v>
      </c>
      <c r="C38" s="252" t="s">
        <v>387</v>
      </c>
      <c r="D38" s="252" t="s">
        <v>388</v>
      </c>
      <c r="E38" s="254">
        <v>151.68</v>
      </c>
      <c r="F38" s="254"/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150</v>
      </c>
      <c r="N38" s="255">
        <v>151.68</v>
      </c>
      <c r="O38" s="255">
        <v>0</v>
      </c>
      <c r="P38" s="255">
        <v>0</v>
      </c>
      <c r="Q38" s="255">
        <v>0</v>
      </c>
      <c r="R38" s="255">
        <v>0</v>
      </c>
      <c r="S38" s="255">
        <f t="shared" si="3"/>
        <v>301.68</v>
      </c>
      <c r="T38" s="255"/>
      <c r="U38" s="255">
        <f t="shared" si="7"/>
        <v>0</v>
      </c>
      <c r="V38" s="255">
        <f t="shared" si="7"/>
        <v>0</v>
      </c>
      <c r="W38" s="255">
        <f t="shared" si="7"/>
        <v>0</v>
      </c>
      <c r="X38" s="255">
        <f t="shared" si="7"/>
        <v>0</v>
      </c>
      <c r="Y38" s="255">
        <f t="shared" si="7"/>
        <v>0</v>
      </c>
      <c r="Z38" s="255">
        <f t="shared" si="7"/>
        <v>0</v>
      </c>
      <c r="AA38" s="255">
        <f t="shared" si="7"/>
        <v>0.98892405063291133</v>
      </c>
      <c r="AB38" s="255">
        <f t="shared" si="7"/>
        <v>1</v>
      </c>
      <c r="AC38" s="255">
        <f t="shared" si="7"/>
        <v>0</v>
      </c>
      <c r="AD38" s="255">
        <f t="shared" si="7"/>
        <v>0</v>
      </c>
      <c r="AE38" s="255">
        <f t="shared" si="7"/>
        <v>0</v>
      </c>
      <c r="AF38" s="255">
        <f t="shared" si="7"/>
        <v>0</v>
      </c>
      <c r="AG38" s="255">
        <f t="shared" si="5"/>
        <v>0.16574367088607594</v>
      </c>
      <c r="AH38" s="59"/>
    </row>
    <row r="39" spans="1:40" s="223" customFormat="1">
      <c r="A39" s="223" t="str">
        <f t="shared" si="1"/>
        <v>KITSAP CO -REGULATEDResidentialADJOTHR</v>
      </c>
      <c r="B39" s="223">
        <f t="shared" si="2"/>
        <v>1</v>
      </c>
      <c r="C39" s="59" t="s">
        <v>258</v>
      </c>
      <c r="D39" s="252" t="s">
        <v>259</v>
      </c>
      <c r="E39" s="254">
        <v>0</v>
      </c>
      <c r="F39" s="254"/>
      <c r="G39" s="255">
        <v>-242.04</v>
      </c>
      <c r="H39" s="255">
        <v>0</v>
      </c>
      <c r="I39" s="255">
        <v>-3.13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5">
        <v>0</v>
      </c>
      <c r="P39" s="255">
        <v>0</v>
      </c>
      <c r="Q39" s="255">
        <v>0</v>
      </c>
      <c r="R39" s="255">
        <v>-5.34</v>
      </c>
      <c r="S39" s="255">
        <f t="shared" si="3"/>
        <v>-250.51</v>
      </c>
      <c r="T39" s="255"/>
      <c r="U39" s="255">
        <f t="shared" si="7"/>
        <v>0</v>
      </c>
      <c r="V39" s="255">
        <f t="shared" si="7"/>
        <v>0</v>
      </c>
      <c r="W39" s="255">
        <f t="shared" si="7"/>
        <v>0</v>
      </c>
      <c r="X39" s="255">
        <f t="shared" si="7"/>
        <v>0</v>
      </c>
      <c r="Y39" s="255">
        <f t="shared" si="7"/>
        <v>0</v>
      </c>
      <c r="Z39" s="255">
        <f t="shared" si="7"/>
        <v>0</v>
      </c>
      <c r="AA39" s="255">
        <f t="shared" si="7"/>
        <v>0</v>
      </c>
      <c r="AB39" s="255">
        <f>IFERROR(N39/#REF!,0)</f>
        <v>0</v>
      </c>
      <c r="AC39" s="255">
        <f>IFERROR(O39/#REF!,0)</f>
        <v>0</v>
      </c>
      <c r="AD39" s="255">
        <f>IFERROR(P39/#REF!,0)</f>
        <v>0</v>
      </c>
      <c r="AE39" s="255">
        <f>IFERROR(Q39/#REF!,0)</f>
        <v>0</v>
      </c>
      <c r="AF39" s="255">
        <f>IFERROR(R39/#REF!,0)</f>
        <v>0</v>
      </c>
      <c r="AG39" s="255">
        <f t="shared" si="5"/>
        <v>0</v>
      </c>
      <c r="AH39" s="59"/>
    </row>
    <row r="40" spans="1:40">
      <c r="B40" s="224">
        <f t="shared" si="2"/>
        <v>0</v>
      </c>
      <c r="C40" s="272"/>
      <c r="D40" s="273" t="s">
        <v>103</v>
      </c>
      <c r="F40" s="254"/>
      <c r="G40" s="274">
        <f t="shared" ref="G40:S40" si="9">SUM(G10:G39)</f>
        <v>46399.07</v>
      </c>
      <c r="H40" s="274">
        <f t="shared" si="9"/>
        <v>44576.740000000005</v>
      </c>
      <c r="I40" s="274">
        <f t="shared" si="9"/>
        <v>45458.109999999993</v>
      </c>
      <c r="J40" s="274">
        <f t="shared" si="9"/>
        <v>46133.344999999994</v>
      </c>
      <c r="K40" s="274">
        <f t="shared" si="9"/>
        <v>47070.495000000003</v>
      </c>
      <c r="L40" s="274">
        <f t="shared" si="9"/>
        <v>48154.21</v>
      </c>
      <c r="M40" s="274">
        <f t="shared" si="9"/>
        <v>50777.68</v>
      </c>
      <c r="N40" s="274">
        <f t="shared" si="9"/>
        <v>55578.990000000005</v>
      </c>
      <c r="O40" s="274">
        <f t="shared" si="9"/>
        <v>51673.920000000006</v>
      </c>
      <c r="P40" s="274">
        <f t="shared" si="9"/>
        <v>13.86</v>
      </c>
      <c r="Q40" s="274">
        <f t="shared" si="9"/>
        <v>50.510000000000005</v>
      </c>
      <c r="R40" s="274">
        <f t="shared" si="9"/>
        <v>-5.34</v>
      </c>
      <c r="S40" s="274">
        <f t="shared" si="9"/>
        <v>435881.58999999991</v>
      </c>
      <c r="U40" s="275">
        <f t="shared" si="7"/>
        <v>0</v>
      </c>
      <c r="V40" s="275">
        <f t="shared" si="7"/>
        <v>0</v>
      </c>
      <c r="W40" s="275">
        <f t="shared" si="7"/>
        <v>0</v>
      </c>
      <c r="X40" s="275">
        <f t="shared" si="7"/>
        <v>0</v>
      </c>
      <c r="Y40" s="275">
        <f t="shared" si="7"/>
        <v>0</v>
      </c>
      <c r="Z40" s="275">
        <f t="shared" si="7"/>
        <v>0</v>
      </c>
      <c r="AA40" s="275">
        <f t="shared" si="7"/>
        <v>0</v>
      </c>
      <c r="AB40" s="275">
        <f t="shared" si="7"/>
        <v>0</v>
      </c>
      <c r="AC40" s="275">
        <f t="shared" si="7"/>
        <v>0</v>
      </c>
      <c r="AD40" s="275">
        <f t="shared" si="7"/>
        <v>0</v>
      </c>
      <c r="AE40" s="275">
        <f t="shared" si="7"/>
        <v>0</v>
      </c>
      <c r="AF40" s="275">
        <f t="shared" si="7"/>
        <v>0</v>
      </c>
      <c r="AG40" s="275">
        <f t="shared" si="7"/>
        <v>0</v>
      </c>
    </row>
    <row r="41" spans="1:40">
      <c r="C41" s="272"/>
      <c r="D41" s="273"/>
      <c r="F41" s="254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42">
        <f>+SUM(AG10:AG39)</f>
        <v>2151.326071921932</v>
      </c>
    </row>
    <row r="42" spans="1:40">
      <c r="C42" s="272"/>
      <c r="D42" s="272"/>
      <c r="F42" s="254"/>
      <c r="G42" s="281"/>
      <c r="H42" s="255"/>
      <c r="I42" s="255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</row>
    <row r="43" spans="1:40" s="223" customFormat="1">
      <c r="B43" s="223">
        <f t="shared" ref="B43:B53" si="10">COUNTIF(C:C,C43)</f>
        <v>1</v>
      </c>
      <c r="C43" s="282" t="s">
        <v>104</v>
      </c>
      <c r="D43" s="282" t="s">
        <v>104</v>
      </c>
      <c r="E43" s="59"/>
      <c r="F43" s="254"/>
      <c r="G43" s="281"/>
      <c r="H43" s="255"/>
      <c r="I43" s="255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U43" s="255">
        <f t="shared" ref="U43:AG56" si="11">IFERROR(G43/$E43,0)</f>
        <v>0</v>
      </c>
      <c r="V43" s="255">
        <f t="shared" si="11"/>
        <v>0</v>
      </c>
      <c r="W43" s="255">
        <f t="shared" si="11"/>
        <v>0</v>
      </c>
      <c r="X43" s="255">
        <f t="shared" si="11"/>
        <v>0</v>
      </c>
      <c r="Y43" s="255">
        <f t="shared" si="11"/>
        <v>0</v>
      </c>
      <c r="Z43" s="255">
        <f t="shared" si="11"/>
        <v>0</v>
      </c>
      <c r="AA43" s="255">
        <f t="shared" si="11"/>
        <v>0</v>
      </c>
      <c r="AB43" s="255">
        <f>IFERROR(N43/#REF!,0)</f>
        <v>0</v>
      </c>
      <c r="AC43" s="255">
        <f>IFERROR(O43/#REF!,0)</f>
        <v>0</v>
      </c>
      <c r="AD43" s="255">
        <f>IFERROR(P43/#REF!,0)</f>
        <v>0</v>
      </c>
      <c r="AE43" s="255">
        <f>IFERROR(Q43/#REF!,0)</f>
        <v>0</v>
      </c>
      <c r="AF43" s="255">
        <f>IFERROR(R43/#REF!,0)</f>
        <v>0</v>
      </c>
      <c r="AG43" s="255">
        <f t="shared" ref="AG43:AG55" si="12">AVERAGE(U43:AF43)</f>
        <v>0</v>
      </c>
      <c r="AH43" s="59"/>
    </row>
    <row r="44" spans="1:40" s="223" customFormat="1" ht="12">
      <c r="A44" s="223" t="str">
        <f t="shared" ref="A44:A48" si="13">$A$1&amp;"Residential"&amp;C44</f>
        <v>KITSAP CO -REGULATEDResidentialDRVNRE1RECY</v>
      </c>
      <c r="B44" s="223">
        <f t="shared" si="10"/>
        <v>1</v>
      </c>
      <c r="C44" s="252" t="s">
        <v>260</v>
      </c>
      <c r="D44" s="252" t="s">
        <v>261</v>
      </c>
      <c r="E44" s="254">
        <f>1.21*2.17</f>
        <v>2.6256999999999997</v>
      </c>
      <c r="F44" s="254"/>
      <c r="G44" s="255">
        <v>37.204999999999998</v>
      </c>
      <c r="H44" s="255">
        <v>39.954999999999998</v>
      </c>
      <c r="I44" s="255">
        <v>41.265000000000001</v>
      </c>
      <c r="J44" s="255">
        <v>41.92</v>
      </c>
      <c r="K44" s="255">
        <v>48.32</v>
      </c>
      <c r="L44" s="255">
        <v>44.54</v>
      </c>
      <c r="M44" s="255">
        <v>44.54</v>
      </c>
      <c r="N44" s="255">
        <v>50.435000000000002</v>
      </c>
      <c r="O44" s="255">
        <v>45.195</v>
      </c>
      <c r="P44" s="255">
        <v>0</v>
      </c>
      <c r="Q44" s="255">
        <v>0</v>
      </c>
      <c r="R44" s="255">
        <v>0</v>
      </c>
      <c r="S44" s="255">
        <f t="shared" ref="S44:S53" si="14">SUM(G44:R44)</f>
        <v>393.375</v>
      </c>
      <c r="T44" s="255"/>
      <c r="U44" s="255">
        <f t="shared" si="11"/>
        <v>14.169554785390563</v>
      </c>
      <c r="V44" s="255">
        <f t="shared" si="11"/>
        <v>15.21689454240774</v>
      </c>
      <c r="W44" s="255">
        <f t="shared" si="11"/>
        <v>15.71580911756865</v>
      </c>
      <c r="X44" s="255">
        <f t="shared" si="11"/>
        <v>15.965266405149105</v>
      </c>
      <c r="Y44" s="255">
        <f t="shared" si="11"/>
        <v>18.402711657843625</v>
      </c>
      <c r="Z44" s="255">
        <f t="shared" si="11"/>
        <v>16.963095555470925</v>
      </c>
      <c r="AA44" s="255">
        <f t="shared" si="11"/>
        <v>16.963095555470925</v>
      </c>
      <c r="AB44" s="255">
        <f t="shared" si="11"/>
        <v>19.208211143695017</v>
      </c>
      <c r="AC44" s="255">
        <f t="shared" si="11"/>
        <v>17.21255284305138</v>
      </c>
      <c r="AD44" s="255">
        <f t="shared" si="11"/>
        <v>0</v>
      </c>
      <c r="AE44" s="255">
        <f t="shared" si="11"/>
        <v>0</v>
      </c>
      <c r="AF44" s="255">
        <f t="shared" si="11"/>
        <v>0</v>
      </c>
      <c r="AG44" s="255">
        <f t="shared" si="12"/>
        <v>12.484765967170661</v>
      </c>
    </row>
    <row r="45" spans="1:40" s="223" customFormat="1" ht="15.75" customHeight="1">
      <c r="A45" s="223" t="str">
        <f t="shared" si="13"/>
        <v>KITSAP CO -REGULATEDResidentialDRVNRE1RECYMA</v>
      </c>
      <c r="B45" s="223">
        <f t="shared" si="10"/>
        <v>1</v>
      </c>
      <c r="C45" s="59" t="s">
        <v>262</v>
      </c>
      <c r="D45" s="252" t="s">
        <v>261</v>
      </c>
      <c r="E45" s="254">
        <f>1.21*2.17</f>
        <v>2.6256999999999997</v>
      </c>
      <c r="F45" s="254"/>
      <c r="G45" s="255">
        <v>36.82</v>
      </c>
      <c r="H45" s="255">
        <v>34.19</v>
      </c>
      <c r="I45" s="255">
        <v>34.19</v>
      </c>
      <c r="J45" s="255">
        <v>37.69</v>
      </c>
      <c r="K45" s="255">
        <v>39.450000000000003</v>
      </c>
      <c r="L45" s="255">
        <v>39.450000000000003</v>
      </c>
      <c r="M45" s="255">
        <v>39.450000000000003</v>
      </c>
      <c r="N45" s="255">
        <v>36.82</v>
      </c>
      <c r="O45" s="255">
        <v>0</v>
      </c>
      <c r="P45" s="255">
        <v>0</v>
      </c>
      <c r="Q45" s="255">
        <v>0</v>
      </c>
      <c r="R45" s="255">
        <v>0</v>
      </c>
      <c r="S45" s="255">
        <f t="shared" si="14"/>
        <v>298.05999999999995</v>
      </c>
      <c r="T45" s="255"/>
      <c r="U45" s="255">
        <f t="shared" si="11"/>
        <v>14.02292721940816</v>
      </c>
      <c r="V45" s="255">
        <f t="shared" si="11"/>
        <v>13.021289560879005</v>
      </c>
      <c r="W45" s="255">
        <f t="shared" si="11"/>
        <v>13.021289560879005</v>
      </c>
      <c r="X45" s="255">
        <f t="shared" si="11"/>
        <v>14.354267433446321</v>
      </c>
      <c r="Y45" s="255">
        <f t="shared" si="11"/>
        <v>15.024564877937316</v>
      </c>
      <c r="Z45" s="255">
        <f t="shared" si="11"/>
        <v>15.024564877937316</v>
      </c>
      <c r="AA45" s="255">
        <f t="shared" si="11"/>
        <v>15.024564877937316</v>
      </c>
      <c r="AB45" s="255">
        <f t="shared" si="11"/>
        <v>14.02292721940816</v>
      </c>
      <c r="AC45" s="255">
        <f t="shared" si="11"/>
        <v>0</v>
      </c>
      <c r="AD45" s="255">
        <f t="shared" si="11"/>
        <v>0</v>
      </c>
      <c r="AE45" s="255">
        <f t="shared" si="11"/>
        <v>0</v>
      </c>
      <c r="AF45" s="255">
        <f t="shared" si="11"/>
        <v>0</v>
      </c>
      <c r="AG45" s="255">
        <f t="shared" si="12"/>
        <v>9.4596996356527168</v>
      </c>
      <c r="AH45" s="59"/>
    </row>
    <row r="46" spans="1:40" s="223" customFormat="1" ht="15.75" customHeight="1">
      <c r="A46" s="223" t="str">
        <f t="shared" si="13"/>
        <v>KITSAP CO -REGULATEDResidentialDRVNRE2RECY</v>
      </c>
      <c r="B46" s="223">
        <f t="shared" si="10"/>
        <v>1</v>
      </c>
      <c r="C46" s="59" t="s">
        <v>263</v>
      </c>
      <c r="D46" s="252" t="s">
        <v>264</v>
      </c>
      <c r="E46" s="254">
        <f>1.52*2.17</f>
        <v>3.2984</v>
      </c>
      <c r="F46" s="254"/>
      <c r="G46" s="255">
        <v>13.16</v>
      </c>
      <c r="H46" s="255">
        <v>13.16</v>
      </c>
      <c r="I46" s="255">
        <v>13.16</v>
      </c>
      <c r="J46" s="255">
        <v>13.16</v>
      </c>
      <c r="K46" s="255">
        <v>14.81</v>
      </c>
      <c r="L46" s="255">
        <v>16.45</v>
      </c>
      <c r="M46" s="255">
        <v>16.45</v>
      </c>
      <c r="N46" s="255">
        <v>16.45</v>
      </c>
      <c r="O46" s="255">
        <v>16.45</v>
      </c>
      <c r="P46" s="255">
        <v>0</v>
      </c>
      <c r="Q46" s="255">
        <v>0</v>
      </c>
      <c r="R46" s="255">
        <v>0</v>
      </c>
      <c r="S46" s="255">
        <f t="shared" si="14"/>
        <v>133.25</v>
      </c>
      <c r="T46" s="255"/>
      <c r="U46" s="255">
        <f t="shared" si="11"/>
        <v>3.9898132427843804</v>
      </c>
      <c r="V46" s="255">
        <f t="shared" si="11"/>
        <v>3.9898132427843804</v>
      </c>
      <c r="W46" s="255">
        <f t="shared" si="11"/>
        <v>3.9898132427843804</v>
      </c>
      <c r="X46" s="255">
        <f t="shared" si="11"/>
        <v>3.9898132427843804</v>
      </c>
      <c r="Y46" s="255">
        <f t="shared" si="11"/>
        <v>4.4900557846228475</v>
      </c>
      <c r="Z46" s="255">
        <f t="shared" si="11"/>
        <v>4.9872665534804748</v>
      </c>
      <c r="AA46" s="255">
        <f t="shared" si="11"/>
        <v>4.9872665534804748</v>
      </c>
      <c r="AB46" s="255">
        <f t="shared" si="11"/>
        <v>4.9872665534804748</v>
      </c>
      <c r="AC46" s="255">
        <f t="shared" si="11"/>
        <v>4.9872665534804748</v>
      </c>
      <c r="AD46" s="255">
        <f t="shared" si="11"/>
        <v>0</v>
      </c>
      <c r="AE46" s="255">
        <f t="shared" si="11"/>
        <v>0</v>
      </c>
      <c r="AF46" s="255">
        <f t="shared" si="11"/>
        <v>0</v>
      </c>
      <c r="AG46" s="255">
        <f t="shared" si="12"/>
        <v>3.3665312474735223</v>
      </c>
      <c r="AH46" s="59"/>
    </row>
    <row r="47" spans="1:40" s="223" customFormat="1" ht="12">
      <c r="A47" s="223" t="str">
        <f t="shared" si="13"/>
        <v>KITSAP CO -REGULATEDResidentialRECYR</v>
      </c>
      <c r="B47" s="223">
        <f t="shared" si="10"/>
        <v>1</v>
      </c>
      <c r="C47" s="252" t="s">
        <v>268</v>
      </c>
      <c r="D47" s="252" t="s">
        <v>269</v>
      </c>
      <c r="E47" s="254">
        <v>8.33</v>
      </c>
      <c r="F47" s="254"/>
      <c r="G47" s="255">
        <v>18581.175000000003</v>
      </c>
      <c r="H47" s="255">
        <v>18199.449999999997</v>
      </c>
      <c r="I47" s="255">
        <v>18563.3</v>
      </c>
      <c r="J47" s="255">
        <v>18626.38</v>
      </c>
      <c r="K47" s="255">
        <v>18862.27</v>
      </c>
      <c r="L47" s="255">
        <v>19231.215</v>
      </c>
      <c r="M47" s="255">
        <v>19706.425000000003</v>
      </c>
      <c r="N47" s="255">
        <v>19825.805</v>
      </c>
      <c r="O47" s="255">
        <v>19774.165000000001</v>
      </c>
      <c r="P47" s="255">
        <v>6.25</v>
      </c>
      <c r="Q47" s="255">
        <v>22.92</v>
      </c>
      <c r="R47" s="255">
        <v>0</v>
      </c>
      <c r="S47" s="255">
        <f t="shared" si="14"/>
        <v>171399.35500000004</v>
      </c>
      <c r="T47" s="255"/>
      <c r="U47" s="255">
        <f t="shared" si="11"/>
        <v>2230.633253301321</v>
      </c>
      <c r="V47" s="255">
        <f t="shared" si="11"/>
        <v>2184.8079231692673</v>
      </c>
      <c r="W47" s="255">
        <f t="shared" si="11"/>
        <v>2228.4873949579833</v>
      </c>
      <c r="X47" s="255">
        <f t="shared" si="11"/>
        <v>2236.0600240096041</v>
      </c>
      <c r="Y47" s="255">
        <f t="shared" si="11"/>
        <v>2264.3781512605042</v>
      </c>
      <c r="Z47" s="255">
        <f t="shared" si="11"/>
        <v>2308.6692677070828</v>
      </c>
      <c r="AA47" s="255">
        <f t="shared" si="11"/>
        <v>2365.7172869147662</v>
      </c>
      <c r="AB47" s="255">
        <f t="shared" si="11"/>
        <v>2380.0486194477789</v>
      </c>
      <c r="AC47" s="255">
        <f t="shared" si="11"/>
        <v>2373.8493397358943</v>
      </c>
      <c r="AD47" s="255">
        <f t="shared" si="11"/>
        <v>0.75030012004801916</v>
      </c>
      <c r="AE47" s="255">
        <f t="shared" si="11"/>
        <v>2.7515006002400964</v>
      </c>
      <c r="AF47" s="255">
        <f t="shared" si="11"/>
        <v>0</v>
      </c>
      <c r="AG47" s="255">
        <f t="shared" si="12"/>
        <v>1714.6794217687075</v>
      </c>
      <c r="AJ47" s="223">
        <v>96</v>
      </c>
      <c r="AM47" s="223">
        <v>1</v>
      </c>
      <c r="AN47" s="256">
        <f t="shared" ref="AN47:AN49" si="15">+AM47*AF47</f>
        <v>0</v>
      </c>
    </row>
    <row r="48" spans="1:40" s="223" customFormat="1" ht="15.75" customHeight="1">
      <c r="A48" s="223" t="str">
        <f t="shared" si="13"/>
        <v>KITSAP CO -REGULATEDResidentialRECYONLY</v>
      </c>
      <c r="B48" s="223">
        <f t="shared" si="10"/>
        <v>1</v>
      </c>
      <c r="C48" s="59" t="s">
        <v>270</v>
      </c>
      <c r="D48" s="252" t="s">
        <v>105</v>
      </c>
      <c r="E48" s="254">
        <v>8.83</v>
      </c>
      <c r="F48" s="254"/>
      <c r="G48" s="255">
        <v>90.51</v>
      </c>
      <c r="H48" s="255">
        <v>88.3</v>
      </c>
      <c r="I48" s="255">
        <v>88.3</v>
      </c>
      <c r="J48" s="255">
        <v>88.3</v>
      </c>
      <c r="K48" s="255">
        <v>88.3</v>
      </c>
      <c r="L48" s="255">
        <v>88.3</v>
      </c>
      <c r="M48" s="255">
        <v>92.72</v>
      </c>
      <c r="N48" s="255">
        <v>104.19499999999999</v>
      </c>
      <c r="O48" s="255">
        <v>104.19499999999999</v>
      </c>
      <c r="P48" s="255">
        <v>0</v>
      </c>
      <c r="Q48" s="255">
        <v>0</v>
      </c>
      <c r="R48" s="255">
        <v>0</v>
      </c>
      <c r="S48" s="255">
        <f t="shared" si="14"/>
        <v>833.11999999999989</v>
      </c>
      <c r="T48" s="255"/>
      <c r="U48" s="255">
        <f t="shared" si="11"/>
        <v>10.250283125707815</v>
      </c>
      <c r="V48" s="255">
        <f t="shared" si="11"/>
        <v>10</v>
      </c>
      <c r="W48" s="255">
        <f t="shared" si="11"/>
        <v>10</v>
      </c>
      <c r="X48" s="255">
        <f t="shared" si="11"/>
        <v>10</v>
      </c>
      <c r="Y48" s="255">
        <f t="shared" si="11"/>
        <v>10</v>
      </c>
      <c r="Z48" s="255">
        <f t="shared" si="11"/>
        <v>10</v>
      </c>
      <c r="AA48" s="255">
        <f t="shared" si="11"/>
        <v>10.500566251415629</v>
      </c>
      <c r="AB48" s="255">
        <f t="shared" si="11"/>
        <v>11.800113250283125</v>
      </c>
      <c r="AC48" s="255">
        <f t="shared" si="11"/>
        <v>11.800113250283125</v>
      </c>
      <c r="AD48" s="255">
        <f t="shared" si="11"/>
        <v>0</v>
      </c>
      <c r="AE48" s="255">
        <f t="shared" si="11"/>
        <v>0</v>
      </c>
      <c r="AF48" s="255">
        <f t="shared" si="11"/>
        <v>0</v>
      </c>
      <c r="AG48" s="255">
        <f t="shared" si="12"/>
        <v>7.8625896564741398</v>
      </c>
      <c r="AH48" s="59"/>
      <c r="AJ48" s="223">
        <v>96</v>
      </c>
      <c r="AM48" s="223">
        <v>1</v>
      </c>
      <c r="AN48" s="256">
        <f t="shared" si="15"/>
        <v>0</v>
      </c>
    </row>
    <row r="49" spans="1:40" s="223" customFormat="1">
      <c r="A49" s="223" t="str">
        <f>$A$1&amp;"COMMERCIAL RECYCLE"&amp;C49</f>
        <v>KITSAP CO -REGULATEDCOMMERCIAL RECYCLERECYCRMA</v>
      </c>
      <c r="B49" s="223">
        <f t="shared" si="10"/>
        <v>1</v>
      </c>
      <c r="C49" s="252" t="s">
        <v>271</v>
      </c>
      <c r="D49" s="252" t="s">
        <v>272</v>
      </c>
      <c r="E49" s="254">
        <v>8.33</v>
      </c>
      <c r="F49" s="254"/>
      <c r="G49" s="255">
        <v>1034.3</v>
      </c>
      <c r="H49" s="255">
        <v>999.6</v>
      </c>
      <c r="I49" s="255">
        <v>987.11</v>
      </c>
      <c r="J49" s="255">
        <v>994.05</v>
      </c>
      <c r="K49" s="255">
        <v>1024.5899999999999</v>
      </c>
      <c r="L49" s="255">
        <v>1053.7649999999999</v>
      </c>
      <c r="M49" s="255">
        <v>1084.2950000000001</v>
      </c>
      <c r="N49" s="255">
        <v>1082.9100000000001</v>
      </c>
      <c r="O49" s="255">
        <v>0</v>
      </c>
      <c r="P49" s="255">
        <v>0</v>
      </c>
      <c r="Q49" s="255">
        <v>0</v>
      </c>
      <c r="R49" s="255">
        <v>0</v>
      </c>
      <c r="S49" s="255">
        <f t="shared" si="14"/>
        <v>8260.6200000000008</v>
      </c>
      <c r="T49" s="255"/>
      <c r="U49" s="255">
        <f t="shared" si="11"/>
        <v>124.16566626650659</v>
      </c>
      <c r="V49" s="255">
        <f t="shared" si="11"/>
        <v>120</v>
      </c>
      <c r="W49" s="255">
        <f t="shared" si="11"/>
        <v>118.50060024009603</v>
      </c>
      <c r="X49" s="255">
        <f t="shared" si="11"/>
        <v>119.33373349339735</v>
      </c>
      <c r="Y49" s="255">
        <f t="shared" si="11"/>
        <v>122.99999999999999</v>
      </c>
      <c r="Z49" s="255">
        <f t="shared" si="11"/>
        <v>126.50240096038414</v>
      </c>
      <c r="AA49" s="255">
        <f t="shared" si="11"/>
        <v>130.16746698679472</v>
      </c>
      <c r="AB49" s="255">
        <f t="shared" si="11"/>
        <v>130.0012004801921</v>
      </c>
      <c r="AC49" s="255">
        <f t="shared" si="11"/>
        <v>0</v>
      </c>
      <c r="AD49" s="255">
        <f t="shared" si="11"/>
        <v>0</v>
      </c>
      <c r="AE49" s="255">
        <f t="shared" si="11"/>
        <v>0</v>
      </c>
      <c r="AF49" s="255">
        <f t="shared" si="11"/>
        <v>0</v>
      </c>
      <c r="AG49" s="255">
        <f t="shared" si="12"/>
        <v>82.63925570228092</v>
      </c>
      <c r="AH49" s="59"/>
      <c r="AJ49" s="223">
        <v>96</v>
      </c>
      <c r="AM49" s="223">
        <v>1</v>
      </c>
      <c r="AN49" s="256">
        <f t="shared" si="15"/>
        <v>0</v>
      </c>
    </row>
    <row r="50" spans="1:40" s="223" customFormat="1">
      <c r="A50" s="223" t="str">
        <f t="shared" ref="A50" si="16">$A$1&amp;"Residential"&amp;C50</f>
        <v>KITSAP CO -REGULATEDResidentialRECYRNB</v>
      </c>
      <c r="B50" s="223">
        <f t="shared" si="10"/>
        <v>1</v>
      </c>
      <c r="C50" s="252" t="s">
        <v>273</v>
      </c>
      <c r="D50" s="252" t="s">
        <v>274</v>
      </c>
      <c r="E50" s="254">
        <v>8.33</v>
      </c>
      <c r="F50" s="254"/>
      <c r="G50" s="255">
        <v>16.66</v>
      </c>
      <c r="H50" s="255">
        <v>16.66</v>
      </c>
      <c r="I50" s="255">
        <v>16.66</v>
      </c>
      <c r="J50" s="255">
        <v>12.494999999999999</v>
      </c>
      <c r="K50" s="255">
        <v>12.494999999999999</v>
      </c>
      <c r="L50" s="255">
        <v>8.33</v>
      </c>
      <c r="M50" s="255">
        <v>8.33</v>
      </c>
      <c r="N50" s="255">
        <v>8.33</v>
      </c>
      <c r="O50" s="255">
        <v>8.33</v>
      </c>
      <c r="P50" s="255">
        <v>0</v>
      </c>
      <c r="Q50" s="255">
        <v>0</v>
      </c>
      <c r="R50" s="255">
        <v>0</v>
      </c>
      <c r="S50" s="255">
        <f t="shared" si="14"/>
        <v>108.28999999999999</v>
      </c>
      <c r="T50" s="255"/>
      <c r="U50" s="255">
        <f t="shared" si="11"/>
        <v>2</v>
      </c>
      <c r="V50" s="255">
        <f t="shared" si="11"/>
        <v>2</v>
      </c>
      <c r="W50" s="255">
        <f t="shared" si="11"/>
        <v>2</v>
      </c>
      <c r="X50" s="255">
        <f t="shared" si="11"/>
        <v>1.5</v>
      </c>
      <c r="Y50" s="255">
        <f t="shared" si="11"/>
        <v>1.5</v>
      </c>
      <c r="Z50" s="255">
        <f t="shared" si="11"/>
        <v>1</v>
      </c>
      <c r="AA50" s="255">
        <f t="shared" si="11"/>
        <v>1</v>
      </c>
      <c r="AB50" s="255">
        <f t="shared" si="11"/>
        <v>1</v>
      </c>
      <c r="AC50" s="255">
        <f t="shared" si="11"/>
        <v>1</v>
      </c>
      <c r="AD50" s="255">
        <f t="shared" si="11"/>
        <v>0</v>
      </c>
      <c r="AE50" s="255">
        <f t="shared" si="11"/>
        <v>0</v>
      </c>
      <c r="AF50" s="255">
        <f t="shared" si="11"/>
        <v>0</v>
      </c>
      <c r="AG50" s="255">
        <f t="shared" si="12"/>
        <v>1.0833333333333333</v>
      </c>
      <c r="AH50" s="59"/>
    </row>
    <row r="51" spans="1:40" s="223" customFormat="1">
      <c r="A51" s="223" t="str">
        <f>$A$1&amp;"COMMERCIAL  FRONTLOAD"&amp;C51</f>
        <v>KITSAP CO -REGULATEDCOMMERCIAL  FRONTLOADWLKNRW2RECY</v>
      </c>
      <c r="B51" s="223">
        <f t="shared" si="10"/>
        <v>1</v>
      </c>
      <c r="C51" s="252" t="s">
        <v>281</v>
      </c>
      <c r="D51" s="252" t="s">
        <v>280</v>
      </c>
      <c r="E51" s="254">
        <v>0.34</v>
      </c>
      <c r="F51" s="254"/>
      <c r="G51" s="255">
        <v>0.68</v>
      </c>
      <c r="H51" s="255">
        <v>16.66</v>
      </c>
      <c r="I51" s="255">
        <v>0</v>
      </c>
      <c r="J51" s="255">
        <v>16.66</v>
      </c>
      <c r="K51" s="255">
        <v>0</v>
      </c>
      <c r="L51" s="255">
        <v>16.66</v>
      </c>
      <c r="M51" s="255">
        <v>0</v>
      </c>
      <c r="N51" s="255">
        <v>16.66</v>
      </c>
      <c r="O51" s="255">
        <v>0</v>
      </c>
      <c r="P51" s="255">
        <v>0</v>
      </c>
      <c r="Q51" s="255">
        <v>0</v>
      </c>
      <c r="R51" s="255">
        <v>0</v>
      </c>
      <c r="S51" s="255">
        <f t="shared" si="14"/>
        <v>67.319999999999993</v>
      </c>
      <c r="T51" s="255"/>
      <c r="U51" s="255">
        <f t="shared" si="11"/>
        <v>2</v>
      </c>
      <c r="V51" s="255">
        <f t="shared" si="11"/>
        <v>49</v>
      </c>
      <c r="W51" s="255">
        <f t="shared" si="11"/>
        <v>0</v>
      </c>
      <c r="X51" s="255">
        <f t="shared" si="11"/>
        <v>49</v>
      </c>
      <c r="Y51" s="255">
        <f t="shared" si="11"/>
        <v>0</v>
      </c>
      <c r="Z51" s="255">
        <f t="shared" si="11"/>
        <v>49</v>
      </c>
      <c r="AA51" s="255">
        <f t="shared" si="11"/>
        <v>0</v>
      </c>
      <c r="AB51" s="255">
        <f t="shared" si="11"/>
        <v>49</v>
      </c>
      <c r="AC51" s="255">
        <f t="shared" si="11"/>
        <v>0</v>
      </c>
      <c r="AD51" s="255">
        <f t="shared" si="11"/>
        <v>0</v>
      </c>
      <c r="AE51" s="255">
        <f t="shared" si="11"/>
        <v>0</v>
      </c>
      <c r="AF51" s="255">
        <f t="shared" si="11"/>
        <v>0</v>
      </c>
      <c r="AG51" s="255">
        <f t="shared" si="12"/>
        <v>16.5</v>
      </c>
      <c r="AH51" s="59"/>
    </row>
    <row r="52" spans="1:40" s="223" customFormat="1">
      <c r="A52" s="223" t="str">
        <f>$A$1&amp;"COMMERCIAL  FRONTLOAD"&amp;C52</f>
        <v>KITSAP CO -REGULATEDCOMMERCIAL  FRONTLOADWLKNRW2RECYMA</v>
      </c>
      <c r="B52" s="223">
        <f t="shared" si="10"/>
        <v>1</v>
      </c>
      <c r="C52" s="252" t="s">
        <v>279</v>
      </c>
      <c r="D52" s="252" t="s">
        <v>280</v>
      </c>
      <c r="E52" s="254">
        <v>0.34</v>
      </c>
      <c r="F52" s="254"/>
      <c r="G52" s="255">
        <v>7.48</v>
      </c>
      <c r="H52" s="255">
        <v>7.48</v>
      </c>
      <c r="I52" s="255">
        <v>7.48</v>
      </c>
      <c r="J52" s="255">
        <v>7.48</v>
      </c>
      <c r="K52" s="255">
        <v>7.48</v>
      </c>
      <c r="L52" s="255">
        <v>7.48</v>
      </c>
      <c r="M52" s="255">
        <v>7.48</v>
      </c>
      <c r="N52" s="255">
        <v>7.48</v>
      </c>
      <c r="O52" s="255">
        <v>0</v>
      </c>
      <c r="P52" s="255">
        <v>0</v>
      </c>
      <c r="Q52" s="255">
        <v>0</v>
      </c>
      <c r="R52" s="255">
        <v>0</v>
      </c>
      <c r="S52" s="255">
        <f t="shared" si="14"/>
        <v>59.840000000000018</v>
      </c>
      <c r="T52" s="255"/>
      <c r="U52" s="255">
        <f t="shared" si="11"/>
        <v>22</v>
      </c>
      <c r="V52" s="255">
        <f t="shared" si="11"/>
        <v>22</v>
      </c>
      <c r="W52" s="255">
        <f t="shared" si="11"/>
        <v>22</v>
      </c>
      <c r="X52" s="255">
        <f t="shared" si="11"/>
        <v>22</v>
      </c>
      <c r="Y52" s="255">
        <f t="shared" si="11"/>
        <v>22</v>
      </c>
      <c r="Z52" s="255">
        <f t="shared" si="11"/>
        <v>22</v>
      </c>
      <c r="AA52" s="255">
        <f t="shared" si="11"/>
        <v>22</v>
      </c>
      <c r="AB52" s="255">
        <f t="shared" si="11"/>
        <v>22</v>
      </c>
      <c r="AC52" s="255">
        <f t="shared" si="11"/>
        <v>0</v>
      </c>
      <c r="AD52" s="255">
        <f t="shared" si="11"/>
        <v>0</v>
      </c>
      <c r="AE52" s="255">
        <f t="shared" si="11"/>
        <v>0</v>
      </c>
      <c r="AF52" s="255">
        <f t="shared" si="11"/>
        <v>0</v>
      </c>
      <c r="AG52" s="255">
        <f t="shared" si="12"/>
        <v>14.666666666666666</v>
      </c>
      <c r="AH52" s="59"/>
    </row>
    <row r="53" spans="1:40" s="223" customFormat="1">
      <c r="A53" s="223" t="str">
        <f>$A$1&amp;"COMMERCIAL  FRONTLOAD"&amp;C53</f>
        <v>KITSAP CO -REGULATEDCOMMERCIAL  FRONTLOADWLKNRE1RECYMA</v>
      </c>
      <c r="B53" s="223">
        <f t="shared" si="10"/>
        <v>1</v>
      </c>
      <c r="C53" s="252" t="s">
        <v>284</v>
      </c>
      <c r="D53" s="252" t="s">
        <v>283</v>
      </c>
      <c r="E53" s="254">
        <f>0.59*2.17</f>
        <v>1.2803</v>
      </c>
      <c r="F53" s="254"/>
      <c r="G53" s="255">
        <v>2.52</v>
      </c>
      <c r="H53" s="255">
        <v>2.52</v>
      </c>
      <c r="I53" s="255">
        <v>2.52</v>
      </c>
      <c r="J53" s="255">
        <v>2.52</v>
      </c>
      <c r="K53" s="255">
        <v>2.52</v>
      </c>
      <c r="L53" s="255">
        <v>2.52</v>
      </c>
      <c r="M53" s="255">
        <v>2.52</v>
      </c>
      <c r="N53" s="255">
        <v>2.52</v>
      </c>
      <c r="O53" s="255">
        <v>0</v>
      </c>
      <c r="P53" s="255">
        <v>0</v>
      </c>
      <c r="Q53" s="255">
        <v>0</v>
      </c>
      <c r="R53" s="255">
        <v>0</v>
      </c>
      <c r="S53" s="255">
        <f t="shared" si="14"/>
        <v>20.16</v>
      </c>
      <c r="T53" s="255"/>
      <c r="U53" s="255">
        <f t="shared" si="11"/>
        <v>1.9682886823400765</v>
      </c>
      <c r="V53" s="255">
        <f t="shared" si="11"/>
        <v>1.9682886823400765</v>
      </c>
      <c r="W53" s="255">
        <f t="shared" si="11"/>
        <v>1.9682886823400765</v>
      </c>
      <c r="X53" s="255">
        <f t="shared" si="11"/>
        <v>1.9682886823400765</v>
      </c>
      <c r="Y53" s="255">
        <f t="shared" si="11"/>
        <v>1.9682886823400765</v>
      </c>
      <c r="Z53" s="255">
        <f t="shared" si="11"/>
        <v>1.9682886823400765</v>
      </c>
      <c r="AA53" s="255">
        <f t="shared" si="11"/>
        <v>1.9682886823400765</v>
      </c>
      <c r="AB53" s="255">
        <f t="shared" si="11"/>
        <v>1.9682886823400765</v>
      </c>
      <c r="AC53" s="255">
        <f t="shared" si="11"/>
        <v>0</v>
      </c>
      <c r="AD53" s="255">
        <f t="shared" si="11"/>
        <v>0</v>
      </c>
      <c r="AE53" s="255">
        <f t="shared" si="11"/>
        <v>0</v>
      </c>
      <c r="AF53" s="255">
        <f t="shared" si="11"/>
        <v>0</v>
      </c>
      <c r="AG53" s="255">
        <f t="shared" si="12"/>
        <v>1.3121924548933845</v>
      </c>
      <c r="AH53" s="59"/>
    </row>
    <row r="54" spans="1:40" ht="15.75" customHeight="1">
      <c r="C54" s="59"/>
      <c r="D54" s="252"/>
      <c r="F54" s="254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79"/>
      <c r="T54" s="255"/>
      <c r="U54" s="255">
        <f t="shared" si="11"/>
        <v>0</v>
      </c>
      <c r="V54" s="255">
        <f t="shared" si="11"/>
        <v>0</v>
      </c>
      <c r="W54" s="255">
        <f t="shared" si="11"/>
        <v>0</v>
      </c>
      <c r="X54" s="255">
        <f t="shared" si="11"/>
        <v>0</v>
      </c>
      <c r="Y54" s="255">
        <f t="shared" si="11"/>
        <v>0</v>
      </c>
      <c r="Z54" s="255">
        <f t="shared" si="11"/>
        <v>0</v>
      </c>
      <c r="AA54" s="255">
        <f t="shared" si="11"/>
        <v>0</v>
      </c>
      <c r="AB54" s="255">
        <f t="shared" si="11"/>
        <v>0</v>
      </c>
      <c r="AC54" s="255">
        <f t="shared" si="11"/>
        <v>0</v>
      </c>
      <c r="AD54" s="255">
        <f t="shared" si="11"/>
        <v>0</v>
      </c>
      <c r="AE54" s="255">
        <f t="shared" si="11"/>
        <v>0</v>
      </c>
      <c r="AF54" s="255">
        <f t="shared" si="11"/>
        <v>0</v>
      </c>
      <c r="AG54" s="255">
        <f t="shared" si="12"/>
        <v>0</v>
      </c>
    </row>
    <row r="55" spans="1:40" ht="15.75" customHeight="1">
      <c r="B55" s="224">
        <f>COUNTIF(C:C,C55)</f>
        <v>0</v>
      </c>
      <c r="C55" s="59"/>
      <c r="D55" s="59"/>
      <c r="F55" s="254"/>
      <c r="G55" s="255"/>
      <c r="H55" s="255"/>
      <c r="I55" s="255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U55" s="255">
        <f t="shared" si="11"/>
        <v>0</v>
      </c>
      <c r="V55" s="255">
        <f t="shared" si="11"/>
        <v>0</v>
      </c>
      <c r="W55" s="255">
        <f t="shared" si="11"/>
        <v>0</v>
      </c>
      <c r="X55" s="255">
        <f t="shared" si="11"/>
        <v>0</v>
      </c>
      <c r="Y55" s="255">
        <f t="shared" si="11"/>
        <v>0</v>
      </c>
      <c r="Z55" s="255">
        <f t="shared" si="11"/>
        <v>0</v>
      </c>
      <c r="AA55" s="255">
        <f t="shared" si="11"/>
        <v>0</v>
      </c>
      <c r="AB55" s="255">
        <f>IFERROR(N55/#REF!,0)</f>
        <v>0</v>
      </c>
      <c r="AC55" s="255">
        <f>IFERROR(O55/#REF!,0)</f>
        <v>0</v>
      </c>
      <c r="AD55" s="255">
        <f>IFERROR(P55/#REF!,0)</f>
        <v>0</v>
      </c>
      <c r="AE55" s="255">
        <f>IFERROR(Q55/#REF!,0)</f>
        <v>0</v>
      </c>
      <c r="AF55" s="255">
        <f>IFERROR(R55/#REF!,0)</f>
        <v>0</v>
      </c>
      <c r="AG55" s="255">
        <f t="shared" si="12"/>
        <v>0</v>
      </c>
      <c r="AI55" s="269" t="s">
        <v>341</v>
      </c>
      <c r="AJ55" s="270">
        <f>+SUM(AN47:AN49)</f>
        <v>0</v>
      </c>
    </row>
    <row r="56" spans="1:40">
      <c r="B56" s="224">
        <f>COUNTIF(C:C,C56)</f>
        <v>0</v>
      </c>
      <c r="C56" s="272"/>
      <c r="D56" s="273" t="s">
        <v>106</v>
      </c>
      <c r="F56" s="254"/>
      <c r="G56" s="274">
        <f t="shared" ref="G56:S56" si="17">SUM(G44:G55)</f>
        <v>19820.510000000002</v>
      </c>
      <c r="H56" s="274">
        <f t="shared" si="17"/>
        <v>19417.974999999995</v>
      </c>
      <c r="I56" s="274">
        <f t="shared" si="17"/>
        <v>19753.985000000001</v>
      </c>
      <c r="J56" s="274">
        <f t="shared" si="17"/>
        <v>19840.654999999999</v>
      </c>
      <c r="K56" s="274">
        <f t="shared" si="17"/>
        <v>20100.235000000001</v>
      </c>
      <c r="L56" s="274">
        <f t="shared" si="17"/>
        <v>20508.71</v>
      </c>
      <c r="M56" s="274">
        <f t="shared" si="17"/>
        <v>21002.210000000006</v>
      </c>
      <c r="N56" s="274">
        <f t="shared" si="17"/>
        <v>21151.605000000003</v>
      </c>
      <c r="O56" s="274">
        <f t="shared" si="17"/>
        <v>19948.335000000003</v>
      </c>
      <c r="P56" s="274">
        <f t="shared" si="17"/>
        <v>6.25</v>
      </c>
      <c r="Q56" s="274">
        <f t="shared" si="17"/>
        <v>22.92</v>
      </c>
      <c r="R56" s="274">
        <f t="shared" si="17"/>
        <v>0</v>
      </c>
      <c r="S56" s="274">
        <f t="shared" si="17"/>
        <v>181573.39000000004</v>
      </c>
      <c r="T56" s="277">
        <f>S56-SUM(G56:R56)</f>
        <v>0</v>
      </c>
      <c r="U56" s="275">
        <f t="shared" si="11"/>
        <v>0</v>
      </c>
      <c r="V56" s="275">
        <f t="shared" si="11"/>
        <v>0</v>
      </c>
      <c r="W56" s="275">
        <f t="shared" si="11"/>
        <v>0</v>
      </c>
      <c r="X56" s="275">
        <f t="shared" si="11"/>
        <v>0</v>
      </c>
      <c r="Y56" s="275">
        <f t="shared" si="11"/>
        <v>0</v>
      </c>
      <c r="Z56" s="275">
        <f t="shared" si="11"/>
        <v>0</v>
      </c>
      <c r="AA56" s="275">
        <f t="shared" si="11"/>
        <v>0</v>
      </c>
      <c r="AB56" s="275">
        <f t="shared" si="11"/>
        <v>0</v>
      </c>
      <c r="AC56" s="275">
        <f t="shared" si="11"/>
        <v>0</v>
      </c>
      <c r="AD56" s="275">
        <f t="shared" si="11"/>
        <v>0</v>
      </c>
      <c r="AE56" s="275">
        <f t="shared" si="11"/>
        <v>0</v>
      </c>
      <c r="AF56" s="275">
        <f t="shared" si="11"/>
        <v>0</v>
      </c>
      <c r="AG56" s="275">
        <f t="shared" si="11"/>
        <v>0</v>
      </c>
      <c r="AI56" s="269" t="s">
        <v>498</v>
      </c>
      <c r="AJ56" s="270">
        <v>0</v>
      </c>
    </row>
    <row r="57" spans="1:40">
      <c r="F57" s="253"/>
      <c r="G57" s="256"/>
      <c r="H57" s="256"/>
      <c r="I57" s="256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</row>
    <row r="58" spans="1:40">
      <c r="B58" s="224">
        <f>COUNTIF(C:C,C58)</f>
        <v>1</v>
      </c>
      <c r="C58" s="247" t="s">
        <v>285</v>
      </c>
      <c r="D58" s="247" t="s">
        <v>285</v>
      </c>
      <c r="F58" s="287"/>
      <c r="G58" s="288"/>
      <c r="H58" s="256"/>
      <c r="I58" s="256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U58" s="279">
        <f t="shared" ref="U58:AF80" si="18">IFERROR(G58/$E58,0)</f>
        <v>0</v>
      </c>
      <c r="V58" s="279">
        <f t="shared" si="18"/>
        <v>0</v>
      </c>
      <c r="W58" s="279">
        <f t="shared" si="18"/>
        <v>0</v>
      </c>
      <c r="X58" s="279">
        <f t="shared" si="18"/>
        <v>0</v>
      </c>
      <c r="Y58" s="279">
        <f t="shared" si="18"/>
        <v>0</v>
      </c>
      <c r="Z58" s="279">
        <f t="shared" si="18"/>
        <v>0</v>
      </c>
      <c r="AA58" s="279">
        <f t="shared" si="18"/>
        <v>0</v>
      </c>
      <c r="AB58" s="279">
        <f t="shared" si="18"/>
        <v>0</v>
      </c>
      <c r="AC58" s="279">
        <f t="shared" si="18"/>
        <v>0</v>
      </c>
      <c r="AD58" s="279">
        <f t="shared" si="18"/>
        <v>0</v>
      </c>
      <c r="AE58" s="279">
        <f t="shared" si="18"/>
        <v>0</v>
      </c>
      <c r="AF58" s="279">
        <f t="shared" si="18"/>
        <v>0</v>
      </c>
      <c r="AG58" s="224">
        <f t="shared" ref="AG58:AG87" si="19">AVERAGE(U58:Y58)</f>
        <v>0</v>
      </c>
    </row>
    <row r="59" spans="1:40">
      <c r="A59" s="223"/>
      <c r="B59" s="223"/>
      <c r="C59" s="247"/>
      <c r="D59" s="247"/>
      <c r="E59" s="59"/>
      <c r="F59" s="287"/>
      <c r="G59" s="288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23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23"/>
    </row>
    <row r="60" spans="1:40">
      <c r="A60" s="223"/>
      <c r="B60" s="223">
        <f t="shared" ref="B60:B82" si="20">COUNTIF(C:C,C60)</f>
        <v>1</v>
      </c>
      <c r="C60" s="251" t="s">
        <v>107</v>
      </c>
      <c r="D60" s="251" t="s">
        <v>107</v>
      </c>
      <c r="E60" s="59"/>
      <c r="F60" s="287"/>
      <c r="G60" s="288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23"/>
      <c r="U60" s="255">
        <f t="shared" si="18"/>
        <v>0</v>
      </c>
      <c r="V60" s="255">
        <f t="shared" si="18"/>
        <v>0</v>
      </c>
      <c r="W60" s="255">
        <f t="shared" si="18"/>
        <v>0</v>
      </c>
      <c r="X60" s="255">
        <f t="shared" si="18"/>
        <v>0</v>
      </c>
      <c r="Y60" s="255">
        <f t="shared" si="18"/>
        <v>0</v>
      </c>
      <c r="Z60" s="255">
        <f t="shared" si="18"/>
        <v>0</v>
      </c>
      <c r="AA60" s="255">
        <f t="shared" si="18"/>
        <v>0</v>
      </c>
      <c r="AB60" s="255">
        <f t="shared" si="18"/>
        <v>0</v>
      </c>
      <c r="AC60" s="255">
        <f>IFERROR(O60/#REF!,0)</f>
        <v>0</v>
      </c>
      <c r="AD60" s="255">
        <f>IFERROR(P60/#REF!,0)</f>
        <v>0</v>
      </c>
      <c r="AE60" s="255">
        <f>IFERROR(Q60/#REF!,0)</f>
        <v>0</v>
      </c>
      <c r="AF60" s="255">
        <f>IFERROR(R60/#REF!,0)</f>
        <v>0</v>
      </c>
      <c r="AG60" s="255">
        <f t="shared" ref="AG60:AG82" si="21">AVERAGE(U60:AF60)</f>
        <v>0</v>
      </c>
    </row>
    <row r="61" spans="1:40" s="223" customFormat="1">
      <c r="A61" s="223" t="str">
        <f>$A$1&amp;"Commercial - Rearload"&amp;C61</f>
        <v>KITSAP CO -REGULATEDCommercial - RearloadR1.5YDRENTM</v>
      </c>
      <c r="B61" s="223">
        <f t="shared" si="20"/>
        <v>1</v>
      </c>
      <c r="C61" s="252" t="s">
        <v>306</v>
      </c>
      <c r="D61" s="252" t="s">
        <v>307</v>
      </c>
      <c r="E61" s="254">
        <v>9.5399999999999991</v>
      </c>
      <c r="F61" s="254"/>
      <c r="G61" s="255">
        <v>1018.55</v>
      </c>
      <c r="H61" s="255">
        <v>1007.43</v>
      </c>
      <c r="I61" s="255">
        <v>1005.2</v>
      </c>
      <c r="J61" s="255">
        <v>1018.55</v>
      </c>
      <c r="K61" s="255">
        <v>1007.42</v>
      </c>
      <c r="L61" s="255">
        <v>1007.24</v>
      </c>
      <c r="M61" s="255">
        <v>1016.33</v>
      </c>
      <c r="N61" s="255">
        <v>1017.6</v>
      </c>
      <c r="O61" s="255">
        <v>19.079999999999998</v>
      </c>
      <c r="P61" s="255">
        <v>9.5399999999999991</v>
      </c>
      <c r="Q61" s="255">
        <v>9.5399999999999991</v>
      </c>
      <c r="R61" s="255">
        <v>9.5399999999999991</v>
      </c>
      <c r="S61" s="255">
        <f t="shared" ref="S61:S82" si="22">SUM(G61:R61)</f>
        <v>8146.02</v>
      </c>
      <c r="T61" s="255"/>
      <c r="U61" s="255">
        <f t="shared" si="18"/>
        <v>106.76624737945494</v>
      </c>
      <c r="V61" s="255">
        <f t="shared" si="18"/>
        <v>105.60062893081762</v>
      </c>
      <c r="W61" s="255">
        <f t="shared" si="18"/>
        <v>105.36687631027254</v>
      </c>
      <c r="X61" s="255">
        <f t="shared" si="18"/>
        <v>106.76624737945494</v>
      </c>
      <c r="Y61" s="255">
        <f t="shared" si="18"/>
        <v>105.59958071278827</v>
      </c>
      <c r="Z61" s="255">
        <f t="shared" si="18"/>
        <v>105.58071278825997</v>
      </c>
      <c r="AA61" s="255">
        <f t="shared" si="18"/>
        <v>106.53354297693922</v>
      </c>
      <c r="AB61" s="255">
        <f t="shared" si="18"/>
        <v>106.66666666666669</v>
      </c>
      <c r="AC61" s="255">
        <f t="shared" si="18"/>
        <v>2</v>
      </c>
      <c r="AD61" s="255">
        <f t="shared" si="18"/>
        <v>1</v>
      </c>
      <c r="AE61" s="255">
        <f t="shared" si="18"/>
        <v>1</v>
      </c>
      <c r="AF61" s="255">
        <f t="shared" si="18"/>
        <v>1</v>
      </c>
      <c r="AG61" s="255">
        <f t="shared" si="21"/>
        <v>71.15670859538784</v>
      </c>
      <c r="AH61" s="59"/>
    </row>
    <row r="62" spans="1:40" s="223" customFormat="1">
      <c r="A62" s="223" t="str">
        <f t="shared" ref="A62:A82" si="23">$A$1&amp;"Commercial - Rearload"&amp;C62</f>
        <v>KITSAP CO -REGULATEDCommercial - RearloadR2YDRENTM</v>
      </c>
      <c r="B62" s="223">
        <f t="shared" si="20"/>
        <v>1</v>
      </c>
      <c r="C62" s="252" t="s">
        <v>308</v>
      </c>
      <c r="D62" s="252" t="s">
        <v>309</v>
      </c>
      <c r="E62" s="254">
        <v>13.77</v>
      </c>
      <c r="F62" s="254"/>
      <c r="G62" s="255">
        <v>2658.99</v>
      </c>
      <c r="H62" s="255">
        <v>2674.14</v>
      </c>
      <c r="I62" s="255">
        <v>2673.69</v>
      </c>
      <c r="J62" s="255">
        <v>2650.14</v>
      </c>
      <c r="K62" s="255">
        <v>2645.68</v>
      </c>
      <c r="L62" s="255">
        <v>2680.71</v>
      </c>
      <c r="M62" s="255">
        <v>2716.82</v>
      </c>
      <c r="N62" s="255">
        <v>2769.15</v>
      </c>
      <c r="O62" s="255">
        <v>266.22000000000003</v>
      </c>
      <c r="P62" s="255">
        <v>151.47</v>
      </c>
      <c r="Q62" s="255">
        <v>151.47</v>
      </c>
      <c r="R62" s="255">
        <v>151.47</v>
      </c>
      <c r="S62" s="255">
        <f t="shared" si="22"/>
        <v>22189.950000000004</v>
      </c>
      <c r="T62" s="255"/>
      <c r="U62" s="255">
        <f t="shared" si="18"/>
        <v>193.10021786492374</v>
      </c>
      <c r="V62" s="255">
        <f t="shared" si="18"/>
        <v>194.2004357298475</v>
      </c>
      <c r="W62" s="255">
        <f t="shared" si="18"/>
        <v>194.16775599128542</v>
      </c>
      <c r="X62" s="255">
        <f t="shared" si="18"/>
        <v>192.45751633986927</v>
      </c>
      <c r="Y62" s="255">
        <f t="shared" si="18"/>
        <v>192.13362381989833</v>
      </c>
      <c r="Z62" s="255">
        <f t="shared" si="18"/>
        <v>194.67755991285404</v>
      </c>
      <c r="AA62" s="255">
        <f t="shared" si="18"/>
        <v>197.29992737835877</v>
      </c>
      <c r="AB62" s="255">
        <f t="shared" si="18"/>
        <v>201.10021786492376</v>
      </c>
      <c r="AC62" s="255">
        <f t="shared" si="18"/>
        <v>19.333333333333336</v>
      </c>
      <c r="AD62" s="255">
        <f t="shared" si="18"/>
        <v>11</v>
      </c>
      <c r="AE62" s="255">
        <f t="shared" si="18"/>
        <v>11</v>
      </c>
      <c r="AF62" s="255">
        <f t="shared" si="18"/>
        <v>11</v>
      </c>
      <c r="AG62" s="255">
        <f t="shared" si="21"/>
        <v>134.2892156862745</v>
      </c>
      <c r="AH62" s="59"/>
    </row>
    <row r="63" spans="1:40" s="223" customFormat="1">
      <c r="A63" s="223" t="str">
        <f>$A$1&amp;"Commercial - Rearload"&amp;C63</f>
        <v>KITSAP CO -REGULATEDCommercial - RearloadR1YDRENTM</v>
      </c>
      <c r="B63" s="223">
        <f t="shared" si="20"/>
        <v>1</v>
      </c>
      <c r="C63" s="252" t="s">
        <v>304</v>
      </c>
      <c r="D63" s="252" t="s">
        <v>305</v>
      </c>
      <c r="E63" s="254">
        <v>8.4700000000000006</v>
      </c>
      <c r="F63" s="254"/>
      <c r="G63" s="255">
        <v>59.29</v>
      </c>
      <c r="H63" s="255">
        <v>56.47</v>
      </c>
      <c r="I63" s="255">
        <v>50.82</v>
      </c>
      <c r="J63" s="255">
        <v>48.84</v>
      </c>
      <c r="K63" s="255">
        <v>42.35</v>
      </c>
      <c r="L63" s="255">
        <v>42.35</v>
      </c>
      <c r="M63" s="255">
        <v>42.35</v>
      </c>
      <c r="N63" s="255">
        <v>47.71</v>
      </c>
      <c r="O63" s="255">
        <v>0</v>
      </c>
      <c r="P63" s="255">
        <v>0</v>
      </c>
      <c r="Q63" s="255">
        <v>0</v>
      </c>
      <c r="R63" s="255">
        <v>0</v>
      </c>
      <c r="S63" s="255">
        <f>SUM(G63:R63)</f>
        <v>390.18</v>
      </c>
      <c r="T63" s="255"/>
      <c r="U63" s="255">
        <f t="shared" si="18"/>
        <v>6.9999999999999991</v>
      </c>
      <c r="V63" s="255">
        <f t="shared" si="18"/>
        <v>6.6670602125147571</v>
      </c>
      <c r="W63" s="255">
        <f t="shared" si="18"/>
        <v>6</v>
      </c>
      <c r="X63" s="255">
        <f t="shared" si="18"/>
        <v>5.7662337662337659</v>
      </c>
      <c r="Y63" s="255">
        <f t="shared" si="18"/>
        <v>5</v>
      </c>
      <c r="Z63" s="255">
        <f t="shared" si="18"/>
        <v>5</v>
      </c>
      <c r="AA63" s="255">
        <f t="shared" si="18"/>
        <v>5</v>
      </c>
      <c r="AB63" s="255">
        <f t="shared" si="18"/>
        <v>5.6328217237308147</v>
      </c>
      <c r="AC63" s="255">
        <f t="shared" si="18"/>
        <v>0</v>
      </c>
      <c r="AD63" s="255">
        <f t="shared" si="18"/>
        <v>0</v>
      </c>
      <c r="AE63" s="255">
        <f t="shared" si="18"/>
        <v>0</v>
      </c>
      <c r="AF63" s="255">
        <f t="shared" si="18"/>
        <v>0</v>
      </c>
      <c r="AG63" s="255">
        <f t="shared" si="21"/>
        <v>3.8388429752066116</v>
      </c>
      <c r="AH63" s="59"/>
    </row>
    <row r="64" spans="1:40" s="223" customFormat="1">
      <c r="A64" s="223" t="str">
        <f>$A$1&amp;"Commercial - Rearload"&amp;C64</f>
        <v>KITSAP CO -REGULATEDCommercial - RearloadR1.5YDRENTT</v>
      </c>
      <c r="B64" s="223">
        <f t="shared" si="20"/>
        <v>1</v>
      </c>
      <c r="C64" s="252" t="s">
        <v>318</v>
      </c>
      <c r="D64" s="252" t="s">
        <v>319</v>
      </c>
      <c r="E64" s="254">
        <v>15.77</v>
      </c>
      <c r="F64" s="254"/>
      <c r="G64" s="255">
        <v>15.9</v>
      </c>
      <c r="H64" s="255">
        <v>15.9</v>
      </c>
      <c r="I64" s="255">
        <v>15.9</v>
      </c>
      <c r="J64" s="255">
        <v>23.9</v>
      </c>
      <c r="K64" s="255">
        <v>15.9</v>
      </c>
      <c r="L64" s="255">
        <v>26.67</v>
      </c>
      <c r="M64" s="255">
        <v>15.9</v>
      </c>
      <c r="N64" s="255">
        <v>18.55</v>
      </c>
      <c r="O64" s="255">
        <v>0</v>
      </c>
      <c r="P64" s="255">
        <v>0</v>
      </c>
      <c r="Q64" s="255">
        <v>0</v>
      </c>
      <c r="R64" s="255">
        <v>0</v>
      </c>
      <c r="S64" s="255">
        <f>SUM(G64:R64)</f>
        <v>148.62</v>
      </c>
      <c r="T64" s="255"/>
      <c r="U64" s="255">
        <f t="shared" si="18"/>
        <v>1.0082435003170578</v>
      </c>
      <c r="V64" s="255">
        <f t="shared" si="18"/>
        <v>1.0082435003170578</v>
      </c>
      <c r="W64" s="255">
        <f t="shared" si="18"/>
        <v>1.0082435003170578</v>
      </c>
      <c r="X64" s="255">
        <f t="shared" si="18"/>
        <v>1.5155358275206088</v>
      </c>
      <c r="Y64" s="255">
        <f t="shared" si="18"/>
        <v>1.0082435003170578</v>
      </c>
      <c r="Z64" s="255">
        <f t="shared" si="18"/>
        <v>1.6911857958148384</v>
      </c>
      <c r="AA64" s="255">
        <f t="shared" si="18"/>
        <v>1.0082435003170578</v>
      </c>
      <c r="AB64" s="255">
        <f t="shared" si="18"/>
        <v>1.176284083703234</v>
      </c>
      <c r="AC64" s="255">
        <f t="shared" si="18"/>
        <v>0</v>
      </c>
      <c r="AD64" s="255">
        <f t="shared" si="18"/>
        <v>0</v>
      </c>
      <c r="AE64" s="255">
        <f t="shared" si="18"/>
        <v>0</v>
      </c>
      <c r="AF64" s="255">
        <f t="shared" si="18"/>
        <v>0</v>
      </c>
      <c r="AG64" s="255">
        <f t="shared" si="21"/>
        <v>0.78535193405199744</v>
      </c>
      <c r="AH64" s="59"/>
    </row>
    <row r="65" spans="1:40" s="223" customFormat="1">
      <c r="A65" s="223" t="str">
        <f>$A$1&amp;"Commercial - Rearload"&amp;C65</f>
        <v>KITSAP CO -REGULATEDCommercial - RearloadR2YDRENTT</v>
      </c>
      <c r="B65" s="223">
        <f t="shared" si="20"/>
        <v>1</v>
      </c>
      <c r="C65" s="252" t="s">
        <v>310</v>
      </c>
      <c r="D65" s="252" t="s">
        <v>311</v>
      </c>
      <c r="E65" s="254">
        <v>20.63</v>
      </c>
      <c r="F65" s="254"/>
      <c r="G65" s="255">
        <v>6.21</v>
      </c>
      <c r="H65" s="255">
        <v>0</v>
      </c>
      <c r="I65" s="255">
        <v>0</v>
      </c>
      <c r="J65" s="255">
        <v>0</v>
      </c>
      <c r="K65" s="255">
        <v>17.25</v>
      </c>
      <c r="L65" s="255">
        <v>4.83</v>
      </c>
      <c r="M65" s="255">
        <v>0</v>
      </c>
      <c r="N65" s="255">
        <v>6.9</v>
      </c>
      <c r="O65" s="255">
        <v>0</v>
      </c>
      <c r="P65" s="255">
        <v>0</v>
      </c>
      <c r="Q65" s="255">
        <v>0</v>
      </c>
      <c r="R65" s="255">
        <v>0</v>
      </c>
      <c r="S65" s="255">
        <f>SUM(G65:R65)</f>
        <v>35.19</v>
      </c>
      <c r="T65" s="255"/>
      <c r="U65" s="255">
        <f t="shared" si="18"/>
        <v>0.30101793504604946</v>
      </c>
      <c r="V65" s="255">
        <f t="shared" si="18"/>
        <v>0</v>
      </c>
      <c r="W65" s="255">
        <f t="shared" si="18"/>
        <v>0</v>
      </c>
      <c r="X65" s="255">
        <f t="shared" si="18"/>
        <v>0</v>
      </c>
      <c r="Y65" s="255">
        <f t="shared" si="18"/>
        <v>0.83616093068347075</v>
      </c>
      <c r="Z65" s="255">
        <f t="shared" si="18"/>
        <v>0.23412506059137181</v>
      </c>
      <c r="AA65" s="255">
        <f t="shared" si="18"/>
        <v>0</v>
      </c>
      <c r="AB65" s="255">
        <f t="shared" si="18"/>
        <v>0.33446437227338832</v>
      </c>
      <c r="AC65" s="255">
        <f t="shared" si="18"/>
        <v>0</v>
      </c>
      <c r="AD65" s="255">
        <f t="shared" si="18"/>
        <v>0</v>
      </c>
      <c r="AE65" s="255">
        <f t="shared" si="18"/>
        <v>0</v>
      </c>
      <c r="AF65" s="255">
        <f t="shared" si="18"/>
        <v>0</v>
      </c>
      <c r="AG65" s="255">
        <f t="shared" si="21"/>
        <v>0.14214735821619004</v>
      </c>
      <c r="AH65" s="59"/>
    </row>
    <row r="66" spans="1:40" s="393" customFormat="1">
      <c r="A66" s="393" t="str">
        <f t="shared" si="23"/>
        <v>KITSAP CO -REGULATEDCommercial - RearloadR1.5YDEK</v>
      </c>
      <c r="B66" s="393">
        <f t="shared" si="20"/>
        <v>1</v>
      </c>
      <c r="C66" s="394" t="s">
        <v>296</v>
      </c>
      <c r="D66" s="394" t="s">
        <v>293</v>
      </c>
      <c r="E66" s="395">
        <f>17.47*2.17</f>
        <v>37.909899999999993</v>
      </c>
      <c r="F66" s="395"/>
      <c r="G66" s="396">
        <v>2678.97</v>
      </c>
      <c r="H66" s="396">
        <v>2577.88</v>
      </c>
      <c r="I66" s="396">
        <v>2615.79</v>
      </c>
      <c r="J66" s="396">
        <v>2628.43</v>
      </c>
      <c r="K66" s="396">
        <v>2754.8</v>
      </c>
      <c r="L66" s="396">
        <v>2700.18</v>
      </c>
      <c r="M66" s="396">
        <v>2653.7</v>
      </c>
      <c r="N66" s="396">
        <v>2663.18</v>
      </c>
      <c r="O66" s="396">
        <v>84.36</v>
      </c>
      <c r="P66" s="396">
        <v>42.18</v>
      </c>
      <c r="Q66" s="396">
        <v>42.29</v>
      </c>
      <c r="R66" s="396">
        <v>42.29</v>
      </c>
      <c r="S66" s="396">
        <f t="shared" si="22"/>
        <v>21484.050000000003</v>
      </c>
      <c r="T66" s="396"/>
      <c r="U66" s="396">
        <f t="shared" si="18"/>
        <v>70.666765145779863</v>
      </c>
      <c r="V66" s="396">
        <f t="shared" si="18"/>
        <v>68.000179372670473</v>
      </c>
      <c r="W66" s="396">
        <f t="shared" si="18"/>
        <v>69.000182010503863</v>
      </c>
      <c r="X66" s="396">
        <f t="shared" si="18"/>
        <v>69.333604150894629</v>
      </c>
      <c r="Y66" s="396">
        <f t="shared" si="18"/>
        <v>72.66703420478558</v>
      </c>
      <c r="Z66" s="396">
        <f t="shared" si="18"/>
        <v>71.226249607622293</v>
      </c>
      <c r="AA66" s="396">
        <f t="shared" si="18"/>
        <v>70.000184648337253</v>
      </c>
      <c r="AB66" s="396">
        <f t="shared" si="18"/>
        <v>70.250251253630324</v>
      </c>
      <c r="AC66" s="396">
        <f t="shared" si="18"/>
        <v>2.2252762471016809</v>
      </c>
      <c r="AD66" s="396">
        <f t="shared" si="18"/>
        <v>1.1126381235508405</v>
      </c>
      <c r="AE66" s="396">
        <f t="shared" si="18"/>
        <v>1.1155397402789247</v>
      </c>
      <c r="AF66" s="396">
        <f t="shared" si="18"/>
        <v>1.1155397402789247</v>
      </c>
      <c r="AG66" s="396">
        <f t="shared" si="21"/>
        <v>47.226120353786222</v>
      </c>
      <c r="AH66" s="398"/>
      <c r="AL66" s="393">
        <v>1.5</v>
      </c>
      <c r="AM66" s="393">
        <v>1</v>
      </c>
      <c r="AN66" s="397">
        <f t="shared" ref="AN66:AN71" si="24">+AM66*AF66</f>
        <v>1.1155397402789247</v>
      </c>
    </row>
    <row r="67" spans="1:40" s="393" customFormat="1">
      <c r="A67" s="393" t="str">
        <f t="shared" si="23"/>
        <v>KITSAP CO -REGULATEDCommercial - RearloadR1.5YDWK</v>
      </c>
      <c r="B67" s="393">
        <f t="shared" si="20"/>
        <v>1</v>
      </c>
      <c r="C67" s="394" t="s">
        <v>297</v>
      </c>
      <c r="D67" s="394" t="s">
        <v>295</v>
      </c>
      <c r="E67" s="395">
        <f>17.47*4.33</f>
        <v>75.645099999999999</v>
      </c>
      <c r="F67" s="395"/>
      <c r="G67" s="396">
        <v>3086.52</v>
      </c>
      <c r="H67" s="396">
        <v>3026</v>
      </c>
      <c r="I67" s="396">
        <v>3007.09</v>
      </c>
      <c r="J67" s="396">
        <v>2927.66</v>
      </c>
      <c r="K67" s="396">
        <v>2640.18</v>
      </c>
      <c r="L67" s="396">
        <v>2704.49</v>
      </c>
      <c r="M67" s="396">
        <v>2859.58</v>
      </c>
      <c r="N67" s="396">
        <v>2995.74</v>
      </c>
      <c r="O67" s="396">
        <v>30.26</v>
      </c>
      <c r="P67" s="396">
        <v>0</v>
      </c>
      <c r="Q67" s="396">
        <v>0</v>
      </c>
      <c r="R67" s="396">
        <v>0</v>
      </c>
      <c r="S67" s="396">
        <f t="shared" si="22"/>
        <v>23277.52</v>
      </c>
      <c r="T67" s="396"/>
      <c r="U67" s="396">
        <f t="shared" si="18"/>
        <v>40.802642867812985</v>
      </c>
      <c r="V67" s="396">
        <f t="shared" si="18"/>
        <v>40.002591046875473</v>
      </c>
      <c r="W67" s="396">
        <f t="shared" si="18"/>
        <v>39.752607901899793</v>
      </c>
      <c r="X67" s="396">
        <f t="shared" si="18"/>
        <v>38.702572935986602</v>
      </c>
      <c r="Y67" s="396">
        <f t="shared" si="18"/>
        <v>34.902194590264273</v>
      </c>
      <c r="Z67" s="396">
        <f t="shared" si="18"/>
        <v>35.752348797212242</v>
      </c>
      <c r="AA67" s="396">
        <f t="shared" si="18"/>
        <v>37.80258073556648</v>
      </c>
      <c r="AB67" s="396">
        <f t="shared" si="18"/>
        <v>39.602565136406717</v>
      </c>
      <c r="AC67" s="396">
        <f t="shared" si="18"/>
        <v>0.4000259104687548</v>
      </c>
      <c r="AD67" s="396">
        <f t="shared" si="18"/>
        <v>0</v>
      </c>
      <c r="AE67" s="396">
        <f t="shared" si="18"/>
        <v>0</v>
      </c>
      <c r="AF67" s="396">
        <f t="shared" si="18"/>
        <v>0</v>
      </c>
      <c r="AG67" s="396">
        <f t="shared" si="21"/>
        <v>25.643344160207775</v>
      </c>
      <c r="AH67" s="398"/>
      <c r="AL67" s="393">
        <v>1.5</v>
      </c>
      <c r="AM67" s="393">
        <v>1</v>
      </c>
      <c r="AN67" s="397">
        <f t="shared" si="24"/>
        <v>0</v>
      </c>
    </row>
    <row r="68" spans="1:40" s="393" customFormat="1">
      <c r="A68" s="393" t="str">
        <f t="shared" si="23"/>
        <v>KITSAP CO -REGULATEDCommercial - RearloadR1YDEK</v>
      </c>
      <c r="B68" s="393">
        <f t="shared" si="20"/>
        <v>1</v>
      </c>
      <c r="C68" s="394" t="s">
        <v>288</v>
      </c>
      <c r="D68" s="394" t="s">
        <v>287</v>
      </c>
      <c r="E68" s="395">
        <f>15.99*2.17</f>
        <v>34.698299999999996</v>
      </c>
      <c r="F68" s="395"/>
      <c r="G68" s="396">
        <v>173.5</v>
      </c>
      <c r="H68" s="396">
        <v>164.83</v>
      </c>
      <c r="I68" s="396">
        <v>173.5</v>
      </c>
      <c r="J68" s="396">
        <v>138.80000000000001</v>
      </c>
      <c r="K68" s="396">
        <v>138.80000000000001</v>
      </c>
      <c r="L68" s="396">
        <v>138.80000000000001</v>
      </c>
      <c r="M68" s="396">
        <v>138.80000000000001</v>
      </c>
      <c r="N68" s="396">
        <v>156.15</v>
      </c>
      <c r="O68" s="396">
        <v>0</v>
      </c>
      <c r="P68" s="396">
        <v>0</v>
      </c>
      <c r="Q68" s="396">
        <v>0</v>
      </c>
      <c r="R68" s="396">
        <v>0</v>
      </c>
      <c r="S68" s="396">
        <f t="shared" si="22"/>
        <v>1223.18</v>
      </c>
      <c r="T68" s="396"/>
      <c r="U68" s="396">
        <f t="shared" si="18"/>
        <v>5.0002449687736865</v>
      </c>
      <c r="V68" s="396">
        <f t="shared" si="18"/>
        <v>4.750376819613642</v>
      </c>
      <c r="W68" s="396">
        <f t="shared" si="18"/>
        <v>5.0002449687736865</v>
      </c>
      <c r="X68" s="396">
        <f t="shared" si="18"/>
        <v>4.0001959750189497</v>
      </c>
      <c r="Y68" s="396">
        <f t="shared" si="18"/>
        <v>4.0001959750189497</v>
      </c>
      <c r="Z68" s="396">
        <f t="shared" si="18"/>
        <v>4.0001959750189497</v>
      </c>
      <c r="AA68" s="396">
        <f t="shared" si="18"/>
        <v>4.0001959750189497</v>
      </c>
      <c r="AB68" s="396">
        <f t="shared" si="18"/>
        <v>4.5002204718963181</v>
      </c>
      <c r="AC68" s="396">
        <f t="shared" si="18"/>
        <v>0</v>
      </c>
      <c r="AD68" s="396">
        <f t="shared" si="18"/>
        <v>0</v>
      </c>
      <c r="AE68" s="396">
        <f t="shared" si="18"/>
        <v>0</v>
      </c>
      <c r="AF68" s="396">
        <f t="shared" si="18"/>
        <v>0</v>
      </c>
      <c r="AG68" s="396">
        <f t="shared" si="21"/>
        <v>2.9376559274277612</v>
      </c>
      <c r="AH68" s="398"/>
      <c r="AL68" s="393">
        <v>1</v>
      </c>
      <c r="AM68" s="393">
        <v>1</v>
      </c>
      <c r="AN68" s="397">
        <f t="shared" si="24"/>
        <v>0</v>
      </c>
    </row>
    <row r="69" spans="1:40" s="393" customFormat="1">
      <c r="A69" s="393" t="str">
        <f t="shared" si="23"/>
        <v>KITSAP CO -REGULATEDCommercial - RearloadR1YDWK</v>
      </c>
      <c r="B69" s="393">
        <f t="shared" si="20"/>
        <v>1</v>
      </c>
      <c r="C69" s="394" t="s">
        <v>289</v>
      </c>
      <c r="D69" s="394" t="s">
        <v>290</v>
      </c>
      <c r="E69" s="395">
        <f>15.99*4.33</f>
        <v>69.236699999999999</v>
      </c>
      <c r="F69" s="395"/>
      <c r="G69" s="396">
        <v>138.47999999999999</v>
      </c>
      <c r="H69" s="396">
        <v>138.47999999999999</v>
      </c>
      <c r="I69" s="396">
        <v>69.239999999999995</v>
      </c>
      <c r="J69" s="396">
        <v>69.239999999999995</v>
      </c>
      <c r="K69" s="396">
        <v>69.239999999999995</v>
      </c>
      <c r="L69" s="396">
        <v>69.239999999999995</v>
      </c>
      <c r="M69" s="396">
        <v>69.239999999999995</v>
      </c>
      <c r="N69" s="396">
        <v>138.47999999999999</v>
      </c>
      <c r="O69" s="396">
        <v>0</v>
      </c>
      <c r="P69" s="396">
        <v>0</v>
      </c>
      <c r="Q69" s="396">
        <v>0</v>
      </c>
      <c r="R69" s="396">
        <v>0</v>
      </c>
      <c r="S69" s="396">
        <f t="shared" si="22"/>
        <v>761.64</v>
      </c>
      <c r="T69" s="396"/>
      <c r="U69" s="396">
        <f t="shared" si="18"/>
        <v>2.0000953251671438</v>
      </c>
      <c r="V69" s="396">
        <f t="shared" si="18"/>
        <v>2.0000953251671438</v>
      </c>
      <c r="W69" s="396">
        <f t="shared" si="18"/>
        <v>1.0000476625835719</v>
      </c>
      <c r="X69" s="396">
        <f t="shared" si="18"/>
        <v>1.0000476625835719</v>
      </c>
      <c r="Y69" s="396">
        <f t="shared" si="18"/>
        <v>1.0000476625835719</v>
      </c>
      <c r="Z69" s="396">
        <f t="shared" si="18"/>
        <v>1.0000476625835719</v>
      </c>
      <c r="AA69" s="396">
        <f t="shared" si="18"/>
        <v>1.0000476625835719</v>
      </c>
      <c r="AB69" s="396">
        <f t="shared" si="18"/>
        <v>2.0000953251671438</v>
      </c>
      <c r="AC69" s="396">
        <f t="shared" si="18"/>
        <v>0</v>
      </c>
      <c r="AD69" s="396">
        <f t="shared" si="18"/>
        <v>0</v>
      </c>
      <c r="AE69" s="396">
        <f t="shared" si="18"/>
        <v>0</v>
      </c>
      <c r="AF69" s="396">
        <f t="shared" si="18"/>
        <v>0</v>
      </c>
      <c r="AG69" s="396">
        <f t="shared" si="21"/>
        <v>0.91671035736827433</v>
      </c>
      <c r="AH69" s="398"/>
      <c r="AL69" s="393">
        <v>1</v>
      </c>
      <c r="AM69" s="393">
        <v>1</v>
      </c>
      <c r="AN69" s="397">
        <f t="shared" si="24"/>
        <v>0</v>
      </c>
    </row>
    <row r="70" spans="1:40" s="393" customFormat="1">
      <c r="A70" s="393" t="str">
        <f t="shared" si="23"/>
        <v>KITSAP CO -REGULATEDCommercial - RearloadR2YDEK</v>
      </c>
      <c r="B70" s="393">
        <f t="shared" si="20"/>
        <v>1</v>
      </c>
      <c r="C70" s="394" t="s">
        <v>303</v>
      </c>
      <c r="D70" s="394" t="s">
        <v>299</v>
      </c>
      <c r="E70" s="395">
        <f>22.86*2.17</f>
        <v>49.606199999999994</v>
      </c>
      <c r="F70" s="395"/>
      <c r="G70" s="396">
        <v>2910.45</v>
      </c>
      <c r="H70" s="396">
        <v>2976.6</v>
      </c>
      <c r="I70" s="396">
        <v>2964.9</v>
      </c>
      <c r="J70" s="396">
        <v>2968.34</v>
      </c>
      <c r="K70" s="396">
        <v>3254.43</v>
      </c>
      <c r="L70" s="396">
        <v>3249.47</v>
      </c>
      <c r="M70" s="396">
        <v>3026.22</v>
      </c>
      <c r="N70" s="396">
        <v>2902.19</v>
      </c>
      <c r="O70" s="396">
        <v>111.5</v>
      </c>
      <c r="P70" s="396">
        <v>0</v>
      </c>
      <c r="Q70" s="396">
        <v>0</v>
      </c>
      <c r="R70" s="396">
        <v>0</v>
      </c>
      <c r="S70" s="396">
        <f t="shared" si="22"/>
        <v>24364.1</v>
      </c>
      <c r="T70" s="396"/>
      <c r="U70" s="396">
        <f t="shared" si="18"/>
        <v>58.671093532663257</v>
      </c>
      <c r="V70" s="396">
        <f t="shared" si="18"/>
        <v>60.004596199668597</v>
      </c>
      <c r="W70" s="396">
        <f t="shared" si="18"/>
        <v>59.76873858509623</v>
      </c>
      <c r="X70" s="396">
        <f t="shared" si="18"/>
        <v>59.838084755534602</v>
      </c>
      <c r="Y70" s="396">
        <f t="shared" si="18"/>
        <v>65.605307401090997</v>
      </c>
      <c r="Z70" s="396">
        <f t="shared" si="18"/>
        <v>65.505319899528686</v>
      </c>
      <c r="AA70" s="396">
        <f t="shared" si="18"/>
        <v>61.004874390701168</v>
      </c>
      <c r="AB70" s="396">
        <f t="shared" si="18"/>
        <v>58.504582088529261</v>
      </c>
      <c r="AC70" s="396">
        <f t="shared" si="18"/>
        <v>2.247702908104229</v>
      </c>
      <c r="AD70" s="396">
        <f t="shared" si="18"/>
        <v>0</v>
      </c>
      <c r="AE70" s="396">
        <f t="shared" si="18"/>
        <v>0</v>
      </c>
      <c r="AF70" s="396">
        <f t="shared" si="18"/>
        <v>0</v>
      </c>
      <c r="AG70" s="396">
        <f t="shared" si="21"/>
        <v>40.929191646743085</v>
      </c>
      <c r="AH70" s="398"/>
      <c r="AL70" s="393">
        <v>2</v>
      </c>
      <c r="AM70" s="393">
        <v>1</v>
      </c>
      <c r="AN70" s="397">
        <f t="shared" si="24"/>
        <v>0</v>
      </c>
    </row>
    <row r="71" spans="1:40" s="393" customFormat="1">
      <c r="A71" s="393" t="str">
        <f t="shared" si="23"/>
        <v>KITSAP CO -REGULATEDCommercial - RearloadR2YDWK</v>
      </c>
      <c r="B71" s="393">
        <f t="shared" si="20"/>
        <v>1</v>
      </c>
      <c r="C71" s="394" t="s">
        <v>300</v>
      </c>
      <c r="D71" s="394" t="s">
        <v>301</v>
      </c>
      <c r="E71" s="395">
        <f>22.86*4.33</f>
        <v>98.983800000000002</v>
      </c>
      <c r="F71" s="395"/>
      <c r="G71" s="396">
        <v>18553.12</v>
      </c>
      <c r="H71" s="396">
        <v>18448.97</v>
      </c>
      <c r="I71" s="396">
        <v>18547.939999999999</v>
      </c>
      <c r="J71" s="396">
        <v>18112.439999999999</v>
      </c>
      <c r="K71" s="396">
        <v>17196.87</v>
      </c>
      <c r="L71" s="396">
        <v>17226.55</v>
      </c>
      <c r="M71" s="396">
        <v>18180.080000000002</v>
      </c>
      <c r="N71" s="396">
        <v>19257.080000000002</v>
      </c>
      <c r="O71" s="396">
        <v>1920.53</v>
      </c>
      <c r="P71" s="396">
        <v>1223.6400000000001</v>
      </c>
      <c r="Q71" s="396">
        <v>1226.94</v>
      </c>
      <c r="R71" s="396">
        <v>1226.94</v>
      </c>
      <c r="S71" s="396">
        <f t="shared" si="22"/>
        <v>151121.1</v>
      </c>
      <c r="T71" s="396"/>
      <c r="U71" s="396">
        <f t="shared" si="18"/>
        <v>187.43592385824749</v>
      </c>
      <c r="V71" s="396">
        <f t="shared" si="18"/>
        <v>186.38373147929258</v>
      </c>
      <c r="W71" s="396">
        <f t="shared" si="18"/>
        <v>187.38359206253952</v>
      </c>
      <c r="X71" s="396">
        <f t="shared" si="18"/>
        <v>182.98388221102846</v>
      </c>
      <c r="Y71" s="396">
        <f t="shared" si="18"/>
        <v>173.73418680632588</v>
      </c>
      <c r="Z71" s="396">
        <f t="shared" si="18"/>
        <v>174.03403385200406</v>
      </c>
      <c r="AA71" s="396">
        <f t="shared" si="18"/>
        <v>183.66722635421152</v>
      </c>
      <c r="AB71" s="396">
        <f t="shared" si="18"/>
        <v>194.54779468963611</v>
      </c>
      <c r="AC71" s="396">
        <f t="shared" si="18"/>
        <v>19.402467878582151</v>
      </c>
      <c r="AD71" s="396">
        <f t="shared" si="18"/>
        <v>12.362022876470697</v>
      </c>
      <c r="AE71" s="396">
        <f t="shared" si="18"/>
        <v>12.395361665242191</v>
      </c>
      <c r="AF71" s="396">
        <f t="shared" si="18"/>
        <v>12.395361665242191</v>
      </c>
      <c r="AG71" s="396">
        <f t="shared" si="21"/>
        <v>127.2271321165686</v>
      </c>
      <c r="AH71" s="398"/>
      <c r="AL71" s="393">
        <v>2</v>
      </c>
      <c r="AM71" s="393">
        <v>1</v>
      </c>
      <c r="AN71" s="397">
        <f t="shared" si="24"/>
        <v>12.395361665242191</v>
      </c>
    </row>
    <row r="72" spans="1:40" s="223" customFormat="1" ht="12">
      <c r="A72" s="223" t="str">
        <f t="shared" si="23"/>
        <v>KITSAP CO -REGULATEDCommercial - RearloadCDELC</v>
      </c>
      <c r="B72" s="223">
        <f t="shared" si="20"/>
        <v>1</v>
      </c>
      <c r="C72" s="252" t="s">
        <v>312</v>
      </c>
      <c r="D72" s="252" t="s">
        <v>313</v>
      </c>
      <c r="E72" s="254">
        <v>27</v>
      </c>
      <c r="F72" s="254"/>
      <c r="G72" s="255">
        <v>54</v>
      </c>
      <c r="H72" s="255">
        <v>54</v>
      </c>
      <c r="I72" s="255">
        <v>0</v>
      </c>
      <c r="J72" s="255">
        <v>81</v>
      </c>
      <c r="K72" s="255">
        <v>189</v>
      </c>
      <c r="L72" s="255">
        <v>162</v>
      </c>
      <c r="M72" s="255">
        <v>189</v>
      </c>
      <c r="N72" s="255">
        <v>216</v>
      </c>
      <c r="O72" s="255">
        <v>0</v>
      </c>
      <c r="P72" s="255">
        <v>0</v>
      </c>
      <c r="Q72" s="255">
        <v>0</v>
      </c>
      <c r="R72" s="255">
        <v>0</v>
      </c>
      <c r="S72" s="255">
        <f t="shared" si="22"/>
        <v>945</v>
      </c>
      <c r="T72" s="255"/>
      <c r="U72" s="255">
        <f t="shared" si="18"/>
        <v>2</v>
      </c>
      <c r="V72" s="255">
        <f t="shared" si="18"/>
        <v>2</v>
      </c>
      <c r="W72" s="255">
        <f t="shared" si="18"/>
        <v>0</v>
      </c>
      <c r="X72" s="255">
        <f t="shared" si="18"/>
        <v>3</v>
      </c>
      <c r="Y72" s="255">
        <f t="shared" si="18"/>
        <v>7</v>
      </c>
      <c r="Z72" s="255">
        <f t="shared" si="18"/>
        <v>6</v>
      </c>
      <c r="AA72" s="255">
        <f t="shared" si="18"/>
        <v>7</v>
      </c>
      <c r="AB72" s="255">
        <f t="shared" si="18"/>
        <v>8</v>
      </c>
      <c r="AC72" s="255">
        <f t="shared" si="18"/>
        <v>0</v>
      </c>
      <c r="AD72" s="255">
        <f t="shared" si="18"/>
        <v>0</v>
      </c>
      <c r="AE72" s="255">
        <f t="shared" si="18"/>
        <v>0</v>
      </c>
      <c r="AF72" s="255">
        <f t="shared" si="18"/>
        <v>0</v>
      </c>
      <c r="AG72" s="255">
        <f t="shared" si="21"/>
        <v>2.9166666666666665</v>
      </c>
    </row>
    <row r="73" spans="1:40" s="393" customFormat="1">
      <c r="A73" s="393" t="str">
        <f t="shared" si="23"/>
        <v>KITSAP CO -REGULATEDCommercial - RearloadCOMCAN</v>
      </c>
      <c r="B73" s="393">
        <f t="shared" si="20"/>
        <v>1</v>
      </c>
      <c r="C73" s="394" t="s">
        <v>314</v>
      </c>
      <c r="D73" s="394" t="s">
        <v>315</v>
      </c>
      <c r="E73" s="395">
        <v>4.5</v>
      </c>
      <c r="F73" s="395"/>
      <c r="G73" s="396">
        <v>108</v>
      </c>
      <c r="H73" s="396">
        <v>117</v>
      </c>
      <c r="I73" s="396">
        <v>76.5</v>
      </c>
      <c r="J73" s="396">
        <v>36</v>
      </c>
      <c r="K73" s="396">
        <v>0</v>
      </c>
      <c r="L73" s="396">
        <v>252</v>
      </c>
      <c r="M73" s="396">
        <v>441</v>
      </c>
      <c r="N73" s="396">
        <v>301.5</v>
      </c>
      <c r="O73" s="396">
        <v>0</v>
      </c>
      <c r="P73" s="396">
        <v>0</v>
      </c>
      <c r="Q73" s="396">
        <v>0</v>
      </c>
      <c r="R73" s="396">
        <v>0</v>
      </c>
      <c r="S73" s="396">
        <f t="shared" si="22"/>
        <v>1332</v>
      </c>
      <c r="T73" s="396"/>
      <c r="U73" s="396">
        <f t="shared" si="18"/>
        <v>24</v>
      </c>
      <c r="V73" s="396">
        <f t="shared" si="18"/>
        <v>26</v>
      </c>
      <c r="W73" s="396">
        <f t="shared" si="18"/>
        <v>17</v>
      </c>
      <c r="X73" s="396">
        <f t="shared" si="18"/>
        <v>8</v>
      </c>
      <c r="Y73" s="396">
        <f t="shared" si="18"/>
        <v>0</v>
      </c>
      <c r="Z73" s="396">
        <f t="shared" si="18"/>
        <v>56</v>
      </c>
      <c r="AA73" s="396">
        <f t="shared" si="18"/>
        <v>98</v>
      </c>
      <c r="AB73" s="396">
        <f t="shared" si="18"/>
        <v>67</v>
      </c>
      <c r="AC73" s="396">
        <f t="shared" si="18"/>
        <v>0</v>
      </c>
      <c r="AD73" s="396">
        <f t="shared" si="18"/>
        <v>0</v>
      </c>
      <c r="AE73" s="396">
        <f t="shared" si="18"/>
        <v>0</v>
      </c>
      <c r="AF73" s="396">
        <f t="shared" si="18"/>
        <v>0</v>
      </c>
      <c r="AG73" s="396">
        <f t="shared" si="21"/>
        <v>24.666666666666668</v>
      </c>
      <c r="AH73" s="398"/>
    </row>
    <row r="74" spans="1:40" s="393" customFormat="1">
      <c r="A74" s="393" t="str">
        <f t="shared" si="23"/>
        <v>KITSAP CO -REGULATEDCommercial - RearloadR1YDPU</v>
      </c>
      <c r="B74" s="393">
        <f t="shared" si="20"/>
        <v>1</v>
      </c>
      <c r="C74" s="394" t="s">
        <v>499</v>
      </c>
      <c r="D74" s="394" t="s">
        <v>500</v>
      </c>
      <c r="E74" s="395">
        <v>15.99</v>
      </c>
      <c r="F74" s="395"/>
      <c r="G74" s="396">
        <v>0</v>
      </c>
      <c r="H74" s="396">
        <v>0</v>
      </c>
      <c r="I74" s="396">
        <v>0</v>
      </c>
      <c r="J74" s="396">
        <v>15.99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f t="shared" si="22"/>
        <v>15.99</v>
      </c>
      <c r="T74" s="396"/>
      <c r="U74" s="396">
        <f t="shared" si="18"/>
        <v>0</v>
      </c>
      <c r="V74" s="396">
        <f t="shared" si="18"/>
        <v>0</v>
      </c>
      <c r="W74" s="396">
        <f t="shared" si="18"/>
        <v>0</v>
      </c>
      <c r="X74" s="396">
        <f t="shared" si="18"/>
        <v>1</v>
      </c>
      <c r="Y74" s="396">
        <f t="shared" si="18"/>
        <v>0</v>
      </c>
      <c r="Z74" s="396">
        <f t="shared" si="18"/>
        <v>0</v>
      </c>
      <c r="AA74" s="396">
        <f t="shared" si="18"/>
        <v>0</v>
      </c>
      <c r="AB74" s="396">
        <f t="shared" si="18"/>
        <v>0</v>
      </c>
      <c r="AC74" s="396">
        <f t="shared" si="18"/>
        <v>0</v>
      </c>
      <c r="AD74" s="396">
        <f t="shared" si="18"/>
        <v>0</v>
      </c>
      <c r="AE74" s="396">
        <f t="shared" si="18"/>
        <v>0</v>
      </c>
      <c r="AF74" s="396">
        <f t="shared" si="18"/>
        <v>0</v>
      </c>
      <c r="AG74" s="396">
        <f t="shared" si="21"/>
        <v>8.3333333333333329E-2</v>
      </c>
      <c r="AH74" s="398"/>
    </row>
    <row r="75" spans="1:40" s="223" customFormat="1">
      <c r="A75" s="223" t="str">
        <f t="shared" si="23"/>
        <v>KITSAP CO -REGULATEDCommercial - RearloadR1.5YDRENTTM</v>
      </c>
      <c r="B75" s="223">
        <f t="shared" si="20"/>
        <v>1</v>
      </c>
      <c r="C75" s="252" t="s">
        <v>326</v>
      </c>
      <c r="D75" s="252" t="s">
        <v>327</v>
      </c>
      <c r="E75" s="254">
        <v>15.77</v>
      </c>
      <c r="F75" s="254"/>
      <c r="G75" s="255">
        <v>15.77</v>
      </c>
      <c r="H75" s="255">
        <v>14.19</v>
      </c>
      <c r="I75" s="255">
        <v>0</v>
      </c>
      <c r="J75" s="255">
        <v>0</v>
      </c>
      <c r="K75" s="255">
        <v>15.77</v>
      </c>
      <c r="L75" s="255">
        <v>15.77</v>
      </c>
      <c r="M75" s="255">
        <v>31.54</v>
      </c>
      <c r="N75" s="255">
        <v>31.54</v>
      </c>
      <c r="O75" s="255">
        <v>5.26</v>
      </c>
      <c r="P75" s="255">
        <v>0</v>
      </c>
      <c r="Q75" s="255">
        <v>0</v>
      </c>
      <c r="R75" s="255">
        <v>0</v>
      </c>
      <c r="S75" s="255">
        <f t="shared" si="22"/>
        <v>129.83999999999997</v>
      </c>
      <c r="T75" s="255"/>
      <c r="U75" s="255">
        <f t="shared" si="18"/>
        <v>1</v>
      </c>
      <c r="V75" s="255">
        <f t="shared" si="18"/>
        <v>0.89980976537729862</v>
      </c>
      <c r="W75" s="255">
        <f t="shared" si="18"/>
        <v>0</v>
      </c>
      <c r="X75" s="255">
        <f t="shared" si="18"/>
        <v>0</v>
      </c>
      <c r="Y75" s="255">
        <f t="shared" si="18"/>
        <v>1</v>
      </c>
      <c r="Z75" s="255">
        <f t="shared" si="18"/>
        <v>1</v>
      </c>
      <c r="AA75" s="255">
        <f t="shared" si="18"/>
        <v>2</v>
      </c>
      <c r="AB75" s="255">
        <f t="shared" si="18"/>
        <v>2</v>
      </c>
      <c r="AC75" s="255">
        <f t="shared" si="18"/>
        <v>0.33354470513633483</v>
      </c>
      <c r="AD75" s="255">
        <f t="shared" si="18"/>
        <v>0</v>
      </c>
      <c r="AE75" s="255">
        <f t="shared" si="18"/>
        <v>0</v>
      </c>
      <c r="AF75" s="255">
        <f t="shared" si="18"/>
        <v>0</v>
      </c>
      <c r="AG75" s="255">
        <f t="shared" si="21"/>
        <v>0.68611287254280284</v>
      </c>
      <c r="AH75" s="59"/>
    </row>
    <row r="76" spans="1:40" s="223" customFormat="1">
      <c r="A76" s="223" t="str">
        <f t="shared" si="23"/>
        <v>KITSAP CO -REGULATEDCommercial - RearloadR2YDRENTTM</v>
      </c>
      <c r="B76" s="223">
        <f t="shared" si="20"/>
        <v>1</v>
      </c>
      <c r="C76" s="252" t="s">
        <v>316</v>
      </c>
      <c r="D76" s="252" t="s">
        <v>317</v>
      </c>
      <c r="E76" s="254">
        <v>20.63</v>
      </c>
      <c r="F76" s="254"/>
      <c r="G76" s="255">
        <v>41.26</v>
      </c>
      <c r="H76" s="255">
        <v>41.26</v>
      </c>
      <c r="I76" s="255">
        <v>41.26</v>
      </c>
      <c r="J76" s="255">
        <v>41.26</v>
      </c>
      <c r="K76" s="255">
        <v>41.26</v>
      </c>
      <c r="L76" s="255">
        <v>61.89</v>
      </c>
      <c r="M76" s="255">
        <v>51.58</v>
      </c>
      <c r="N76" s="255">
        <v>41.26</v>
      </c>
      <c r="O76" s="255">
        <v>0</v>
      </c>
      <c r="P76" s="255">
        <v>0</v>
      </c>
      <c r="Q76" s="255">
        <v>0</v>
      </c>
      <c r="R76" s="255">
        <v>0</v>
      </c>
      <c r="S76" s="255">
        <f t="shared" si="22"/>
        <v>361.03</v>
      </c>
      <c r="T76" s="255"/>
      <c r="U76" s="255">
        <f t="shared" si="18"/>
        <v>2</v>
      </c>
      <c r="V76" s="255">
        <f t="shared" si="18"/>
        <v>2</v>
      </c>
      <c r="W76" s="255">
        <f t="shared" si="18"/>
        <v>2</v>
      </c>
      <c r="X76" s="255">
        <f t="shared" si="18"/>
        <v>2</v>
      </c>
      <c r="Y76" s="255">
        <f t="shared" si="18"/>
        <v>2</v>
      </c>
      <c r="Z76" s="255">
        <f t="shared" si="18"/>
        <v>3</v>
      </c>
      <c r="AA76" s="255">
        <f t="shared" si="18"/>
        <v>2.5002423654871548</v>
      </c>
      <c r="AB76" s="255">
        <f t="shared" si="18"/>
        <v>2</v>
      </c>
      <c r="AC76" s="255">
        <f t="shared" si="18"/>
        <v>0</v>
      </c>
      <c r="AD76" s="255">
        <f t="shared" si="18"/>
        <v>0</v>
      </c>
      <c r="AE76" s="255">
        <f t="shared" si="18"/>
        <v>0</v>
      </c>
      <c r="AF76" s="255">
        <f t="shared" si="18"/>
        <v>0</v>
      </c>
      <c r="AG76" s="255">
        <f t="shared" si="21"/>
        <v>1.4583535304572628</v>
      </c>
      <c r="AH76" s="59"/>
    </row>
    <row r="77" spans="1:40" s="223" customFormat="1">
      <c r="A77" s="223" t="str">
        <f t="shared" si="23"/>
        <v>KITSAP CO -REGULATEDCommercial - RearloadUNLOCKREF</v>
      </c>
      <c r="B77" s="223">
        <f t="shared" si="20"/>
        <v>1</v>
      </c>
      <c r="C77" s="252" t="s">
        <v>339</v>
      </c>
      <c r="D77" s="252" t="s">
        <v>340</v>
      </c>
      <c r="E77" s="254">
        <v>2.5299999999999998</v>
      </c>
      <c r="F77" s="254"/>
      <c r="G77" s="255">
        <v>263.12</v>
      </c>
      <c r="H77" s="255">
        <v>303.60000000000002</v>
      </c>
      <c r="I77" s="255">
        <v>326.37</v>
      </c>
      <c r="J77" s="255">
        <v>339.02</v>
      </c>
      <c r="K77" s="255">
        <v>278.28999999999996</v>
      </c>
      <c r="L77" s="255">
        <v>283.36</v>
      </c>
      <c r="M77" s="255">
        <v>275.78000000000003</v>
      </c>
      <c r="N77" s="255">
        <v>290.95</v>
      </c>
      <c r="O77" s="255">
        <v>0</v>
      </c>
      <c r="P77" s="255">
        <v>0</v>
      </c>
      <c r="Q77" s="255">
        <v>0</v>
      </c>
      <c r="R77" s="255">
        <v>0</v>
      </c>
      <c r="S77" s="255">
        <f t="shared" si="22"/>
        <v>2360.4900000000002</v>
      </c>
      <c r="T77" s="255"/>
      <c r="U77" s="255">
        <f t="shared" si="18"/>
        <v>104.00000000000001</v>
      </c>
      <c r="V77" s="255">
        <f t="shared" si="18"/>
        <v>120.00000000000001</v>
      </c>
      <c r="W77" s="255">
        <f t="shared" si="18"/>
        <v>129</v>
      </c>
      <c r="X77" s="255">
        <f t="shared" si="18"/>
        <v>134</v>
      </c>
      <c r="Y77" s="255">
        <f t="shared" si="18"/>
        <v>109.99604743083003</v>
      </c>
      <c r="Z77" s="255">
        <f t="shared" si="18"/>
        <v>112.00000000000001</v>
      </c>
      <c r="AA77" s="255">
        <f t="shared" si="18"/>
        <v>109.00395256916998</v>
      </c>
      <c r="AB77" s="255">
        <f t="shared" si="18"/>
        <v>115</v>
      </c>
      <c r="AC77" s="255">
        <f t="shared" si="18"/>
        <v>0</v>
      </c>
      <c r="AD77" s="255">
        <f t="shared" si="18"/>
        <v>0</v>
      </c>
      <c r="AE77" s="255">
        <f t="shared" si="18"/>
        <v>0</v>
      </c>
      <c r="AF77" s="255">
        <f t="shared" si="18"/>
        <v>0</v>
      </c>
      <c r="AG77" s="255">
        <f t="shared" si="21"/>
        <v>77.75</v>
      </c>
      <c r="AH77" s="59"/>
    </row>
    <row r="78" spans="1:40" s="393" customFormat="1">
      <c r="A78" s="393" t="str">
        <f t="shared" si="23"/>
        <v>KITSAP CO -REGULATEDCommercial - RearloadCEXYD</v>
      </c>
      <c r="B78" s="393">
        <f t="shared" si="20"/>
        <v>1</v>
      </c>
      <c r="C78" s="394" t="s">
        <v>332</v>
      </c>
      <c r="D78" s="394" t="s">
        <v>333</v>
      </c>
      <c r="E78" s="395">
        <v>14.81</v>
      </c>
      <c r="F78" s="395"/>
      <c r="G78" s="396">
        <v>1555.05</v>
      </c>
      <c r="H78" s="396">
        <v>1066.32</v>
      </c>
      <c r="I78" s="396">
        <v>1318.09</v>
      </c>
      <c r="J78" s="396">
        <v>1007.08</v>
      </c>
      <c r="K78" s="396">
        <v>503.54</v>
      </c>
      <c r="L78" s="396">
        <v>399.87</v>
      </c>
      <c r="M78" s="396">
        <v>1021.89</v>
      </c>
      <c r="N78" s="396">
        <v>1613.66</v>
      </c>
      <c r="O78" s="396">
        <v>29.62</v>
      </c>
      <c r="P78" s="396">
        <v>16.16</v>
      </c>
      <c r="Q78" s="396">
        <v>0</v>
      </c>
      <c r="R78" s="396">
        <v>0</v>
      </c>
      <c r="S78" s="396">
        <f t="shared" si="22"/>
        <v>8531.2800000000007</v>
      </c>
      <c r="T78" s="396"/>
      <c r="U78" s="396">
        <f t="shared" si="18"/>
        <v>105</v>
      </c>
      <c r="V78" s="396">
        <f t="shared" si="18"/>
        <v>72</v>
      </c>
      <c r="W78" s="396">
        <f t="shared" si="18"/>
        <v>88.999999999999986</v>
      </c>
      <c r="X78" s="396">
        <f t="shared" si="18"/>
        <v>68</v>
      </c>
      <c r="Y78" s="396">
        <f t="shared" si="18"/>
        <v>34</v>
      </c>
      <c r="Z78" s="396">
        <f t="shared" si="18"/>
        <v>27</v>
      </c>
      <c r="AA78" s="396">
        <f t="shared" si="18"/>
        <v>69</v>
      </c>
      <c r="AB78" s="396">
        <f t="shared" si="18"/>
        <v>108.95746117488184</v>
      </c>
      <c r="AC78" s="396">
        <f t="shared" si="18"/>
        <v>2</v>
      </c>
      <c r="AD78" s="396">
        <f t="shared" si="18"/>
        <v>1.0911546252532072</v>
      </c>
      <c r="AE78" s="396">
        <f t="shared" si="18"/>
        <v>0</v>
      </c>
      <c r="AF78" s="396">
        <f t="shared" si="18"/>
        <v>0</v>
      </c>
      <c r="AG78" s="396">
        <f t="shared" si="21"/>
        <v>48.004051316677923</v>
      </c>
      <c r="AH78" s="398"/>
    </row>
    <row r="79" spans="1:40" s="399" customFormat="1">
      <c r="A79" s="393" t="str">
        <f t="shared" si="23"/>
        <v>KITSAP CO -REGULATEDCommercial - RearloadR2YDPU</v>
      </c>
      <c r="B79" s="393">
        <f t="shared" si="20"/>
        <v>1</v>
      </c>
      <c r="C79" s="394" t="s">
        <v>324</v>
      </c>
      <c r="D79" s="394" t="s">
        <v>325</v>
      </c>
      <c r="E79" s="395">
        <v>22.86</v>
      </c>
      <c r="F79" s="395"/>
      <c r="G79" s="396">
        <v>114.3</v>
      </c>
      <c r="H79" s="396">
        <v>91.44</v>
      </c>
      <c r="I79" s="396">
        <v>68.58</v>
      </c>
      <c r="J79" s="396">
        <v>45.72</v>
      </c>
      <c r="K79" s="396">
        <v>22.86</v>
      </c>
      <c r="L79" s="396">
        <v>137.16</v>
      </c>
      <c r="M79" s="396">
        <v>182.88</v>
      </c>
      <c r="N79" s="396">
        <v>137.16</v>
      </c>
      <c r="O79" s="396">
        <v>48.55</v>
      </c>
      <c r="P79" s="396">
        <v>25.76</v>
      </c>
      <c r="Q79" s="396">
        <v>0</v>
      </c>
      <c r="R79" s="396">
        <v>0</v>
      </c>
      <c r="S79" s="396">
        <f t="shared" si="22"/>
        <v>874.40999999999985</v>
      </c>
      <c r="T79" s="396"/>
      <c r="U79" s="396">
        <f t="shared" si="18"/>
        <v>5</v>
      </c>
      <c r="V79" s="396">
        <f t="shared" si="18"/>
        <v>4</v>
      </c>
      <c r="W79" s="396">
        <f t="shared" si="18"/>
        <v>3</v>
      </c>
      <c r="X79" s="396">
        <f t="shared" si="18"/>
        <v>2</v>
      </c>
      <c r="Y79" s="396">
        <f t="shared" si="18"/>
        <v>1</v>
      </c>
      <c r="Z79" s="396">
        <f t="shared" si="18"/>
        <v>6</v>
      </c>
      <c r="AA79" s="396">
        <f t="shared" si="18"/>
        <v>8</v>
      </c>
      <c r="AB79" s="396">
        <f t="shared" si="18"/>
        <v>6</v>
      </c>
      <c r="AC79" s="396">
        <f t="shared" si="18"/>
        <v>2.1237970253718284</v>
      </c>
      <c r="AD79" s="396">
        <f t="shared" si="18"/>
        <v>1.1268591426071741</v>
      </c>
      <c r="AE79" s="396">
        <f t="shared" si="18"/>
        <v>0</v>
      </c>
      <c r="AF79" s="396">
        <f t="shared" si="18"/>
        <v>0</v>
      </c>
      <c r="AG79" s="396">
        <f t="shared" si="21"/>
        <v>3.1875546806649169</v>
      </c>
      <c r="AH79" s="401"/>
      <c r="AI79" s="402" t="s">
        <v>338</v>
      </c>
      <c r="AJ79" s="403">
        <f>+SUM(AN66:AN71)</f>
        <v>13.510901405521116</v>
      </c>
    </row>
    <row r="80" spans="1:40" s="399" customFormat="1">
      <c r="A80" s="393" t="str">
        <f t="shared" si="23"/>
        <v>KITSAP CO -REGULATEDCommercial - RearloadR1.5YDPU</v>
      </c>
      <c r="B80" s="393">
        <f t="shared" si="20"/>
        <v>1</v>
      </c>
      <c r="C80" s="394" t="s">
        <v>322</v>
      </c>
      <c r="D80" s="394" t="s">
        <v>323</v>
      </c>
      <c r="E80" s="395">
        <v>17.47</v>
      </c>
      <c r="F80" s="395"/>
      <c r="G80" s="396">
        <v>17.47</v>
      </c>
      <c r="H80" s="396">
        <v>17.47</v>
      </c>
      <c r="I80" s="396">
        <v>0</v>
      </c>
      <c r="J80" s="396">
        <v>0</v>
      </c>
      <c r="K80" s="396">
        <v>17.47</v>
      </c>
      <c r="L80" s="396">
        <v>0</v>
      </c>
      <c r="M80" s="396">
        <v>34.94</v>
      </c>
      <c r="N80" s="396">
        <v>104.82</v>
      </c>
      <c r="O80" s="396">
        <v>0</v>
      </c>
      <c r="P80" s="396">
        <v>0</v>
      </c>
      <c r="Q80" s="396">
        <v>0</v>
      </c>
      <c r="R80" s="396">
        <v>0</v>
      </c>
      <c r="S80" s="396">
        <f t="shared" si="22"/>
        <v>192.17</v>
      </c>
      <c r="T80" s="396"/>
      <c r="U80" s="396">
        <f t="shared" si="18"/>
        <v>1</v>
      </c>
      <c r="V80" s="396">
        <f t="shared" si="18"/>
        <v>1</v>
      </c>
      <c r="W80" s="396">
        <f t="shared" si="18"/>
        <v>0</v>
      </c>
      <c r="X80" s="396">
        <f t="shared" si="18"/>
        <v>0</v>
      </c>
      <c r="Y80" s="396">
        <f t="shared" si="18"/>
        <v>1</v>
      </c>
      <c r="Z80" s="396">
        <f t="shared" si="18"/>
        <v>0</v>
      </c>
      <c r="AA80" s="396">
        <f t="shared" si="18"/>
        <v>2</v>
      </c>
      <c r="AB80" s="396">
        <f t="shared" ref="AB80:AF82" si="25">IFERROR(N80/$E80,0)</f>
        <v>6</v>
      </c>
      <c r="AC80" s="396">
        <f t="shared" si="25"/>
        <v>0</v>
      </c>
      <c r="AD80" s="396">
        <f t="shared" si="25"/>
        <v>0</v>
      </c>
      <c r="AE80" s="396">
        <f t="shared" si="25"/>
        <v>0</v>
      </c>
      <c r="AF80" s="396">
        <f t="shared" si="25"/>
        <v>0</v>
      </c>
      <c r="AG80" s="396">
        <f t="shared" si="21"/>
        <v>0.91666666666666663</v>
      </c>
      <c r="AH80" s="401"/>
      <c r="AI80" s="402" t="s">
        <v>341</v>
      </c>
      <c r="AJ80" s="403">
        <v>0</v>
      </c>
    </row>
    <row r="81" spans="1:34" s="223" customFormat="1">
      <c r="A81" s="223" t="str">
        <f t="shared" si="23"/>
        <v>KITSAP CO -REGULATEDCommercial - RearloadROLLOUTOC</v>
      </c>
      <c r="B81" s="223">
        <f t="shared" si="20"/>
        <v>1</v>
      </c>
      <c r="C81" s="252" t="s">
        <v>320</v>
      </c>
      <c r="D81" s="252" t="s">
        <v>321</v>
      </c>
      <c r="E81" s="254">
        <v>3.6</v>
      </c>
      <c r="F81" s="254"/>
      <c r="G81" s="255">
        <v>835.2</v>
      </c>
      <c r="H81" s="255">
        <v>741.6</v>
      </c>
      <c r="I81" s="255">
        <v>864</v>
      </c>
      <c r="J81" s="255">
        <v>684</v>
      </c>
      <c r="K81" s="255">
        <v>525.6</v>
      </c>
      <c r="L81" s="255">
        <v>511.2</v>
      </c>
      <c r="M81" s="255">
        <v>572.4</v>
      </c>
      <c r="N81" s="255">
        <v>677.12</v>
      </c>
      <c r="O81" s="255">
        <v>108</v>
      </c>
      <c r="P81" s="255">
        <v>0</v>
      </c>
      <c r="Q81" s="255">
        <v>0</v>
      </c>
      <c r="R81" s="255">
        <v>0</v>
      </c>
      <c r="S81" s="255">
        <f t="shared" si="22"/>
        <v>5519.12</v>
      </c>
      <c r="T81" s="255"/>
      <c r="U81" s="255">
        <f t="shared" ref="U81:AF107" si="26">IFERROR(G81/$E81,0)</f>
        <v>232</v>
      </c>
      <c r="V81" s="255">
        <f t="shared" si="26"/>
        <v>206</v>
      </c>
      <c r="W81" s="255">
        <f t="shared" si="26"/>
        <v>240</v>
      </c>
      <c r="X81" s="255">
        <f t="shared" si="26"/>
        <v>190</v>
      </c>
      <c r="Y81" s="255">
        <f t="shared" si="26"/>
        <v>146</v>
      </c>
      <c r="Z81" s="255">
        <f t="shared" si="26"/>
        <v>142</v>
      </c>
      <c r="AA81" s="255">
        <f t="shared" si="26"/>
        <v>159</v>
      </c>
      <c r="AB81" s="255">
        <f t="shared" si="25"/>
        <v>188.08888888888887</v>
      </c>
      <c r="AC81" s="255">
        <f t="shared" si="25"/>
        <v>30</v>
      </c>
      <c r="AD81" s="255">
        <f t="shared" si="25"/>
        <v>0</v>
      </c>
      <c r="AE81" s="255">
        <f t="shared" si="25"/>
        <v>0</v>
      </c>
      <c r="AF81" s="255">
        <f t="shared" si="25"/>
        <v>0</v>
      </c>
      <c r="AG81" s="255">
        <f t="shared" si="21"/>
        <v>127.75740740740741</v>
      </c>
      <c r="AH81" s="59"/>
    </row>
    <row r="82" spans="1:34" s="393" customFormat="1">
      <c r="A82" s="393" t="str">
        <f t="shared" si="23"/>
        <v>KITSAP CO -REGULATEDCommercial - RearloadCLSECOL</v>
      </c>
      <c r="B82" s="393">
        <f t="shared" si="20"/>
        <v>1</v>
      </c>
      <c r="C82" s="394" t="s">
        <v>334</v>
      </c>
      <c r="D82" s="394" t="s">
        <v>335</v>
      </c>
      <c r="E82" s="395">
        <v>25.81</v>
      </c>
      <c r="F82" s="395"/>
      <c r="G82" s="396">
        <v>0</v>
      </c>
      <c r="H82" s="396">
        <v>0</v>
      </c>
      <c r="I82" s="396">
        <v>31.87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0</v>
      </c>
      <c r="Q82" s="396">
        <v>0</v>
      </c>
      <c r="R82" s="396">
        <v>0</v>
      </c>
      <c r="S82" s="396">
        <f t="shared" si="22"/>
        <v>31.87</v>
      </c>
      <c r="T82" s="396"/>
      <c r="U82" s="396">
        <f t="shared" si="26"/>
        <v>0</v>
      </c>
      <c r="V82" s="396">
        <f t="shared" si="26"/>
        <v>0</v>
      </c>
      <c r="W82" s="396">
        <f t="shared" si="26"/>
        <v>1.2347927160015499</v>
      </c>
      <c r="X82" s="396">
        <f t="shared" si="26"/>
        <v>0</v>
      </c>
      <c r="Y82" s="396">
        <f t="shared" si="26"/>
        <v>0</v>
      </c>
      <c r="Z82" s="396">
        <f t="shared" si="26"/>
        <v>0</v>
      </c>
      <c r="AA82" s="396">
        <f t="shared" si="26"/>
        <v>0</v>
      </c>
      <c r="AB82" s="396">
        <f t="shared" si="25"/>
        <v>0</v>
      </c>
      <c r="AC82" s="396">
        <f t="shared" si="25"/>
        <v>0</v>
      </c>
      <c r="AD82" s="396">
        <f t="shared" si="25"/>
        <v>0</v>
      </c>
      <c r="AE82" s="396">
        <f t="shared" si="25"/>
        <v>0</v>
      </c>
      <c r="AF82" s="396">
        <f t="shared" si="25"/>
        <v>0</v>
      </c>
      <c r="AG82" s="396">
        <f t="shared" si="21"/>
        <v>0.10289939300012917</v>
      </c>
      <c r="AH82" s="398"/>
    </row>
    <row r="83" spans="1:34" s="223" customFormat="1">
      <c r="C83" s="252"/>
      <c r="D83" s="252"/>
      <c r="E83" s="254"/>
      <c r="F83" s="254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59"/>
    </row>
    <row r="84" spans="1:34">
      <c r="B84" s="224">
        <f>COUNTIF(C:C,C84)</f>
        <v>0</v>
      </c>
      <c r="C84" s="272"/>
      <c r="D84" s="273" t="s">
        <v>108</v>
      </c>
      <c r="F84" s="254"/>
      <c r="G84" s="274">
        <f t="shared" ref="G84:S84" si="27">SUM(G60:G83)</f>
        <v>34304.15</v>
      </c>
      <c r="H84" s="274">
        <f t="shared" si="27"/>
        <v>33533.579999999994</v>
      </c>
      <c r="I84" s="274">
        <f t="shared" si="27"/>
        <v>33850.74</v>
      </c>
      <c r="J84" s="274">
        <f t="shared" si="27"/>
        <v>32836.410000000003</v>
      </c>
      <c r="K84" s="274">
        <f t="shared" si="27"/>
        <v>31376.71</v>
      </c>
      <c r="L84" s="274">
        <f t="shared" si="27"/>
        <v>31673.78</v>
      </c>
      <c r="M84" s="274">
        <f t="shared" si="27"/>
        <v>33520.030000000006</v>
      </c>
      <c r="N84" s="274">
        <f t="shared" si="27"/>
        <v>35386.740000000013</v>
      </c>
      <c r="O84" s="274">
        <f t="shared" si="27"/>
        <v>2623.38</v>
      </c>
      <c r="P84" s="274">
        <f t="shared" si="27"/>
        <v>1468.7500000000002</v>
      </c>
      <c r="Q84" s="274">
        <f t="shared" si="27"/>
        <v>1430.24</v>
      </c>
      <c r="R84" s="274">
        <f t="shared" si="27"/>
        <v>1430.24</v>
      </c>
      <c r="S84" s="274">
        <f t="shared" si="27"/>
        <v>273434.74999999994</v>
      </c>
      <c r="T84" s="277">
        <f>S84-SUM(G84:R84)</f>
        <v>0</v>
      </c>
      <c r="U84" s="275">
        <f t="shared" si="26"/>
        <v>0</v>
      </c>
      <c r="V84" s="275">
        <f t="shared" si="26"/>
        <v>0</v>
      </c>
      <c r="W84" s="275">
        <f t="shared" si="26"/>
        <v>0</v>
      </c>
      <c r="X84" s="275">
        <f t="shared" si="26"/>
        <v>0</v>
      </c>
      <c r="Y84" s="275">
        <f t="shared" si="26"/>
        <v>0</v>
      </c>
      <c r="Z84" s="275">
        <f t="shared" si="26"/>
        <v>0</v>
      </c>
      <c r="AA84" s="275">
        <f t="shared" si="26"/>
        <v>0</v>
      </c>
      <c r="AB84" s="275">
        <f t="shared" si="26"/>
        <v>0</v>
      </c>
      <c r="AC84" s="275">
        <f t="shared" si="26"/>
        <v>0</v>
      </c>
      <c r="AD84" s="275">
        <f t="shared" si="26"/>
        <v>0</v>
      </c>
      <c r="AE84" s="275">
        <f t="shared" si="26"/>
        <v>0</v>
      </c>
      <c r="AF84" s="275">
        <f>+SUM(AF66:AF71)</f>
        <v>13.510901405521116</v>
      </c>
      <c r="AG84" s="275">
        <f>+SUM(AG66:AG71)</f>
        <v>244.88015456210172</v>
      </c>
    </row>
    <row r="85" spans="1:34">
      <c r="C85" s="272"/>
      <c r="D85" s="272"/>
      <c r="F85" s="254"/>
      <c r="G85" s="388"/>
      <c r="H85" s="388"/>
      <c r="I85" s="388"/>
      <c r="J85" s="388"/>
      <c r="K85" s="388"/>
      <c r="L85" s="388"/>
      <c r="M85" s="388"/>
      <c r="N85" s="292"/>
      <c r="O85" s="292"/>
      <c r="P85" s="292"/>
      <c r="Q85" s="292"/>
      <c r="R85" s="292"/>
      <c r="S85" s="292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</row>
    <row r="86" spans="1:34">
      <c r="F86" s="253"/>
      <c r="G86" s="256"/>
      <c r="H86" s="256"/>
      <c r="I86" s="256"/>
      <c r="J86" s="256"/>
      <c r="K86" s="256"/>
      <c r="L86" s="256"/>
      <c r="M86" s="256"/>
      <c r="N86" s="256"/>
      <c r="O86" s="242"/>
      <c r="P86" s="242"/>
      <c r="Q86" s="242"/>
      <c r="R86" s="242"/>
      <c r="S86" s="242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</row>
    <row r="87" spans="1:34">
      <c r="B87" s="224">
        <f>COUNTIF(C:C,C87)</f>
        <v>1</v>
      </c>
      <c r="C87" s="249" t="s">
        <v>109</v>
      </c>
      <c r="D87" s="247" t="s">
        <v>109</v>
      </c>
      <c r="F87" s="287"/>
      <c r="G87" s="288"/>
      <c r="H87" s="256"/>
      <c r="I87" s="256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U87" s="279">
        <f t="shared" si="26"/>
        <v>0</v>
      </c>
      <c r="V87" s="279">
        <f t="shared" si="26"/>
        <v>0</v>
      </c>
      <c r="W87" s="279">
        <f t="shared" si="26"/>
        <v>0</v>
      </c>
      <c r="X87" s="279">
        <f t="shared" si="26"/>
        <v>0</v>
      </c>
      <c r="Y87" s="279">
        <f t="shared" si="26"/>
        <v>0</v>
      </c>
      <c r="Z87" s="279">
        <f t="shared" si="26"/>
        <v>0</v>
      </c>
      <c r="AA87" s="279">
        <f t="shared" si="26"/>
        <v>0</v>
      </c>
      <c r="AB87" s="279">
        <f t="shared" si="26"/>
        <v>0</v>
      </c>
      <c r="AC87" s="279">
        <f t="shared" si="26"/>
        <v>0</v>
      </c>
      <c r="AD87" s="279">
        <f t="shared" si="26"/>
        <v>0</v>
      </c>
      <c r="AE87" s="279">
        <f t="shared" si="26"/>
        <v>0</v>
      </c>
      <c r="AF87" s="279">
        <f t="shared" si="26"/>
        <v>0</v>
      </c>
      <c r="AG87" s="224">
        <f t="shared" si="19"/>
        <v>0</v>
      </c>
    </row>
    <row r="88" spans="1:34">
      <c r="C88" s="249"/>
      <c r="D88" s="249"/>
      <c r="F88" s="287"/>
      <c r="G88" s="288"/>
      <c r="H88" s="256"/>
      <c r="I88" s="256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</row>
    <row r="89" spans="1:34">
      <c r="B89" s="224">
        <f t="shared" ref="B89:B111" si="28">COUNTIF(C:C,C89)</f>
        <v>1</v>
      </c>
      <c r="C89" s="282" t="s">
        <v>110</v>
      </c>
      <c r="D89" s="282" t="s">
        <v>110</v>
      </c>
      <c r="F89" s="253"/>
      <c r="G89" s="294"/>
      <c r="H89" s="255"/>
      <c r="I89" s="255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U89" s="279">
        <f t="shared" si="26"/>
        <v>0</v>
      </c>
      <c r="V89" s="279">
        <f t="shared" si="26"/>
        <v>0</v>
      </c>
      <c r="W89" s="279">
        <f t="shared" si="26"/>
        <v>0</v>
      </c>
      <c r="X89" s="279">
        <f t="shared" si="26"/>
        <v>0</v>
      </c>
      <c r="Y89" s="279">
        <f>IFERROR(K89/#REF!,0)</f>
        <v>0</v>
      </c>
      <c r="Z89" s="279">
        <f>IFERROR(L89/#REF!,0)</f>
        <v>0</v>
      </c>
      <c r="AA89" s="279">
        <f>IFERROR(M89/#REF!,0)</f>
        <v>0</v>
      </c>
      <c r="AB89" s="279">
        <f>IFERROR(N89/#REF!,0)</f>
        <v>0</v>
      </c>
      <c r="AC89" s="279">
        <f>IFERROR(O89/#REF!,0)</f>
        <v>0</v>
      </c>
      <c r="AD89" s="279">
        <f>IFERROR(P89/#REF!,0)</f>
        <v>0</v>
      </c>
      <c r="AE89" s="279">
        <f>IFERROR(Q89/#REF!,0)</f>
        <v>0</v>
      </c>
      <c r="AF89" s="279">
        <f>IFERROR(R89/#REF!,0)</f>
        <v>0</v>
      </c>
      <c r="AG89" s="255">
        <f t="shared" ref="AG89:AG111" si="29">AVERAGE(U89:AF89)</f>
        <v>0</v>
      </c>
    </row>
    <row r="90" spans="1:34">
      <c r="A90" s="223" t="str">
        <f t="shared" ref="A90:A111" si="30">$A$1&amp;"Rolloff"&amp;C90</f>
        <v>KITSAP CO -REGULATEDRolloffROHAUL10</v>
      </c>
      <c r="B90" s="223">
        <f t="shared" si="28"/>
        <v>1</v>
      </c>
      <c r="C90" s="252" t="s">
        <v>342</v>
      </c>
      <c r="D90" s="252" t="s">
        <v>343</v>
      </c>
      <c r="E90" s="254">
        <v>83.93</v>
      </c>
      <c r="F90" s="254"/>
      <c r="G90" s="255">
        <v>83.93</v>
      </c>
      <c r="H90" s="255">
        <v>83.93</v>
      </c>
      <c r="I90" s="255">
        <v>83.93</v>
      </c>
      <c r="J90" s="255">
        <v>83.93</v>
      </c>
      <c r="K90" s="255">
        <v>83.93</v>
      </c>
      <c r="L90" s="255">
        <v>0</v>
      </c>
      <c r="M90" s="255">
        <v>0</v>
      </c>
      <c r="N90" s="255">
        <v>83.93</v>
      </c>
      <c r="O90" s="255">
        <v>83.93</v>
      </c>
      <c r="P90" s="255">
        <v>0</v>
      </c>
      <c r="Q90" s="255">
        <v>0</v>
      </c>
      <c r="R90" s="255">
        <v>0</v>
      </c>
      <c r="S90" s="255">
        <f t="shared" ref="S90:S111" si="31">SUM(G90:R90)</f>
        <v>587.51</v>
      </c>
      <c r="T90" s="255"/>
      <c r="U90" s="255">
        <f t="shared" si="26"/>
        <v>1</v>
      </c>
      <c r="V90" s="255">
        <f t="shared" si="26"/>
        <v>1</v>
      </c>
      <c r="W90" s="255">
        <f t="shared" si="26"/>
        <v>1</v>
      </c>
      <c r="X90" s="255">
        <f t="shared" si="26"/>
        <v>1</v>
      </c>
      <c r="Y90" s="255">
        <f t="shared" si="26"/>
        <v>1</v>
      </c>
      <c r="Z90" s="255">
        <f t="shared" si="26"/>
        <v>0</v>
      </c>
      <c r="AA90" s="255">
        <f t="shared" si="26"/>
        <v>0</v>
      </c>
      <c r="AB90" s="255">
        <f t="shared" si="26"/>
        <v>1</v>
      </c>
      <c r="AC90" s="255">
        <f t="shared" si="26"/>
        <v>1</v>
      </c>
      <c r="AD90" s="255">
        <f t="shared" si="26"/>
        <v>0</v>
      </c>
      <c r="AE90" s="255">
        <f t="shared" si="26"/>
        <v>0</v>
      </c>
      <c r="AF90" s="255">
        <f t="shared" si="26"/>
        <v>0</v>
      </c>
      <c r="AG90" s="255">
        <f t="shared" si="29"/>
        <v>0.58333333333333337</v>
      </c>
    </row>
    <row r="91" spans="1:34">
      <c r="A91" s="223" t="str">
        <f t="shared" si="30"/>
        <v>KITSAP CO -REGULATEDRolloffROHAUL20</v>
      </c>
      <c r="B91" s="223">
        <f t="shared" si="28"/>
        <v>1</v>
      </c>
      <c r="C91" s="252" t="s">
        <v>344</v>
      </c>
      <c r="D91" s="252" t="s">
        <v>345</v>
      </c>
      <c r="E91" s="254">
        <v>97.48</v>
      </c>
      <c r="F91" s="254"/>
      <c r="G91" s="255">
        <v>974.8</v>
      </c>
      <c r="H91" s="255">
        <v>389.92</v>
      </c>
      <c r="I91" s="255">
        <v>97.48</v>
      </c>
      <c r="J91" s="255">
        <v>389.92</v>
      </c>
      <c r="K91" s="255">
        <v>779.84</v>
      </c>
      <c r="L91" s="255">
        <v>974.8</v>
      </c>
      <c r="M91" s="255">
        <v>487.4</v>
      </c>
      <c r="N91" s="255">
        <v>487.4</v>
      </c>
      <c r="O91" s="255">
        <v>194.96</v>
      </c>
      <c r="P91" s="255">
        <v>0</v>
      </c>
      <c r="Q91" s="255">
        <v>0</v>
      </c>
      <c r="R91" s="255">
        <v>0</v>
      </c>
      <c r="S91" s="255">
        <f t="shared" si="31"/>
        <v>4776.5200000000004</v>
      </c>
      <c r="T91" s="255"/>
      <c r="U91" s="255">
        <f t="shared" si="26"/>
        <v>10</v>
      </c>
      <c r="V91" s="255">
        <f t="shared" si="26"/>
        <v>4</v>
      </c>
      <c r="W91" s="255">
        <f t="shared" si="26"/>
        <v>1</v>
      </c>
      <c r="X91" s="255">
        <f t="shared" si="26"/>
        <v>4</v>
      </c>
      <c r="Y91" s="255">
        <f t="shared" si="26"/>
        <v>8</v>
      </c>
      <c r="Z91" s="255">
        <f t="shared" si="26"/>
        <v>10</v>
      </c>
      <c r="AA91" s="255">
        <f t="shared" si="26"/>
        <v>5</v>
      </c>
      <c r="AB91" s="255">
        <f t="shared" si="26"/>
        <v>5</v>
      </c>
      <c r="AC91" s="255">
        <f t="shared" si="26"/>
        <v>2</v>
      </c>
      <c r="AD91" s="255">
        <f t="shared" si="26"/>
        <v>0</v>
      </c>
      <c r="AE91" s="255">
        <f t="shared" si="26"/>
        <v>0</v>
      </c>
      <c r="AF91" s="255">
        <f t="shared" si="26"/>
        <v>0</v>
      </c>
      <c r="AG91" s="255">
        <f t="shared" si="29"/>
        <v>4.083333333333333</v>
      </c>
    </row>
    <row r="92" spans="1:34">
      <c r="A92" s="223" t="str">
        <f t="shared" si="30"/>
        <v>KITSAP CO -REGULATEDRolloffROHAUL30</v>
      </c>
      <c r="B92" s="223">
        <f t="shared" si="28"/>
        <v>1</v>
      </c>
      <c r="C92" s="252" t="s">
        <v>346</v>
      </c>
      <c r="D92" s="252" t="s">
        <v>347</v>
      </c>
      <c r="E92" s="254">
        <v>126.4</v>
      </c>
      <c r="F92" s="254"/>
      <c r="G92" s="255">
        <v>126.4</v>
      </c>
      <c r="H92" s="255">
        <v>0</v>
      </c>
      <c r="I92" s="255">
        <v>0</v>
      </c>
      <c r="J92" s="255">
        <v>126.4</v>
      </c>
      <c r="K92" s="255">
        <v>0</v>
      </c>
      <c r="L92" s="255">
        <v>0</v>
      </c>
      <c r="M92" s="255">
        <v>126.4</v>
      </c>
      <c r="N92" s="255">
        <v>0</v>
      </c>
      <c r="O92" s="255">
        <v>126.4</v>
      </c>
      <c r="P92" s="255">
        <v>0</v>
      </c>
      <c r="Q92" s="255">
        <v>0</v>
      </c>
      <c r="R92" s="255">
        <v>0</v>
      </c>
      <c r="S92" s="255">
        <f t="shared" si="31"/>
        <v>505.6</v>
      </c>
      <c r="T92" s="255"/>
      <c r="U92" s="255">
        <f t="shared" si="26"/>
        <v>1</v>
      </c>
      <c r="V92" s="255">
        <f t="shared" si="26"/>
        <v>0</v>
      </c>
      <c r="W92" s="255">
        <f t="shared" si="26"/>
        <v>0</v>
      </c>
      <c r="X92" s="255">
        <f t="shared" si="26"/>
        <v>1</v>
      </c>
      <c r="Y92" s="255">
        <f t="shared" si="26"/>
        <v>0</v>
      </c>
      <c r="Z92" s="255">
        <f t="shared" si="26"/>
        <v>0</v>
      </c>
      <c r="AA92" s="255">
        <f t="shared" si="26"/>
        <v>1</v>
      </c>
      <c r="AB92" s="255">
        <f t="shared" si="26"/>
        <v>0</v>
      </c>
      <c r="AC92" s="255">
        <f t="shared" si="26"/>
        <v>1</v>
      </c>
      <c r="AD92" s="255">
        <f t="shared" si="26"/>
        <v>0</v>
      </c>
      <c r="AE92" s="255">
        <f t="shared" si="26"/>
        <v>0</v>
      </c>
      <c r="AF92" s="255">
        <f t="shared" si="26"/>
        <v>0</v>
      </c>
      <c r="AG92" s="255">
        <f t="shared" si="29"/>
        <v>0.33333333333333331</v>
      </c>
    </row>
    <row r="93" spans="1:34">
      <c r="A93" s="223" t="str">
        <f t="shared" si="30"/>
        <v>KITSAP CO -REGULATEDRolloffROHAUL40</v>
      </c>
      <c r="B93" s="223">
        <f t="shared" si="28"/>
        <v>1</v>
      </c>
      <c r="C93" s="252" t="s">
        <v>348</v>
      </c>
      <c r="D93" s="252" t="s">
        <v>349</v>
      </c>
      <c r="E93" s="254">
        <v>165.74</v>
      </c>
      <c r="F93" s="254"/>
      <c r="G93" s="255">
        <v>165.74</v>
      </c>
      <c r="H93" s="255">
        <v>0</v>
      </c>
      <c r="I93" s="255">
        <v>0</v>
      </c>
      <c r="J93" s="255">
        <v>165.74</v>
      </c>
      <c r="K93" s="255">
        <v>165.74</v>
      </c>
      <c r="L93" s="255">
        <v>0</v>
      </c>
      <c r="M93" s="255">
        <v>497.22</v>
      </c>
      <c r="N93" s="255">
        <v>165.74</v>
      </c>
      <c r="O93" s="255">
        <v>0</v>
      </c>
      <c r="P93" s="255">
        <v>0</v>
      </c>
      <c r="Q93" s="255">
        <v>0</v>
      </c>
      <c r="R93" s="255">
        <v>0</v>
      </c>
      <c r="S93" s="255">
        <f t="shared" si="31"/>
        <v>1160.18</v>
      </c>
      <c r="T93" s="255"/>
      <c r="U93" s="255">
        <f t="shared" si="26"/>
        <v>1</v>
      </c>
      <c r="V93" s="255">
        <f t="shared" si="26"/>
        <v>0</v>
      </c>
      <c r="W93" s="255">
        <f t="shared" si="26"/>
        <v>0</v>
      </c>
      <c r="X93" s="255">
        <f t="shared" si="26"/>
        <v>1</v>
      </c>
      <c r="Y93" s="255">
        <f t="shared" si="26"/>
        <v>1</v>
      </c>
      <c r="Z93" s="255">
        <f t="shared" si="26"/>
        <v>0</v>
      </c>
      <c r="AA93" s="255">
        <f t="shared" si="26"/>
        <v>3</v>
      </c>
      <c r="AB93" s="255">
        <f t="shared" si="26"/>
        <v>1</v>
      </c>
      <c r="AC93" s="255">
        <f t="shared" si="26"/>
        <v>0</v>
      </c>
      <c r="AD93" s="255">
        <f t="shared" si="26"/>
        <v>0</v>
      </c>
      <c r="AE93" s="255">
        <f t="shared" si="26"/>
        <v>0</v>
      </c>
      <c r="AF93" s="255">
        <f t="shared" si="26"/>
        <v>0</v>
      </c>
      <c r="AG93" s="255">
        <f t="shared" si="29"/>
        <v>0.58333333333333337</v>
      </c>
    </row>
    <row r="94" spans="1:34">
      <c r="A94" s="223" t="str">
        <f t="shared" si="30"/>
        <v>KITSAP CO -REGULATEDRolloffCPHAUL15</v>
      </c>
      <c r="B94" s="223">
        <f t="shared" si="28"/>
        <v>1</v>
      </c>
      <c r="C94" s="252" t="s">
        <v>357</v>
      </c>
      <c r="D94" s="252" t="s">
        <v>358</v>
      </c>
      <c r="E94" s="254">
        <v>146.16999999999999</v>
      </c>
      <c r="F94" s="254"/>
      <c r="G94" s="255">
        <v>292.33999999999997</v>
      </c>
      <c r="H94" s="255">
        <v>146.16999999999999</v>
      </c>
      <c r="I94" s="255">
        <v>146.16999999999999</v>
      </c>
      <c r="J94" s="255">
        <v>292.33999999999997</v>
      </c>
      <c r="K94" s="255">
        <v>146.16999999999999</v>
      </c>
      <c r="L94" s="255">
        <v>0</v>
      </c>
      <c r="M94" s="255">
        <v>146.16999999999999</v>
      </c>
      <c r="N94" s="255">
        <v>292.33999999999997</v>
      </c>
      <c r="O94" s="255">
        <v>292.33999999999997</v>
      </c>
      <c r="P94" s="255">
        <v>0</v>
      </c>
      <c r="Q94" s="255">
        <v>0</v>
      </c>
      <c r="R94" s="255">
        <v>0</v>
      </c>
      <c r="S94" s="255">
        <f t="shared" si="31"/>
        <v>1754.0399999999997</v>
      </c>
      <c r="T94" s="255"/>
      <c r="U94" s="255">
        <f t="shared" si="26"/>
        <v>2</v>
      </c>
      <c r="V94" s="255">
        <f t="shared" si="26"/>
        <v>1</v>
      </c>
      <c r="W94" s="255">
        <f t="shared" si="26"/>
        <v>1</v>
      </c>
      <c r="X94" s="255">
        <f t="shared" si="26"/>
        <v>2</v>
      </c>
      <c r="Y94" s="255">
        <f t="shared" si="26"/>
        <v>1</v>
      </c>
      <c r="Z94" s="255">
        <f t="shared" si="26"/>
        <v>0</v>
      </c>
      <c r="AA94" s="255">
        <f t="shared" si="26"/>
        <v>1</v>
      </c>
      <c r="AB94" s="255">
        <f t="shared" si="26"/>
        <v>2</v>
      </c>
      <c r="AC94" s="255">
        <f t="shared" si="26"/>
        <v>2</v>
      </c>
      <c r="AD94" s="255">
        <f t="shared" si="26"/>
        <v>0</v>
      </c>
      <c r="AE94" s="255">
        <f t="shared" si="26"/>
        <v>0</v>
      </c>
      <c r="AF94" s="255">
        <f t="shared" si="26"/>
        <v>0</v>
      </c>
      <c r="AG94" s="255">
        <f t="shared" si="29"/>
        <v>1</v>
      </c>
    </row>
    <row r="95" spans="1:34">
      <c r="A95" s="223" t="str">
        <f t="shared" si="30"/>
        <v>KITSAP CO -REGULATEDRolloffCPHAUL20</v>
      </c>
      <c r="B95" s="223">
        <f t="shared" si="28"/>
        <v>1</v>
      </c>
      <c r="C95" s="252" t="s">
        <v>359</v>
      </c>
      <c r="D95" s="252" t="s">
        <v>360</v>
      </c>
      <c r="E95" s="254">
        <v>155.93</v>
      </c>
      <c r="F95" s="254"/>
      <c r="G95" s="255">
        <v>467.79</v>
      </c>
      <c r="H95" s="255">
        <v>467.79</v>
      </c>
      <c r="I95" s="255">
        <v>311.86</v>
      </c>
      <c r="J95" s="255">
        <v>623.72</v>
      </c>
      <c r="K95" s="255">
        <v>623.72</v>
      </c>
      <c r="L95" s="255">
        <v>935.58</v>
      </c>
      <c r="M95" s="255">
        <v>467.79</v>
      </c>
      <c r="N95" s="255">
        <v>311.86</v>
      </c>
      <c r="O95" s="255">
        <v>467.79</v>
      </c>
      <c r="P95" s="255">
        <v>156.35</v>
      </c>
      <c r="Q95" s="255">
        <v>0</v>
      </c>
      <c r="R95" s="255">
        <v>156.35</v>
      </c>
      <c r="S95" s="255">
        <f t="shared" si="31"/>
        <v>4990.6000000000004</v>
      </c>
      <c r="T95" s="255"/>
      <c r="U95" s="255">
        <f t="shared" si="26"/>
        <v>3</v>
      </c>
      <c r="V95" s="255">
        <f t="shared" si="26"/>
        <v>3</v>
      </c>
      <c r="W95" s="255">
        <f t="shared" si="26"/>
        <v>2</v>
      </c>
      <c r="X95" s="255">
        <f t="shared" si="26"/>
        <v>4</v>
      </c>
      <c r="Y95" s="255">
        <f t="shared" si="26"/>
        <v>4</v>
      </c>
      <c r="Z95" s="255">
        <f t="shared" si="26"/>
        <v>6</v>
      </c>
      <c r="AA95" s="255">
        <f t="shared" si="26"/>
        <v>3</v>
      </c>
      <c r="AB95" s="255">
        <f t="shared" si="26"/>
        <v>2</v>
      </c>
      <c r="AC95" s="255">
        <f t="shared" si="26"/>
        <v>3</v>
      </c>
      <c r="AD95" s="255">
        <f t="shared" si="26"/>
        <v>1.0026935163214261</v>
      </c>
      <c r="AE95" s="255">
        <f t="shared" si="26"/>
        <v>0</v>
      </c>
      <c r="AF95" s="255">
        <f t="shared" si="26"/>
        <v>1.0026935163214261</v>
      </c>
      <c r="AG95" s="255">
        <f t="shared" si="29"/>
        <v>2.6671155860535709</v>
      </c>
    </row>
    <row r="96" spans="1:34">
      <c r="A96" s="223" t="str">
        <f t="shared" si="30"/>
        <v>KITSAP CO -REGULATEDRolloffCPHAUL25</v>
      </c>
      <c r="B96" s="223">
        <f t="shared" si="28"/>
        <v>1</v>
      </c>
      <c r="C96" s="252" t="s">
        <v>361</v>
      </c>
      <c r="D96" s="252" t="s">
        <v>362</v>
      </c>
      <c r="E96" s="254">
        <v>170.69</v>
      </c>
      <c r="F96" s="254"/>
      <c r="G96" s="255">
        <v>512.07000000000005</v>
      </c>
      <c r="H96" s="255">
        <v>341.38</v>
      </c>
      <c r="I96" s="255">
        <v>341.38</v>
      </c>
      <c r="J96" s="255">
        <v>512.07000000000005</v>
      </c>
      <c r="K96" s="255">
        <v>170.69</v>
      </c>
      <c r="L96" s="255">
        <v>0</v>
      </c>
      <c r="M96" s="255">
        <v>512.07000000000005</v>
      </c>
      <c r="N96" s="255">
        <v>512.07000000000005</v>
      </c>
      <c r="O96" s="255">
        <v>512.07000000000005</v>
      </c>
      <c r="P96" s="255">
        <v>342.32</v>
      </c>
      <c r="Q96" s="255">
        <v>341.85</v>
      </c>
      <c r="R96" s="255">
        <v>0</v>
      </c>
      <c r="S96" s="255">
        <f t="shared" si="31"/>
        <v>4097.9700000000012</v>
      </c>
      <c r="T96" s="255"/>
      <c r="U96" s="255">
        <f t="shared" si="26"/>
        <v>3.0000000000000004</v>
      </c>
      <c r="V96" s="255">
        <f t="shared" si="26"/>
        <v>2</v>
      </c>
      <c r="W96" s="255">
        <f t="shared" si="26"/>
        <v>2</v>
      </c>
      <c r="X96" s="255">
        <f t="shared" si="26"/>
        <v>3.0000000000000004</v>
      </c>
      <c r="Y96" s="255">
        <f t="shared" si="26"/>
        <v>1</v>
      </c>
      <c r="Z96" s="255">
        <f t="shared" si="26"/>
        <v>0</v>
      </c>
      <c r="AA96" s="255">
        <f t="shared" si="26"/>
        <v>3.0000000000000004</v>
      </c>
      <c r="AB96" s="255">
        <f t="shared" si="26"/>
        <v>3.0000000000000004</v>
      </c>
      <c r="AC96" s="255">
        <f t="shared" si="26"/>
        <v>3.0000000000000004</v>
      </c>
      <c r="AD96" s="255">
        <f t="shared" si="26"/>
        <v>2.0055070595816979</v>
      </c>
      <c r="AE96" s="255">
        <f t="shared" si="26"/>
        <v>2.0027535297908492</v>
      </c>
      <c r="AF96" s="255">
        <f t="shared" si="26"/>
        <v>0</v>
      </c>
      <c r="AG96" s="255">
        <f t="shared" si="29"/>
        <v>2.0006883824477124</v>
      </c>
    </row>
    <row r="97" spans="1:40">
      <c r="A97" s="223" t="str">
        <f t="shared" si="30"/>
        <v>KITSAP CO -REGULATEDRolloffCPHAUL30</v>
      </c>
      <c r="B97" s="223">
        <f t="shared" si="28"/>
        <v>1</v>
      </c>
      <c r="C97" s="252" t="s">
        <v>363</v>
      </c>
      <c r="D97" s="252" t="s">
        <v>364</v>
      </c>
      <c r="E97" s="254">
        <v>194.6</v>
      </c>
      <c r="F97" s="254"/>
      <c r="G97" s="255">
        <v>194.6</v>
      </c>
      <c r="H97" s="255">
        <v>194.6</v>
      </c>
      <c r="I97" s="255">
        <v>389.2</v>
      </c>
      <c r="J97" s="255">
        <v>194.6</v>
      </c>
      <c r="K97" s="255">
        <v>194.6</v>
      </c>
      <c r="L97" s="255">
        <v>194.6</v>
      </c>
      <c r="M97" s="255">
        <v>194.6</v>
      </c>
      <c r="N97" s="255">
        <v>194.6</v>
      </c>
      <c r="O97" s="255">
        <v>194.6</v>
      </c>
      <c r="P97" s="255">
        <v>0</v>
      </c>
      <c r="Q97" s="255">
        <v>0</v>
      </c>
      <c r="R97" s="255">
        <v>195.13</v>
      </c>
      <c r="S97" s="255">
        <f t="shared" si="31"/>
        <v>2141.1299999999997</v>
      </c>
      <c r="T97" s="255"/>
      <c r="U97" s="255">
        <f t="shared" si="26"/>
        <v>1</v>
      </c>
      <c r="V97" s="255">
        <f t="shared" si="26"/>
        <v>1</v>
      </c>
      <c r="W97" s="255">
        <f t="shared" si="26"/>
        <v>2</v>
      </c>
      <c r="X97" s="255">
        <f t="shared" si="26"/>
        <v>1</v>
      </c>
      <c r="Y97" s="255">
        <f t="shared" si="26"/>
        <v>1</v>
      </c>
      <c r="Z97" s="255">
        <f t="shared" si="26"/>
        <v>1</v>
      </c>
      <c r="AA97" s="255">
        <f t="shared" si="26"/>
        <v>1</v>
      </c>
      <c r="AB97" s="255">
        <f t="shared" si="26"/>
        <v>1</v>
      </c>
      <c r="AC97" s="255">
        <f t="shared" si="26"/>
        <v>1</v>
      </c>
      <c r="AD97" s="255">
        <f t="shared" si="26"/>
        <v>0</v>
      </c>
      <c r="AE97" s="255">
        <f t="shared" si="26"/>
        <v>0</v>
      </c>
      <c r="AF97" s="255">
        <f t="shared" si="26"/>
        <v>1.0027235354573485</v>
      </c>
      <c r="AG97" s="255">
        <f t="shared" si="29"/>
        <v>0.91689362795477913</v>
      </c>
    </row>
    <row r="98" spans="1:40">
      <c r="A98" s="223" t="str">
        <f t="shared" si="30"/>
        <v>KITSAP CO -REGULATEDRolloffCPHAUL35</v>
      </c>
      <c r="B98" s="223">
        <f t="shared" si="28"/>
        <v>1</v>
      </c>
      <c r="C98" s="252" t="s">
        <v>365</v>
      </c>
      <c r="D98" s="252" t="s">
        <v>366</v>
      </c>
      <c r="E98" s="254">
        <v>224.09</v>
      </c>
      <c r="F98" s="254"/>
      <c r="G98" s="255">
        <v>418.69</v>
      </c>
      <c r="H98" s="255">
        <v>448.18</v>
      </c>
      <c r="I98" s="255">
        <v>448.18</v>
      </c>
      <c r="J98" s="255">
        <v>672.27</v>
      </c>
      <c r="K98" s="255">
        <v>448.18</v>
      </c>
      <c r="L98" s="255">
        <v>448.18</v>
      </c>
      <c r="M98" s="255">
        <v>448.18</v>
      </c>
      <c r="N98" s="255">
        <v>448.18</v>
      </c>
      <c r="O98" s="255">
        <v>448.18</v>
      </c>
      <c r="P98" s="255">
        <v>0</v>
      </c>
      <c r="Q98" s="255">
        <v>0</v>
      </c>
      <c r="R98" s="255">
        <v>0</v>
      </c>
      <c r="S98" s="255">
        <f t="shared" si="31"/>
        <v>4228.2199999999993</v>
      </c>
      <c r="T98" s="255"/>
      <c r="U98" s="255">
        <f t="shared" si="26"/>
        <v>1.8684010888482305</v>
      </c>
      <c r="V98" s="255">
        <f t="shared" si="26"/>
        <v>2</v>
      </c>
      <c r="W98" s="255">
        <f t="shared" si="26"/>
        <v>2</v>
      </c>
      <c r="X98" s="255">
        <f t="shared" si="26"/>
        <v>3</v>
      </c>
      <c r="Y98" s="255">
        <f t="shared" si="26"/>
        <v>2</v>
      </c>
      <c r="Z98" s="255">
        <f t="shared" si="26"/>
        <v>2</v>
      </c>
      <c r="AA98" s="255">
        <f t="shared" si="26"/>
        <v>2</v>
      </c>
      <c r="AB98" s="255">
        <f t="shared" si="26"/>
        <v>2</v>
      </c>
      <c r="AC98" s="255">
        <f t="shared" si="26"/>
        <v>2</v>
      </c>
      <c r="AD98" s="255">
        <f t="shared" si="26"/>
        <v>0</v>
      </c>
      <c r="AE98" s="255">
        <f t="shared" si="26"/>
        <v>0</v>
      </c>
      <c r="AF98" s="255">
        <f t="shared" si="26"/>
        <v>0</v>
      </c>
      <c r="AG98" s="255">
        <f t="shared" si="29"/>
        <v>1.5723667574040192</v>
      </c>
    </row>
    <row r="99" spans="1:40">
      <c r="A99" s="223" t="str">
        <f t="shared" si="30"/>
        <v>KITSAP CO -REGULATEDRolloffROHAUL20T</v>
      </c>
      <c r="B99" s="223">
        <f t="shared" si="28"/>
        <v>1</v>
      </c>
      <c r="C99" s="252" t="s">
        <v>351</v>
      </c>
      <c r="D99" s="252" t="s">
        <v>352</v>
      </c>
      <c r="E99" s="254">
        <v>97.48</v>
      </c>
      <c r="F99" s="254"/>
      <c r="G99" s="255">
        <v>1169.76</v>
      </c>
      <c r="H99" s="255">
        <v>1949.6</v>
      </c>
      <c r="I99" s="255">
        <v>1072.28</v>
      </c>
      <c r="J99" s="255">
        <v>1462.2</v>
      </c>
      <c r="K99" s="255">
        <v>1267.24</v>
      </c>
      <c r="L99" s="255">
        <v>682.36</v>
      </c>
      <c r="M99" s="255">
        <v>1169.76</v>
      </c>
      <c r="N99" s="255">
        <v>1267.24</v>
      </c>
      <c r="O99" s="255">
        <v>682.36</v>
      </c>
      <c r="P99" s="255">
        <v>0</v>
      </c>
      <c r="Q99" s="255">
        <v>0</v>
      </c>
      <c r="R99" s="255">
        <v>0</v>
      </c>
      <c r="S99" s="255">
        <f t="shared" si="31"/>
        <v>10722.8</v>
      </c>
      <c r="T99" s="255"/>
      <c r="U99" s="255">
        <f t="shared" si="26"/>
        <v>12</v>
      </c>
      <c r="V99" s="255">
        <f t="shared" si="26"/>
        <v>20</v>
      </c>
      <c r="W99" s="255">
        <f t="shared" si="26"/>
        <v>11</v>
      </c>
      <c r="X99" s="255">
        <f t="shared" si="26"/>
        <v>15</v>
      </c>
      <c r="Y99" s="255">
        <f t="shared" si="26"/>
        <v>13</v>
      </c>
      <c r="Z99" s="255">
        <f t="shared" si="26"/>
        <v>7</v>
      </c>
      <c r="AA99" s="255">
        <f t="shared" si="26"/>
        <v>12</v>
      </c>
      <c r="AB99" s="255">
        <f t="shared" si="26"/>
        <v>13</v>
      </c>
      <c r="AC99" s="255">
        <f t="shared" si="26"/>
        <v>7</v>
      </c>
      <c r="AD99" s="255">
        <f t="shared" si="26"/>
        <v>0</v>
      </c>
      <c r="AE99" s="255">
        <f t="shared" si="26"/>
        <v>0</v>
      </c>
      <c r="AF99" s="255">
        <f t="shared" si="26"/>
        <v>0</v>
      </c>
      <c r="AG99" s="255">
        <f t="shared" si="29"/>
        <v>9.1666666666666661</v>
      </c>
    </row>
    <row r="100" spans="1:40">
      <c r="A100" s="223" t="str">
        <f t="shared" si="30"/>
        <v>KITSAP CO -REGULATEDRolloffROHAUL40T</v>
      </c>
      <c r="B100" s="223">
        <f t="shared" si="28"/>
        <v>1</v>
      </c>
      <c r="C100" s="252" t="s">
        <v>353</v>
      </c>
      <c r="D100" s="252" t="s">
        <v>354</v>
      </c>
      <c r="E100" s="254">
        <v>165.74</v>
      </c>
      <c r="F100" s="254"/>
      <c r="G100" s="255">
        <v>994.44</v>
      </c>
      <c r="H100" s="255">
        <v>0</v>
      </c>
      <c r="I100" s="255">
        <v>497.22</v>
      </c>
      <c r="J100" s="255">
        <v>662.96</v>
      </c>
      <c r="K100" s="255">
        <v>662.96</v>
      </c>
      <c r="L100" s="255">
        <v>331.48</v>
      </c>
      <c r="M100" s="255">
        <v>497.22</v>
      </c>
      <c r="N100" s="255">
        <v>828.7</v>
      </c>
      <c r="O100" s="255">
        <v>165.74</v>
      </c>
      <c r="P100" s="255">
        <v>166.19</v>
      </c>
      <c r="Q100" s="255">
        <v>0</v>
      </c>
      <c r="R100" s="255">
        <v>0</v>
      </c>
      <c r="S100" s="255">
        <f t="shared" si="31"/>
        <v>4806.9099999999989</v>
      </c>
      <c r="T100" s="255"/>
      <c r="U100" s="255">
        <f t="shared" si="26"/>
        <v>6</v>
      </c>
      <c r="V100" s="255">
        <f t="shared" si="26"/>
        <v>0</v>
      </c>
      <c r="W100" s="255">
        <f t="shared" si="26"/>
        <v>3</v>
      </c>
      <c r="X100" s="255">
        <f t="shared" si="26"/>
        <v>4</v>
      </c>
      <c r="Y100" s="255">
        <f t="shared" si="26"/>
        <v>4</v>
      </c>
      <c r="Z100" s="255">
        <f t="shared" si="26"/>
        <v>2</v>
      </c>
      <c r="AA100" s="255">
        <f t="shared" si="26"/>
        <v>3</v>
      </c>
      <c r="AB100" s="255">
        <f t="shared" si="26"/>
        <v>5</v>
      </c>
      <c r="AC100" s="255">
        <f t="shared" si="26"/>
        <v>1</v>
      </c>
      <c r="AD100" s="255">
        <f t="shared" si="26"/>
        <v>1.0027150959333895</v>
      </c>
      <c r="AE100" s="255">
        <f t="shared" si="26"/>
        <v>0</v>
      </c>
      <c r="AF100" s="255">
        <f t="shared" si="26"/>
        <v>0</v>
      </c>
      <c r="AG100" s="255">
        <f t="shared" si="29"/>
        <v>2.4168929246611159</v>
      </c>
    </row>
    <row r="101" spans="1:40" s="223" customFormat="1">
      <c r="A101" s="223" t="str">
        <f t="shared" si="30"/>
        <v>KITSAP CO -REGULATEDRolloffRORENT10D</v>
      </c>
      <c r="B101" s="223">
        <f t="shared" si="28"/>
        <v>1</v>
      </c>
      <c r="C101" s="252" t="s">
        <v>367</v>
      </c>
      <c r="D101" s="252" t="s">
        <v>368</v>
      </c>
      <c r="E101" s="254">
        <f>4.65*30</f>
        <v>139.5</v>
      </c>
      <c r="F101" s="254"/>
      <c r="G101" s="255">
        <v>74.400000000000006</v>
      </c>
      <c r="H101" s="255">
        <v>37.200000000000003</v>
      </c>
      <c r="I101" s="255">
        <v>0</v>
      </c>
      <c r="J101" s="255">
        <v>69.75</v>
      </c>
      <c r="K101" s="255">
        <v>27.9</v>
      </c>
      <c r="L101" s="255">
        <v>79.05</v>
      </c>
      <c r="M101" s="255">
        <v>93</v>
      </c>
      <c r="N101" s="255">
        <v>69.75</v>
      </c>
      <c r="O101" s="255">
        <v>27.9</v>
      </c>
      <c r="P101" s="255">
        <v>0</v>
      </c>
      <c r="Q101" s="255">
        <v>0</v>
      </c>
      <c r="R101" s="255">
        <v>0</v>
      </c>
      <c r="S101" s="255">
        <f t="shared" si="31"/>
        <v>478.95</v>
      </c>
      <c r="T101" s="255"/>
      <c r="U101" s="255">
        <f t="shared" si="26"/>
        <v>0.53333333333333333</v>
      </c>
      <c r="V101" s="255">
        <f t="shared" si="26"/>
        <v>0.26666666666666666</v>
      </c>
      <c r="W101" s="255">
        <f t="shared" si="26"/>
        <v>0</v>
      </c>
      <c r="X101" s="255">
        <f t="shared" si="26"/>
        <v>0.5</v>
      </c>
      <c r="Y101" s="255">
        <f t="shared" si="26"/>
        <v>0.19999999999999998</v>
      </c>
      <c r="Z101" s="255">
        <f t="shared" si="26"/>
        <v>0.56666666666666665</v>
      </c>
      <c r="AA101" s="255">
        <f t="shared" si="26"/>
        <v>0.66666666666666663</v>
      </c>
      <c r="AB101" s="255">
        <f t="shared" si="26"/>
        <v>0.5</v>
      </c>
      <c r="AC101" s="255">
        <f t="shared" si="26"/>
        <v>0.19999999999999998</v>
      </c>
      <c r="AD101" s="255">
        <f t="shared" si="26"/>
        <v>0</v>
      </c>
      <c r="AE101" s="255">
        <f t="shared" si="26"/>
        <v>0</v>
      </c>
      <c r="AF101" s="255">
        <f t="shared" si="26"/>
        <v>0</v>
      </c>
      <c r="AG101" s="255">
        <f t="shared" si="29"/>
        <v>0.28611111111111109</v>
      </c>
      <c r="AH101" s="59"/>
      <c r="AL101" s="223">
        <v>10</v>
      </c>
      <c r="AM101" s="223">
        <v>1</v>
      </c>
      <c r="AN101" s="256">
        <f>+AM101*AF101</f>
        <v>0</v>
      </c>
    </row>
    <row r="102" spans="1:40" s="223" customFormat="1">
      <c r="A102" s="223" t="str">
        <f t="shared" si="30"/>
        <v>KITSAP CO -REGULATEDRolloffRORENT20D</v>
      </c>
      <c r="B102" s="223">
        <f t="shared" si="28"/>
        <v>1</v>
      </c>
      <c r="C102" s="252" t="s">
        <v>369</v>
      </c>
      <c r="D102" s="252" t="s">
        <v>370</v>
      </c>
      <c r="E102" s="254">
        <f>6.01*30</f>
        <v>180.29999999999998</v>
      </c>
      <c r="F102" s="254"/>
      <c r="G102" s="255">
        <v>2109.5100000000002</v>
      </c>
      <c r="H102" s="255">
        <v>2163.6</v>
      </c>
      <c r="I102" s="255">
        <v>1358.26</v>
      </c>
      <c r="J102" s="255">
        <v>1572.88</v>
      </c>
      <c r="K102" s="255">
        <v>1448.4099999999999</v>
      </c>
      <c r="L102" s="255">
        <v>1270.82</v>
      </c>
      <c r="M102" s="255">
        <v>1412.35</v>
      </c>
      <c r="N102" s="255">
        <v>1117.8699999999999</v>
      </c>
      <c r="O102" s="255">
        <v>336.56</v>
      </c>
      <c r="P102" s="255">
        <v>0</v>
      </c>
      <c r="Q102" s="255">
        <v>0</v>
      </c>
      <c r="R102" s="255">
        <v>0</v>
      </c>
      <c r="S102" s="255">
        <f t="shared" si="31"/>
        <v>12790.26</v>
      </c>
      <c r="T102" s="255"/>
      <c r="U102" s="255">
        <f t="shared" si="26"/>
        <v>11.700000000000003</v>
      </c>
      <c r="V102" s="255">
        <f t="shared" si="26"/>
        <v>12</v>
      </c>
      <c r="W102" s="255">
        <f t="shared" si="26"/>
        <v>7.5333333333333341</v>
      </c>
      <c r="X102" s="255">
        <f t="shared" si="26"/>
        <v>8.7236827509706067</v>
      </c>
      <c r="Y102" s="255">
        <f t="shared" si="26"/>
        <v>8.0333333333333332</v>
      </c>
      <c r="Z102" s="255">
        <f t="shared" si="26"/>
        <v>7.0483638380476989</v>
      </c>
      <c r="AA102" s="255">
        <f t="shared" si="26"/>
        <v>7.8333333333333339</v>
      </c>
      <c r="AB102" s="255">
        <f t="shared" si="26"/>
        <v>6.2000554631170273</v>
      </c>
      <c r="AC102" s="255">
        <f t="shared" si="26"/>
        <v>1.8666666666666669</v>
      </c>
      <c r="AD102" s="255">
        <f t="shared" si="26"/>
        <v>0</v>
      </c>
      <c r="AE102" s="255">
        <f t="shared" si="26"/>
        <v>0</v>
      </c>
      <c r="AF102" s="255">
        <f t="shared" si="26"/>
        <v>0</v>
      </c>
      <c r="AG102" s="255">
        <f t="shared" si="29"/>
        <v>5.911564059900166</v>
      </c>
      <c r="AH102" s="59"/>
      <c r="AL102" s="223">
        <v>20</v>
      </c>
      <c r="AM102" s="223">
        <v>1</v>
      </c>
      <c r="AN102" s="256">
        <f t="shared" ref="AN102:AN106" si="32">+AM102*AF102</f>
        <v>0</v>
      </c>
    </row>
    <row r="103" spans="1:40" s="223" customFormat="1">
      <c r="A103" s="223" t="str">
        <f t="shared" si="30"/>
        <v>KITSAP CO -REGULATEDRolloffRORENT40D</v>
      </c>
      <c r="B103" s="223">
        <f t="shared" si="28"/>
        <v>1</v>
      </c>
      <c r="C103" s="252" t="s">
        <v>371</v>
      </c>
      <c r="D103" s="252" t="s">
        <v>372</v>
      </c>
      <c r="E103" s="254">
        <f>9.46*30</f>
        <v>283.8</v>
      </c>
      <c r="F103" s="254"/>
      <c r="G103" s="255">
        <v>614.9</v>
      </c>
      <c r="H103" s="255">
        <v>662.2</v>
      </c>
      <c r="I103" s="255">
        <v>747.33999999999992</v>
      </c>
      <c r="J103" s="255">
        <v>406.17</v>
      </c>
      <c r="K103" s="255">
        <v>444.62</v>
      </c>
      <c r="L103" s="255">
        <v>727.2</v>
      </c>
      <c r="M103" s="255">
        <v>312.18</v>
      </c>
      <c r="N103" s="255">
        <v>605.44000000000005</v>
      </c>
      <c r="O103" s="255">
        <v>198.66</v>
      </c>
      <c r="P103" s="255">
        <v>9.4600000000000009</v>
      </c>
      <c r="Q103" s="255">
        <v>0</v>
      </c>
      <c r="R103" s="255">
        <v>0</v>
      </c>
      <c r="S103" s="255">
        <f t="shared" si="31"/>
        <v>4728.1699999999992</v>
      </c>
      <c r="T103" s="255"/>
      <c r="U103" s="255">
        <f t="shared" si="26"/>
        <v>2.1666666666666665</v>
      </c>
      <c r="V103" s="255">
        <f t="shared" si="26"/>
        <v>2.3333333333333335</v>
      </c>
      <c r="W103" s="255">
        <f t="shared" si="26"/>
        <v>2.6333333333333329</v>
      </c>
      <c r="X103" s="255">
        <f t="shared" si="26"/>
        <v>1.431183932346723</v>
      </c>
      <c r="Y103" s="255">
        <f t="shared" si="26"/>
        <v>1.5666666666666667</v>
      </c>
      <c r="Z103" s="255">
        <f t="shared" si="26"/>
        <v>2.5623678646934462</v>
      </c>
      <c r="AA103" s="255">
        <f t="shared" si="26"/>
        <v>1.1000000000000001</v>
      </c>
      <c r="AB103" s="255">
        <f t="shared" si="26"/>
        <v>2.1333333333333333</v>
      </c>
      <c r="AC103" s="255">
        <f t="shared" si="26"/>
        <v>0.7</v>
      </c>
      <c r="AD103" s="255">
        <f t="shared" si="26"/>
        <v>3.3333333333333333E-2</v>
      </c>
      <c r="AE103" s="255">
        <f t="shared" si="26"/>
        <v>0</v>
      </c>
      <c r="AF103" s="255">
        <f t="shared" si="26"/>
        <v>0</v>
      </c>
      <c r="AG103" s="255">
        <f t="shared" si="29"/>
        <v>1.3883515386422365</v>
      </c>
      <c r="AH103" s="59"/>
      <c r="AL103" s="223">
        <v>40</v>
      </c>
      <c r="AM103" s="223">
        <v>1</v>
      </c>
      <c r="AN103" s="256">
        <f t="shared" si="32"/>
        <v>0</v>
      </c>
    </row>
    <row r="104" spans="1:40" s="223" customFormat="1">
      <c r="A104" s="223" t="str">
        <f t="shared" si="30"/>
        <v>KITSAP CO -REGULATEDRolloffRORENT10M</v>
      </c>
      <c r="B104" s="223">
        <f t="shared" si="28"/>
        <v>1</v>
      </c>
      <c r="C104" s="252" t="s">
        <v>373</v>
      </c>
      <c r="D104" s="252" t="s">
        <v>374</v>
      </c>
      <c r="E104" s="254">
        <v>83.93</v>
      </c>
      <c r="F104" s="254"/>
      <c r="G104" s="255">
        <v>83.93</v>
      </c>
      <c r="H104" s="255">
        <v>83.93</v>
      </c>
      <c r="I104" s="255">
        <v>83.93</v>
      </c>
      <c r="J104" s="255">
        <v>83.93</v>
      </c>
      <c r="K104" s="255">
        <v>83.93</v>
      </c>
      <c r="L104" s="255">
        <v>83.93</v>
      </c>
      <c r="M104" s="255">
        <v>83.93</v>
      </c>
      <c r="N104" s="255">
        <v>83.93</v>
      </c>
      <c r="O104" s="255">
        <v>83.93</v>
      </c>
      <c r="P104" s="255">
        <v>0</v>
      </c>
      <c r="Q104" s="255">
        <v>0</v>
      </c>
      <c r="R104" s="255">
        <v>0</v>
      </c>
      <c r="S104" s="255">
        <f t="shared" si="31"/>
        <v>755.37000000000012</v>
      </c>
      <c r="T104" s="255"/>
      <c r="U104" s="255">
        <f t="shared" si="26"/>
        <v>1</v>
      </c>
      <c r="V104" s="255">
        <f t="shared" si="26"/>
        <v>1</v>
      </c>
      <c r="W104" s="255">
        <f t="shared" si="26"/>
        <v>1</v>
      </c>
      <c r="X104" s="255">
        <f t="shared" si="26"/>
        <v>1</v>
      </c>
      <c r="Y104" s="255">
        <f t="shared" si="26"/>
        <v>1</v>
      </c>
      <c r="Z104" s="255">
        <f t="shared" si="26"/>
        <v>1</v>
      </c>
      <c r="AA104" s="255">
        <f t="shared" si="26"/>
        <v>1</v>
      </c>
      <c r="AB104" s="255">
        <f t="shared" si="26"/>
        <v>1</v>
      </c>
      <c r="AC104" s="255">
        <f t="shared" si="26"/>
        <v>1</v>
      </c>
      <c r="AD104" s="255">
        <f t="shared" si="26"/>
        <v>0</v>
      </c>
      <c r="AE104" s="255">
        <f t="shared" si="26"/>
        <v>0</v>
      </c>
      <c r="AF104" s="255">
        <f t="shared" si="26"/>
        <v>0</v>
      </c>
      <c r="AG104" s="255">
        <f t="shared" si="29"/>
        <v>0.75</v>
      </c>
      <c r="AH104" s="59"/>
      <c r="AL104" s="223">
        <v>10</v>
      </c>
      <c r="AM104" s="223">
        <v>1</v>
      </c>
      <c r="AN104" s="256">
        <f t="shared" si="32"/>
        <v>0</v>
      </c>
    </row>
    <row r="105" spans="1:40" s="223" customFormat="1">
      <c r="A105" s="223" t="str">
        <f t="shared" si="30"/>
        <v>KITSAP CO -REGULATEDRolloffRORENT20M</v>
      </c>
      <c r="B105" s="223">
        <f t="shared" si="28"/>
        <v>1</v>
      </c>
      <c r="C105" s="252" t="s">
        <v>375</v>
      </c>
      <c r="D105" s="252" t="s">
        <v>376</v>
      </c>
      <c r="E105" s="254">
        <v>97.48</v>
      </c>
      <c r="F105" s="254"/>
      <c r="G105" s="255">
        <v>263.2</v>
      </c>
      <c r="H105" s="255">
        <v>292.44</v>
      </c>
      <c r="I105" s="255">
        <v>292.44</v>
      </c>
      <c r="J105" s="255">
        <v>292.44</v>
      </c>
      <c r="K105" s="255">
        <v>292.44</v>
      </c>
      <c r="L105" s="255">
        <v>292.44</v>
      </c>
      <c r="M105" s="255">
        <v>292.44</v>
      </c>
      <c r="N105" s="255">
        <v>292.44</v>
      </c>
      <c r="O105" s="255">
        <v>13</v>
      </c>
      <c r="P105" s="255">
        <v>0</v>
      </c>
      <c r="Q105" s="255">
        <v>0</v>
      </c>
      <c r="R105" s="255">
        <v>0</v>
      </c>
      <c r="S105" s="255">
        <f t="shared" si="31"/>
        <v>2323.2800000000002</v>
      </c>
      <c r="T105" s="255"/>
      <c r="U105" s="255">
        <f t="shared" si="26"/>
        <v>2.7000410340582683</v>
      </c>
      <c r="V105" s="255">
        <f t="shared" si="26"/>
        <v>3</v>
      </c>
      <c r="W105" s="255">
        <f t="shared" si="26"/>
        <v>3</v>
      </c>
      <c r="X105" s="255">
        <f t="shared" si="26"/>
        <v>3</v>
      </c>
      <c r="Y105" s="255">
        <f t="shared" si="26"/>
        <v>3</v>
      </c>
      <c r="Z105" s="255">
        <f t="shared" si="26"/>
        <v>3</v>
      </c>
      <c r="AA105" s="255">
        <f t="shared" si="26"/>
        <v>3</v>
      </c>
      <c r="AB105" s="255">
        <f t="shared" si="26"/>
        <v>3</v>
      </c>
      <c r="AC105" s="255">
        <f t="shared" si="26"/>
        <v>0.1333606893721789</v>
      </c>
      <c r="AD105" s="255">
        <f t="shared" si="26"/>
        <v>0</v>
      </c>
      <c r="AE105" s="255">
        <f t="shared" si="26"/>
        <v>0</v>
      </c>
      <c r="AF105" s="255">
        <f t="shared" si="26"/>
        <v>0</v>
      </c>
      <c r="AG105" s="255">
        <f t="shared" si="29"/>
        <v>1.9861168102858704</v>
      </c>
      <c r="AH105" s="59"/>
      <c r="AL105" s="223">
        <v>20</v>
      </c>
      <c r="AM105" s="223">
        <v>1</v>
      </c>
      <c r="AN105" s="256">
        <f t="shared" si="32"/>
        <v>0</v>
      </c>
    </row>
    <row r="106" spans="1:40" s="223" customFormat="1">
      <c r="A106" s="223" t="str">
        <f t="shared" si="30"/>
        <v>KITSAP CO -REGULATEDRolloffRORENT40M</v>
      </c>
      <c r="B106" s="223">
        <f t="shared" si="28"/>
        <v>1</v>
      </c>
      <c r="C106" s="252" t="s">
        <v>377</v>
      </c>
      <c r="D106" s="252" t="s">
        <v>378</v>
      </c>
      <c r="E106" s="254">
        <v>165.74</v>
      </c>
      <c r="F106" s="254"/>
      <c r="G106" s="255">
        <v>165.74</v>
      </c>
      <c r="H106" s="255">
        <v>165.74</v>
      </c>
      <c r="I106" s="255">
        <v>165.74</v>
      </c>
      <c r="J106" s="255">
        <v>165.74</v>
      </c>
      <c r="K106" s="255">
        <v>165.74</v>
      </c>
      <c r="L106" s="255">
        <v>165.74</v>
      </c>
      <c r="M106" s="255">
        <v>165.74</v>
      </c>
      <c r="N106" s="255">
        <v>165.74</v>
      </c>
      <c r="O106" s="255">
        <v>0</v>
      </c>
      <c r="P106" s="255">
        <v>0</v>
      </c>
      <c r="Q106" s="255">
        <v>0</v>
      </c>
      <c r="R106" s="255">
        <v>0</v>
      </c>
      <c r="S106" s="255">
        <f t="shared" si="31"/>
        <v>1325.92</v>
      </c>
      <c r="T106" s="255"/>
      <c r="U106" s="255">
        <f t="shared" si="26"/>
        <v>1</v>
      </c>
      <c r="V106" s="255">
        <f t="shared" si="26"/>
        <v>1</v>
      </c>
      <c r="W106" s="255">
        <f t="shared" si="26"/>
        <v>1</v>
      </c>
      <c r="X106" s="255">
        <f t="shared" si="26"/>
        <v>1</v>
      </c>
      <c r="Y106" s="255">
        <f t="shared" si="26"/>
        <v>1</v>
      </c>
      <c r="Z106" s="255">
        <f t="shared" si="26"/>
        <v>1</v>
      </c>
      <c r="AA106" s="255">
        <f t="shared" si="26"/>
        <v>1</v>
      </c>
      <c r="AB106" s="255">
        <f t="shared" si="26"/>
        <v>1</v>
      </c>
      <c r="AC106" s="255">
        <f t="shared" si="26"/>
        <v>0</v>
      </c>
      <c r="AD106" s="255">
        <f t="shared" si="26"/>
        <v>0</v>
      </c>
      <c r="AE106" s="255">
        <f t="shared" si="26"/>
        <v>0</v>
      </c>
      <c r="AF106" s="255">
        <f t="shared" si="26"/>
        <v>0</v>
      </c>
      <c r="AG106" s="255">
        <f t="shared" si="29"/>
        <v>0.66666666666666663</v>
      </c>
      <c r="AH106" s="59"/>
      <c r="AL106" s="223">
        <v>40</v>
      </c>
      <c r="AM106" s="223">
        <v>1</v>
      </c>
      <c r="AN106" s="256">
        <f t="shared" si="32"/>
        <v>0</v>
      </c>
    </row>
    <row r="107" spans="1:40" s="223" customFormat="1">
      <c r="A107" s="223" t="str">
        <f t="shared" si="30"/>
        <v>KITSAP CO -REGULATEDRolloffROLID</v>
      </c>
      <c r="B107" s="223">
        <f t="shared" si="28"/>
        <v>1</v>
      </c>
      <c r="C107" s="252" t="s">
        <v>379</v>
      </c>
      <c r="D107" s="252" t="s">
        <v>380</v>
      </c>
      <c r="E107" s="254">
        <v>14.56</v>
      </c>
      <c r="F107" s="254"/>
      <c r="G107" s="255">
        <v>78.19</v>
      </c>
      <c r="H107" s="255">
        <v>66.570000000000007</v>
      </c>
      <c r="I107" s="255">
        <v>58.24</v>
      </c>
      <c r="J107" s="255">
        <v>58.24</v>
      </c>
      <c r="K107" s="255">
        <v>58.24</v>
      </c>
      <c r="L107" s="255">
        <v>58.24</v>
      </c>
      <c r="M107" s="255">
        <v>51.519999999999996</v>
      </c>
      <c r="N107" s="255">
        <v>43.68</v>
      </c>
      <c r="O107" s="255">
        <v>0</v>
      </c>
      <c r="P107" s="255">
        <v>0</v>
      </c>
      <c r="Q107" s="255">
        <v>0</v>
      </c>
      <c r="R107" s="255">
        <v>0</v>
      </c>
      <c r="S107" s="255">
        <f t="shared" si="31"/>
        <v>472.92</v>
      </c>
      <c r="T107" s="255"/>
      <c r="U107" s="255">
        <f t="shared" si="26"/>
        <v>5.3701923076923075</v>
      </c>
      <c r="V107" s="255">
        <f t="shared" si="26"/>
        <v>4.572115384615385</v>
      </c>
      <c r="W107" s="255">
        <f t="shared" si="26"/>
        <v>4</v>
      </c>
      <c r="X107" s="255">
        <f t="shared" si="26"/>
        <v>4</v>
      </c>
      <c r="Y107" s="255">
        <f t="shared" si="26"/>
        <v>4</v>
      </c>
      <c r="Z107" s="255">
        <f t="shared" si="26"/>
        <v>4</v>
      </c>
      <c r="AA107" s="255">
        <f t="shared" si="26"/>
        <v>3.5384615384615379</v>
      </c>
      <c r="AB107" s="255">
        <f t="shared" si="26"/>
        <v>3</v>
      </c>
      <c r="AC107" s="255">
        <f t="shared" si="26"/>
        <v>0</v>
      </c>
      <c r="AD107" s="255">
        <f t="shared" si="26"/>
        <v>0</v>
      </c>
      <c r="AE107" s="255">
        <f t="shared" ref="AE107:AF111" si="33">IFERROR(Q107/$E107,0)</f>
        <v>0</v>
      </c>
      <c r="AF107" s="255">
        <f t="shared" si="33"/>
        <v>0</v>
      </c>
      <c r="AG107" s="255">
        <f t="shared" si="29"/>
        <v>2.7067307692307687</v>
      </c>
      <c r="AH107" s="59"/>
    </row>
    <row r="108" spans="1:40" s="223" customFormat="1">
      <c r="A108" s="223" t="str">
        <f t="shared" si="30"/>
        <v>KITSAP CO -REGULATEDRolloffRODEL</v>
      </c>
      <c r="B108" s="223">
        <f t="shared" si="28"/>
        <v>1</v>
      </c>
      <c r="C108" s="252" t="s">
        <v>381</v>
      </c>
      <c r="D108" s="252" t="s">
        <v>382</v>
      </c>
      <c r="E108" s="254">
        <v>77.959999999999994</v>
      </c>
      <c r="F108" s="254"/>
      <c r="G108" s="255">
        <v>467.76</v>
      </c>
      <c r="H108" s="255">
        <v>623.67999999999995</v>
      </c>
      <c r="I108" s="255">
        <v>233.88</v>
      </c>
      <c r="J108" s="255">
        <v>857.56</v>
      </c>
      <c r="K108" s="255">
        <v>545.72</v>
      </c>
      <c r="L108" s="255">
        <v>857.56</v>
      </c>
      <c r="M108" s="255">
        <v>1013.48</v>
      </c>
      <c r="N108" s="255">
        <v>857.56</v>
      </c>
      <c r="O108" s="255">
        <v>623.67999999999995</v>
      </c>
      <c r="P108" s="255">
        <v>0</v>
      </c>
      <c r="Q108" s="255">
        <v>0</v>
      </c>
      <c r="R108" s="255">
        <v>0</v>
      </c>
      <c r="S108" s="255">
        <f t="shared" si="31"/>
        <v>6080.880000000001</v>
      </c>
      <c r="T108" s="255"/>
      <c r="U108" s="255">
        <f t="shared" ref="U108:AD111" si="34">IFERROR(G108/$E108,0)</f>
        <v>6</v>
      </c>
      <c r="V108" s="255">
        <f t="shared" si="34"/>
        <v>8</v>
      </c>
      <c r="W108" s="255">
        <f t="shared" si="34"/>
        <v>3</v>
      </c>
      <c r="X108" s="255">
        <f t="shared" si="34"/>
        <v>11</v>
      </c>
      <c r="Y108" s="255">
        <f t="shared" si="34"/>
        <v>7.0000000000000009</v>
      </c>
      <c r="Z108" s="255">
        <f t="shared" si="34"/>
        <v>11</v>
      </c>
      <c r="AA108" s="255">
        <f t="shared" si="34"/>
        <v>13.000000000000002</v>
      </c>
      <c r="AB108" s="255">
        <f t="shared" si="34"/>
        <v>11</v>
      </c>
      <c r="AC108" s="255">
        <f t="shared" si="34"/>
        <v>8</v>
      </c>
      <c r="AD108" s="255">
        <f t="shared" si="34"/>
        <v>0</v>
      </c>
      <c r="AE108" s="255">
        <f t="shared" si="33"/>
        <v>0</v>
      </c>
      <c r="AF108" s="255">
        <f t="shared" si="33"/>
        <v>0</v>
      </c>
      <c r="AG108" s="255">
        <f t="shared" si="29"/>
        <v>6.5</v>
      </c>
      <c r="AH108" s="59"/>
    </row>
    <row r="109" spans="1:40">
      <c r="A109" s="223" t="str">
        <f t="shared" si="30"/>
        <v>KITSAP CO -REGULATEDRolloffROMILE</v>
      </c>
      <c r="B109" s="223">
        <f t="shared" si="28"/>
        <v>1</v>
      </c>
      <c r="C109" s="252" t="s">
        <v>383</v>
      </c>
      <c r="D109" s="252" t="s">
        <v>384</v>
      </c>
      <c r="E109" s="254">
        <v>2.4300000000000002</v>
      </c>
      <c r="F109" s="254"/>
      <c r="G109" s="255">
        <v>145.80000000000001</v>
      </c>
      <c r="H109" s="255">
        <v>128.79</v>
      </c>
      <c r="I109" s="255">
        <v>48.6</v>
      </c>
      <c r="J109" s="255">
        <v>174.96</v>
      </c>
      <c r="K109" s="255">
        <v>1606.23</v>
      </c>
      <c r="L109" s="255">
        <v>1241.73</v>
      </c>
      <c r="M109" s="255">
        <v>1671.84</v>
      </c>
      <c r="N109" s="255">
        <v>1720.44</v>
      </c>
      <c r="O109" s="255">
        <v>1010.88</v>
      </c>
      <c r="P109" s="255">
        <v>178.12</v>
      </c>
      <c r="Q109" s="255">
        <v>117.12</v>
      </c>
      <c r="R109" s="255">
        <v>78.08</v>
      </c>
      <c r="S109" s="255">
        <f t="shared" si="31"/>
        <v>8122.5899999999992</v>
      </c>
      <c r="T109" s="255"/>
      <c r="U109" s="255">
        <f t="shared" si="34"/>
        <v>60</v>
      </c>
      <c r="V109" s="255">
        <f t="shared" si="34"/>
        <v>52.999999999999993</v>
      </c>
      <c r="W109" s="255">
        <f t="shared" si="34"/>
        <v>20</v>
      </c>
      <c r="X109" s="255">
        <f t="shared" si="34"/>
        <v>72</v>
      </c>
      <c r="Y109" s="255">
        <f t="shared" si="34"/>
        <v>661</v>
      </c>
      <c r="Z109" s="255">
        <f t="shared" si="34"/>
        <v>511</v>
      </c>
      <c r="AA109" s="255">
        <f t="shared" si="34"/>
        <v>687.99999999999989</v>
      </c>
      <c r="AB109" s="255">
        <f t="shared" si="34"/>
        <v>708</v>
      </c>
      <c r="AC109" s="255">
        <f t="shared" si="34"/>
        <v>415.99999999999994</v>
      </c>
      <c r="AD109" s="255">
        <f t="shared" si="34"/>
        <v>73.300411522633738</v>
      </c>
      <c r="AE109" s="255">
        <f t="shared" si="33"/>
        <v>48.197530864197532</v>
      </c>
      <c r="AF109" s="255">
        <f t="shared" si="33"/>
        <v>32.13168724279835</v>
      </c>
      <c r="AG109" s="255">
        <f t="shared" si="29"/>
        <v>278.55246913580248</v>
      </c>
    </row>
    <row r="110" spans="1:40">
      <c r="A110" s="223" t="str">
        <f t="shared" si="30"/>
        <v>KITSAP CO -REGULATEDRolloffROHAUL10T</v>
      </c>
      <c r="B110" s="223">
        <f t="shared" si="28"/>
        <v>1</v>
      </c>
      <c r="C110" s="252" t="s">
        <v>350</v>
      </c>
      <c r="D110" s="252" t="s">
        <v>350</v>
      </c>
      <c r="E110" s="254">
        <v>83.93</v>
      </c>
      <c r="F110" s="254"/>
      <c r="G110" s="255">
        <v>251.79</v>
      </c>
      <c r="H110" s="255">
        <v>83.93</v>
      </c>
      <c r="I110" s="255">
        <v>0</v>
      </c>
      <c r="J110" s="255">
        <v>83.93</v>
      </c>
      <c r="K110" s="255">
        <v>83.93</v>
      </c>
      <c r="L110" s="255">
        <v>251.79</v>
      </c>
      <c r="M110" s="255">
        <v>335.72</v>
      </c>
      <c r="N110" s="255">
        <v>167.86</v>
      </c>
      <c r="O110" s="255">
        <v>83.93</v>
      </c>
      <c r="P110" s="255">
        <v>0</v>
      </c>
      <c r="Q110" s="255">
        <v>0</v>
      </c>
      <c r="R110" s="255">
        <v>0</v>
      </c>
      <c r="S110" s="255">
        <f t="shared" si="31"/>
        <v>1342.8800000000003</v>
      </c>
      <c r="T110" s="255"/>
      <c r="U110" s="255">
        <f t="shared" si="34"/>
        <v>2.9999999999999996</v>
      </c>
      <c r="V110" s="255">
        <f t="shared" si="34"/>
        <v>1</v>
      </c>
      <c r="W110" s="255">
        <f t="shared" si="34"/>
        <v>0</v>
      </c>
      <c r="X110" s="255">
        <f t="shared" si="34"/>
        <v>1</v>
      </c>
      <c r="Y110" s="255">
        <f t="shared" si="34"/>
        <v>1</v>
      </c>
      <c r="Z110" s="255">
        <f t="shared" si="34"/>
        <v>2.9999999999999996</v>
      </c>
      <c r="AA110" s="255">
        <f t="shared" si="34"/>
        <v>4</v>
      </c>
      <c r="AB110" s="255">
        <f t="shared" si="34"/>
        <v>2</v>
      </c>
      <c r="AC110" s="255">
        <f t="shared" si="34"/>
        <v>1</v>
      </c>
      <c r="AD110" s="255">
        <f t="shared" si="34"/>
        <v>0</v>
      </c>
      <c r="AE110" s="255">
        <f t="shared" si="33"/>
        <v>0</v>
      </c>
      <c r="AF110" s="255">
        <f t="shared" si="33"/>
        <v>0</v>
      </c>
      <c r="AG110" s="255">
        <f t="shared" si="29"/>
        <v>1.3333333333333333</v>
      </c>
    </row>
    <row r="111" spans="1:40">
      <c r="A111" s="223" t="str">
        <f t="shared" si="30"/>
        <v>KITSAP CO -REGULATEDRolloffSP</v>
      </c>
      <c r="B111" s="223">
        <f t="shared" si="28"/>
        <v>2</v>
      </c>
      <c r="C111" s="252" t="s">
        <v>387</v>
      </c>
      <c r="D111" s="252" t="s">
        <v>388</v>
      </c>
      <c r="E111" s="389">
        <v>151.68</v>
      </c>
      <c r="F111" s="254"/>
      <c r="G111" s="255">
        <v>151.68</v>
      </c>
      <c r="H111" s="255">
        <v>0</v>
      </c>
      <c r="I111" s="255">
        <v>0</v>
      </c>
      <c r="J111" s="255">
        <v>0</v>
      </c>
      <c r="K111" s="255">
        <v>0</v>
      </c>
      <c r="L111" s="255">
        <v>0</v>
      </c>
      <c r="M111" s="255">
        <v>0</v>
      </c>
      <c r="N111" s="255">
        <v>0</v>
      </c>
      <c r="O111" s="255">
        <v>0</v>
      </c>
      <c r="P111" s="255">
        <v>0</v>
      </c>
      <c r="Q111" s="255">
        <v>0</v>
      </c>
      <c r="R111" s="255">
        <v>0</v>
      </c>
      <c r="S111" s="255">
        <f t="shared" si="31"/>
        <v>151.68</v>
      </c>
      <c r="T111" s="255"/>
      <c r="U111" s="255">
        <f t="shared" si="34"/>
        <v>1</v>
      </c>
      <c r="V111" s="255">
        <f t="shared" si="34"/>
        <v>0</v>
      </c>
      <c r="W111" s="255">
        <f t="shared" si="34"/>
        <v>0</v>
      </c>
      <c r="X111" s="255">
        <f t="shared" si="34"/>
        <v>0</v>
      </c>
      <c r="Y111" s="255">
        <f t="shared" si="34"/>
        <v>0</v>
      </c>
      <c r="Z111" s="255">
        <f t="shared" si="34"/>
        <v>0</v>
      </c>
      <c r="AA111" s="255">
        <f t="shared" si="34"/>
        <v>0</v>
      </c>
      <c r="AB111" s="255">
        <f t="shared" si="34"/>
        <v>0</v>
      </c>
      <c r="AC111" s="255">
        <f t="shared" si="34"/>
        <v>0</v>
      </c>
      <c r="AD111" s="255">
        <f t="shared" si="34"/>
        <v>0</v>
      </c>
      <c r="AE111" s="255">
        <f t="shared" si="33"/>
        <v>0</v>
      </c>
      <c r="AF111" s="255">
        <f t="shared" si="33"/>
        <v>0</v>
      </c>
      <c r="AG111" s="255">
        <f t="shared" si="29"/>
        <v>8.3333333333333329E-2</v>
      </c>
    </row>
    <row r="112" spans="1:40">
      <c r="C112" s="272"/>
      <c r="D112" s="272"/>
      <c r="F112" s="254"/>
      <c r="G112" s="255"/>
      <c r="H112" s="255"/>
      <c r="I112" s="255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/>
      <c r="AI112" s="269" t="s">
        <v>338</v>
      </c>
      <c r="AJ112" s="270">
        <f>+SUM(AN101:AN106)</f>
        <v>0</v>
      </c>
    </row>
    <row r="113" spans="1:33">
      <c r="B113" s="224">
        <f>COUNTIF(C:C,C113)</f>
        <v>0</v>
      </c>
      <c r="C113" s="272"/>
      <c r="D113" s="273" t="s">
        <v>111</v>
      </c>
      <c r="F113" s="254"/>
      <c r="G113" s="274">
        <f t="shared" ref="G113:S113" si="35">SUM(G90:G112)</f>
        <v>9807.4600000000009</v>
      </c>
      <c r="H113" s="274">
        <f t="shared" si="35"/>
        <v>8329.65</v>
      </c>
      <c r="I113" s="274">
        <f t="shared" si="35"/>
        <v>6376.13</v>
      </c>
      <c r="J113" s="274">
        <f t="shared" si="35"/>
        <v>8951.7499999999982</v>
      </c>
      <c r="K113" s="274">
        <f t="shared" si="35"/>
        <v>9300.23</v>
      </c>
      <c r="L113" s="274">
        <f t="shared" si="35"/>
        <v>8595.5</v>
      </c>
      <c r="M113" s="274">
        <f t="shared" si="35"/>
        <v>9979.01</v>
      </c>
      <c r="N113" s="274">
        <f t="shared" si="35"/>
        <v>9716.77</v>
      </c>
      <c r="O113" s="274">
        <f t="shared" si="35"/>
        <v>5546.91</v>
      </c>
      <c r="P113" s="274">
        <f t="shared" si="35"/>
        <v>852.43999999999994</v>
      </c>
      <c r="Q113" s="274">
        <f t="shared" si="35"/>
        <v>458.97</v>
      </c>
      <c r="R113" s="274">
        <f t="shared" si="35"/>
        <v>429.56</v>
      </c>
      <c r="S113" s="274">
        <f t="shared" si="35"/>
        <v>78344.37999999999</v>
      </c>
      <c r="T113" s="277">
        <f>S113-SUM(G113:R113)</f>
        <v>0</v>
      </c>
      <c r="U113" s="275">
        <f t="shared" ref="U113:AE113" si="36">IFERROR(G113/$E113,0)</f>
        <v>0</v>
      </c>
      <c r="V113" s="275">
        <f t="shared" si="36"/>
        <v>0</v>
      </c>
      <c r="W113" s="275">
        <f t="shared" si="36"/>
        <v>0</v>
      </c>
      <c r="X113" s="275">
        <f t="shared" si="36"/>
        <v>0</v>
      </c>
      <c r="Y113" s="275">
        <f t="shared" si="36"/>
        <v>0</v>
      </c>
      <c r="Z113" s="275">
        <f t="shared" si="36"/>
        <v>0</v>
      </c>
      <c r="AA113" s="275">
        <f t="shared" si="36"/>
        <v>0</v>
      </c>
      <c r="AB113" s="275">
        <f t="shared" si="36"/>
        <v>0</v>
      </c>
      <c r="AC113" s="275">
        <f t="shared" si="36"/>
        <v>0</v>
      </c>
      <c r="AD113" s="275">
        <f t="shared" si="36"/>
        <v>0</v>
      </c>
      <c r="AE113" s="275">
        <f t="shared" si="36"/>
        <v>0</v>
      </c>
      <c r="AF113" s="275">
        <f>+SUM(AF101:AF106)</f>
        <v>0</v>
      </c>
      <c r="AG113" s="275">
        <f>+SUM(AG101:AG106)</f>
        <v>10.988810186606051</v>
      </c>
    </row>
    <row r="114" spans="1:33">
      <c r="C114" s="272"/>
      <c r="D114" s="272"/>
      <c r="F114" s="254"/>
      <c r="G114" s="255"/>
      <c r="H114" s="255"/>
      <c r="I114" s="255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</row>
    <row r="115" spans="1:33">
      <c r="B115" s="224">
        <f>COUNTIF(C:C,C115)</f>
        <v>1</v>
      </c>
      <c r="C115" s="282" t="s">
        <v>112</v>
      </c>
      <c r="D115" s="282" t="s">
        <v>112</v>
      </c>
      <c r="F115" s="254"/>
      <c r="G115" s="255"/>
      <c r="H115" s="255"/>
      <c r="I115" s="255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U115" s="279">
        <f t="shared" ref="U115:AF118" si="37">IFERROR(G115/$E115,0)</f>
        <v>0</v>
      </c>
      <c r="V115" s="279">
        <f t="shared" si="37"/>
        <v>0</v>
      </c>
      <c r="W115" s="279">
        <f t="shared" si="37"/>
        <v>0</v>
      </c>
      <c r="X115" s="279">
        <f t="shared" si="37"/>
        <v>0</v>
      </c>
      <c r="Y115" s="279">
        <f t="shared" si="37"/>
        <v>0</v>
      </c>
      <c r="Z115" s="279">
        <f t="shared" si="37"/>
        <v>0</v>
      </c>
      <c r="AA115" s="279">
        <f t="shared" si="37"/>
        <v>0</v>
      </c>
      <c r="AB115" s="279">
        <f>IFERROR(N115/#REF!,0)</f>
        <v>0</v>
      </c>
      <c r="AC115" s="279">
        <f>IFERROR(O115/#REF!,0)</f>
        <v>0</v>
      </c>
      <c r="AD115" s="279">
        <f>IFERROR(P115/#REF!,0)</f>
        <v>0</v>
      </c>
      <c r="AE115" s="279">
        <f>IFERROR(Q115/#REF!,0)</f>
        <v>0</v>
      </c>
      <c r="AF115" s="279">
        <f>IFERROR(R115/#REF!,0)</f>
        <v>0</v>
      </c>
      <c r="AG115" s="390">
        <f t="shared" ref="AG115" si="38">AVERAGE(U115:Y115)</f>
        <v>0</v>
      </c>
    </row>
    <row r="116" spans="1:33">
      <c r="A116" s="223" t="str">
        <f>$A$1&amp;"Rolloff"&amp;C116</f>
        <v>KITSAP CO -REGULATEDRolloffDISPOLY-TON</v>
      </c>
      <c r="B116" s="223">
        <f>COUNTIF(C:C,C116)</f>
        <v>1</v>
      </c>
      <c r="C116" s="252" t="s">
        <v>392</v>
      </c>
      <c r="D116" s="252" t="s">
        <v>393</v>
      </c>
      <c r="E116" s="254">
        <v>80</v>
      </c>
      <c r="F116" s="254"/>
      <c r="G116" s="255">
        <v>13019.2</v>
      </c>
      <c r="H116" s="255">
        <v>8606.84</v>
      </c>
      <c r="I116" s="255">
        <v>8116</v>
      </c>
      <c r="J116" s="255">
        <v>11558.04</v>
      </c>
      <c r="K116" s="255">
        <v>179.2</v>
      </c>
      <c r="L116" s="255">
        <v>0</v>
      </c>
      <c r="M116" s="255">
        <v>0</v>
      </c>
      <c r="N116" s="255">
        <v>0</v>
      </c>
      <c r="O116" s="255">
        <v>0</v>
      </c>
      <c r="P116" s="255">
        <v>0</v>
      </c>
      <c r="Q116" s="255">
        <v>0</v>
      </c>
      <c r="R116" s="255">
        <v>0</v>
      </c>
      <c r="S116" s="255">
        <f>SUM(G116:R116)</f>
        <v>41479.279999999999</v>
      </c>
      <c r="T116" s="255"/>
      <c r="U116" s="255">
        <f t="shared" si="37"/>
        <v>162.74</v>
      </c>
      <c r="V116" s="255">
        <f t="shared" si="37"/>
        <v>107.5855</v>
      </c>
      <c r="W116" s="255">
        <f t="shared" si="37"/>
        <v>101.45</v>
      </c>
      <c r="X116" s="255">
        <f t="shared" si="37"/>
        <v>144.47550000000001</v>
      </c>
      <c r="Y116" s="255">
        <f t="shared" si="37"/>
        <v>2.2399999999999998</v>
      </c>
      <c r="Z116" s="255">
        <f t="shared" si="37"/>
        <v>0</v>
      </c>
      <c r="AA116" s="255">
        <f t="shared" si="37"/>
        <v>0</v>
      </c>
      <c r="AB116" s="255">
        <f t="shared" si="37"/>
        <v>0</v>
      </c>
      <c r="AC116" s="255">
        <f t="shared" si="37"/>
        <v>0</v>
      </c>
      <c r="AD116" s="255">
        <f t="shared" si="37"/>
        <v>0</v>
      </c>
      <c r="AE116" s="255">
        <f t="shared" si="37"/>
        <v>0</v>
      </c>
      <c r="AF116" s="255">
        <f t="shared" si="37"/>
        <v>0</v>
      </c>
      <c r="AG116" s="255">
        <f t="shared" ref="AG116:AG118" si="39">AVERAGE(U116:AF116)</f>
        <v>43.207583333333332</v>
      </c>
    </row>
    <row r="117" spans="1:33">
      <c r="A117" s="223" t="str">
        <f>$A$1&amp;"Rolloff"&amp;C117</f>
        <v>KITSAP CO -REGULATEDRolloffDISPMC-TON</v>
      </c>
      <c r="B117" s="223">
        <f>COUNTIF(C:C,C117)</f>
        <v>1</v>
      </c>
      <c r="C117" s="391" t="s">
        <v>390</v>
      </c>
      <c r="D117" s="252" t="s">
        <v>391</v>
      </c>
      <c r="E117" s="254">
        <v>102.31</v>
      </c>
      <c r="F117" s="254"/>
      <c r="G117" s="255">
        <v>0</v>
      </c>
      <c r="H117" s="255">
        <v>0</v>
      </c>
      <c r="I117" s="255">
        <v>0</v>
      </c>
      <c r="J117" s="255">
        <v>0</v>
      </c>
      <c r="K117" s="255">
        <v>11149.77</v>
      </c>
      <c r="L117" s="255">
        <v>9508.7199999999993</v>
      </c>
      <c r="M117" s="255">
        <v>9878.06</v>
      </c>
      <c r="N117" s="255">
        <v>10398.83</v>
      </c>
      <c r="O117" s="255">
        <v>8516.52</v>
      </c>
      <c r="P117" s="255">
        <v>1424.16</v>
      </c>
      <c r="Q117" s="255">
        <v>506.44</v>
      </c>
      <c r="R117" s="255">
        <v>566.79999999999995</v>
      </c>
      <c r="S117" s="255">
        <f>SUM(G117:R117)</f>
        <v>51949.3</v>
      </c>
      <c r="T117" s="255"/>
      <c r="U117" s="255">
        <f t="shared" si="37"/>
        <v>0</v>
      </c>
      <c r="V117" s="255">
        <f t="shared" si="37"/>
        <v>0</v>
      </c>
      <c r="W117" s="255">
        <f t="shared" si="37"/>
        <v>0</v>
      </c>
      <c r="X117" s="255">
        <f t="shared" si="37"/>
        <v>0</v>
      </c>
      <c r="Y117" s="255">
        <f t="shared" si="37"/>
        <v>108.98025608444922</v>
      </c>
      <c r="Z117" s="255">
        <f t="shared" si="37"/>
        <v>92.940279542566699</v>
      </c>
      <c r="AA117" s="255">
        <f t="shared" si="37"/>
        <v>96.550288339360762</v>
      </c>
      <c r="AB117" s="255">
        <f t="shared" si="37"/>
        <v>101.64040660736975</v>
      </c>
      <c r="AC117" s="255">
        <f t="shared" si="37"/>
        <v>83.242302805199884</v>
      </c>
      <c r="AD117" s="255">
        <f t="shared" si="37"/>
        <v>13.920046916234973</v>
      </c>
      <c r="AE117" s="255">
        <f t="shared" si="37"/>
        <v>4.9500537581859057</v>
      </c>
      <c r="AF117" s="255">
        <f t="shared" si="37"/>
        <v>5.5400254129606097</v>
      </c>
      <c r="AG117" s="255">
        <f t="shared" si="39"/>
        <v>42.313638288860652</v>
      </c>
    </row>
    <row r="118" spans="1:33">
      <c r="A118" s="223" t="str">
        <f>$A$1&amp;"Rolloff"&amp;C118</f>
        <v>KITSAP CO -REGULATEDRolloffDISPMCMISC</v>
      </c>
      <c r="B118" s="223">
        <f>COUNTIF(C:C,C118)</f>
        <v>1</v>
      </c>
      <c r="C118" s="272" t="s">
        <v>394</v>
      </c>
      <c r="D118" s="252" t="s">
        <v>395</v>
      </c>
      <c r="E118" s="254">
        <v>0</v>
      </c>
      <c r="F118" s="254"/>
      <c r="G118" s="255">
        <v>0</v>
      </c>
      <c r="H118" s="255">
        <v>0</v>
      </c>
      <c r="I118" s="255">
        <v>0</v>
      </c>
      <c r="J118" s="255">
        <v>0</v>
      </c>
      <c r="K118" s="255">
        <v>102.26</v>
      </c>
      <c r="L118" s="255">
        <v>33.24</v>
      </c>
      <c r="M118" s="255">
        <v>254.8</v>
      </c>
      <c r="N118" s="255">
        <v>0</v>
      </c>
      <c r="O118" s="255">
        <v>0</v>
      </c>
      <c r="P118" s="255">
        <v>11.08</v>
      </c>
      <c r="Q118" s="255">
        <v>0</v>
      </c>
      <c r="R118" s="255">
        <v>0</v>
      </c>
      <c r="S118" s="255">
        <f>SUM(G118:R118)</f>
        <v>401.38</v>
      </c>
      <c r="T118" s="255"/>
      <c r="U118" s="255">
        <f t="shared" si="37"/>
        <v>0</v>
      </c>
      <c r="V118" s="255">
        <f t="shared" si="37"/>
        <v>0</v>
      </c>
      <c r="W118" s="255">
        <f t="shared" si="37"/>
        <v>0</v>
      </c>
      <c r="X118" s="255">
        <f t="shared" si="37"/>
        <v>0</v>
      </c>
      <c r="Y118" s="255">
        <f t="shared" si="37"/>
        <v>0</v>
      </c>
      <c r="Z118" s="255">
        <f t="shared" si="37"/>
        <v>0</v>
      </c>
      <c r="AA118" s="255">
        <f t="shared" si="37"/>
        <v>0</v>
      </c>
      <c r="AB118" s="255">
        <f>IFERROR(N118/#REF!,0)</f>
        <v>0</v>
      </c>
      <c r="AC118" s="255">
        <f>IFERROR(O118/#REF!,0)</f>
        <v>0</v>
      </c>
      <c r="AD118" s="255">
        <f>IFERROR(P118/#REF!,0)</f>
        <v>0</v>
      </c>
      <c r="AE118" s="255">
        <f>IFERROR(Q118/#REF!,0)</f>
        <v>0</v>
      </c>
      <c r="AF118" s="255">
        <f>IFERROR(R118/#REF!,0)</f>
        <v>0</v>
      </c>
      <c r="AG118" s="255">
        <f t="shared" si="39"/>
        <v>0</v>
      </c>
    </row>
    <row r="119" spans="1:33">
      <c r="A119" s="223"/>
      <c r="B119" s="223">
        <f>COUNTIF(C:C,C119)</f>
        <v>0</v>
      </c>
      <c r="C119" s="272"/>
      <c r="D119" s="273" t="s">
        <v>113</v>
      </c>
      <c r="E119" s="59"/>
      <c r="F119" s="253"/>
      <c r="G119" s="274">
        <f t="shared" ref="G119:U119" si="40">SUM(G116:G118)</f>
        <v>13019.2</v>
      </c>
      <c r="H119" s="274">
        <f t="shared" si="40"/>
        <v>8606.84</v>
      </c>
      <c r="I119" s="274">
        <f t="shared" si="40"/>
        <v>8116</v>
      </c>
      <c r="J119" s="274">
        <f t="shared" si="40"/>
        <v>11558.04</v>
      </c>
      <c r="K119" s="274">
        <f t="shared" si="40"/>
        <v>11431.230000000001</v>
      </c>
      <c r="L119" s="274">
        <f t="shared" si="40"/>
        <v>9541.9599999999991</v>
      </c>
      <c r="M119" s="274">
        <f t="shared" si="40"/>
        <v>10132.859999999999</v>
      </c>
      <c r="N119" s="274">
        <f t="shared" si="40"/>
        <v>10398.83</v>
      </c>
      <c r="O119" s="274">
        <f t="shared" si="40"/>
        <v>8516.52</v>
      </c>
      <c r="P119" s="274">
        <f t="shared" si="40"/>
        <v>1435.24</v>
      </c>
      <c r="Q119" s="274">
        <f t="shared" si="40"/>
        <v>506.44</v>
      </c>
      <c r="R119" s="274">
        <f t="shared" si="40"/>
        <v>566.79999999999995</v>
      </c>
      <c r="S119" s="274">
        <f t="shared" si="40"/>
        <v>93829.96</v>
      </c>
      <c r="T119" s="290">
        <f>S119-SUM(G119:R119)</f>
        <v>0</v>
      </c>
      <c r="U119" s="274">
        <f t="shared" si="40"/>
        <v>162.74</v>
      </c>
      <c r="V119" s="274">
        <f t="shared" ref="V119" si="41">SUM(V116:V118)</f>
        <v>107.5855</v>
      </c>
      <c r="W119" s="274">
        <f t="shared" ref="W119:AG119" si="42">SUM(W116:W118)</f>
        <v>101.45</v>
      </c>
      <c r="X119" s="274">
        <f t="shared" si="42"/>
        <v>144.47550000000001</v>
      </c>
      <c r="Y119" s="274">
        <f t="shared" si="42"/>
        <v>111.22025608444922</v>
      </c>
      <c r="Z119" s="274">
        <f t="shared" si="42"/>
        <v>92.940279542566699</v>
      </c>
      <c r="AA119" s="274">
        <f t="shared" si="42"/>
        <v>96.550288339360762</v>
      </c>
      <c r="AB119" s="274">
        <f t="shared" si="42"/>
        <v>101.64040660736975</v>
      </c>
      <c r="AC119" s="274">
        <f t="shared" si="42"/>
        <v>83.242302805199884</v>
      </c>
      <c r="AD119" s="274">
        <f t="shared" si="42"/>
        <v>13.920046916234973</v>
      </c>
      <c r="AE119" s="274">
        <f t="shared" si="42"/>
        <v>4.9500537581859057</v>
      </c>
      <c r="AF119" s="274">
        <f t="shared" si="42"/>
        <v>5.5400254129606097</v>
      </c>
      <c r="AG119" s="274">
        <f t="shared" si="42"/>
        <v>85.521221622193991</v>
      </c>
    </row>
    <row r="120" spans="1:33">
      <c r="A120" s="223"/>
      <c r="B120" s="223"/>
      <c r="C120" s="272"/>
      <c r="E120" s="59"/>
      <c r="F120" s="253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23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23"/>
    </row>
    <row r="121" spans="1:33">
      <c r="A121" s="223"/>
      <c r="B121" s="223"/>
      <c r="E121" s="59"/>
      <c r="F121" s="253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23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23"/>
    </row>
    <row r="122" spans="1:33">
      <c r="A122" s="223"/>
      <c r="B122" s="223">
        <f>COUNTIF(C:C,C122)</f>
        <v>1</v>
      </c>
      <c r="C122" s="249" t="s">
        <v>138</v>
      </c>
      <c r="D122" s="249" t="s">
        <v>138</v>
      </c>
      <c r="E122" s="59"/>
      <c r="F122" s="253"/>
      <c r="G122" s="255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23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23"/>
    </row>
    <row r="123" spans="1:33">
      <c r="A123" s="223" t="str">
        <f>$A$1&amp;"ACCOUNTING ADJUSTMENTS"&amp;C123</f>
        <v>KITSAP CO -REGULATEDACCOUNTING ADJUSTMENTSFINCHG</v>
      </c>
      <c r="B123" s="223">
        <f>COUNTIF(C:C,C123)</f>
        <v>1</v>
      </c>
      <c r="C123" s="252" t="s">
        <v>114</v>
      </c>
      <c r="D123" s="252" t="s">
        <v>139</v>
      </c>
      <c r="E123" s="254">
        <v>1</v>
      </c>
      <c r="F123" s="254"/>
      <c r="G123" s="255">
        <v>75.14</v>
      </c>
      <c r="H123" s="255">
        <v>178.45999999999998</v>
      </c>
      <c r="I123" s="255">
        <v>95.98</v>
      </c>
      <c r="J123" s="255">
        <v>161.24</v>
      </c>
      <c r="K123" s="255">
        <v>149.08000000000001</v>
      </c>
      <c r="L123" s="255">
        <v>194.09</v>
      </c>
      <c r="M123" s="255">
        <v>62.5</v>
      </c>
      <c r="N123" s="255">
        <v>169.32</v>
      </c>
      <c r="O123" s="255">
        <v>14.32</v>
      </c>
      <c r="P123" s="255">
        <v>43.11</v>
      </c>
      <c r="Q123" s="255">
        <v>0</v>
      </c>
      <c r="R123" s="255">
        <v>-5</v>
      </c>
      <c r="S123" s="255">
        <f>SUM(G123:R123)</f>
        <v>1138.2399999999998</v>
      </c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</row>
    <row r="124" spans="1:33">
      <c r="A124" s="223" t="str">
        <f>$A$1&amp;"ACCOUNTING ADJUSTMENTS"&amp;C124</f>
        <v>KITSAP CO -REGULATEDACCOUNTING ADJUSTMENTSC19-ADJFIN</v>
      </c>
      <c r="B124" s="223">
        <f>COUNTIF(C:C,C124)</f>
        <v>1</v>
      </c>
      <c r="C124" s="252" t="s">
        <v>140</v>
      </c>
      <c r="D124" s="252" t="s">
        <v>139</v>
      </c>
      <c r="E124" s="254">
        <v>1</v>
      </c>
      <c r="F124" s="254"/>
      <c r="G124" s="255">
        <v>0</v>
      </c>
      <c r="H124" s="255">
        <v>0</v>
      </c>
      <c r="I124" s="255">
        <v>0</v>
      </c>
      <c r="J124" s="255">
        <v>-161.24</v>
      </c>
      <c r="K124" s="255">
        <v>-149.08000000000001</v>
      </c>
      <c r="L124" s="255">
        <v>-194.09</v>
      </c>
      <c r="M124" s="255">
        <v>0</v>
      </c>
      <c r="N124" s="255">
        <v>0</v>
      </c>
      <c r="O124" s="255">
        <v>0</v>
      </c>
      <c r="P124" s="255">
        <v>0</v>
      </c>
      <c r="Q124" s="255">
        <v>0</v>
      </c>
      <c r="R124" s="255">
        <v>0</v>
      </c>
      <c r="S124" s="255">
        <f>SUM(G124:R124)</f>
        <v>-504.41000000000008</v>
      </c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</row>
    <row r="125" spans="1:33">
      <c r="B125" s="224">
        <f>COUNTIF(C:C,C125)</f>
        <v>0</v>
      </c>
      <c r="C125" s="272"/>
      <c r="D125" s="272"/>
      <c r="F125" s="253"/>
      <c r="G125" s="255"/>
      <c r="H125" s="255" t="str">
        <f>IF(F125="","",(#REF!/F125)+(#REF!/#REF!))</f>
        <v/>
      </c>
      <c r="I125" s="255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50"/>
    </row>
    <row r="126" spans="1:33">
      <c r="C126" s="272"/>
      <c r="D126" s="298" t="s">
        <v>115</v>
      </c>
      <c r="G126" s="274">
        <f t="shared" ref="G126:S126" si="43">SUM(G123:G125)</f>
        <v>75.14</v>
      </c>
      <c r="H126" s="274">
        <f t="shared" si="43"/>
        <v>178.45999999999998</v>
      </c>
      <c r="I126" s="274">
        <f t="shared" si="43"/>
        <v>95.98</v>
      </c>
      <c r="J126" s="274">
        <f t="shared" si="43"/>
        <v>0</v>
      </c>
      <c r="K126" s="274">
        <f t="shared" si="43"/>
        <v>0</v>
      </c>
      <c r="L126" s="274">
        <f t="shared" si="43"/>
        <v>0</v>
      </c>
      <c r="M126" s="274">
        <f t="shared" si="43"/>
        <v>62.5</v>
      </c>
      <c r="N126" s="274">
        <f t="shared" si="43"/>
        <v>169.32</v>
      </c>
      <c r="O126" s="274">
        <f t="shared" si="43"/>
        <v>14.32</v>
      </c>
      <c r="P126" s="274">
        <f t="shared" si="43"/>
        <v>43.11</v>
      </c>
      <c r="Q126" s="274">
        <f t="shared" si="43"/>
        <v>0</v>
      </c>
      <c r="R126" s="274">
        <f t="shared" si="43"/>
        <v>-5</v>
      </c>
      <c r="S126" s="274">
        <f t="shared" si="43"/>
        <v>633.8299999999997</v>
      </c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</row>
    <row r="127" spans="1:33">
      <c r="C127" s="272"/>
      <c r="G127" s="256"/>
      <c r="H127" s="256"/>
      <c r="I127" s="256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</row>
    <row r="128" spans="1:33">
      <c r="G128" s="256"/>
      <c r="H128" s="256"/>
      <c r="I128" s="256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</row>
    <row r="129" spans="2:32" s="250" customFormat="1" ht="12.75" thickBot="1">
      <c r="B129" s="224"/>
      <c r="C129" s="221"/>
      <c r="D129" s="298" t="s">
        <v>142</v>
      </c>
      <c r="F129" s="221"/>
      <c r="G129" s="299">
        <f t="shared" ref="G129:S129" si="44">G126+G119+G113+G84+G56+G40</f>
        <v>123425.53</v>
      </c>
      <c r="H129" s="299">
        <f t="shared" si="44"/>
        <v>114643.245</v>
      </c>
      <c r="I129" s="299">
        <f t="shared" si="44"/>
        <v>113650.94499999998</v>
      </c>
      <c r="J129" s="299">
        <f t="shared" si="44"/>
        <v>119320.20000000001</v>
      </c>
      <c r="K129" s="299">
        <f t="shared" si="44"/>
        <v>119278.9</v>
      </c>
      <c r="L129" s="299">
        <f t="shared" si="44"/>
        <v>118474.16</v>
      </c>
      <c r="M129" s="299">
        <f t="shared" si="44"/>
        <v>125474.29000000001</v>
      </c>
      <c r="N129" s="299">
        <f t="shared" si="44"/>
        <v>132402.255</v>
      </c>
      <c r="O129" s="299">
        <f t="shared" si="44"/>
        <v>88323.385000000009</v>
      </c>
      <c r="P129" s="299">
        <f t="shared" si="44"/>
        <v>3819.65</v>
      </c>
      <c r="Q129" s="299">
        <f t="shared" si="44"/>
        <v>2469.0800000000004</v>
      </c>
      <c r="R129" s="299">
        <f t="shared" si="44"/>
        <v>2416.2599999999998</v>
      </c>
      <c r="S129" s="299">
        <f t="shared" si="44"/>
        <v>1063697.8999999999</v>
      </c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</row>
    <row r="130" spans="2:32" s="250" customFormat="1" ht="12.75" thickTop="1">
      <c r="B130" s="224"/>
      <c r="C130" s="221"/>
      <c r="D130" s="221"/>
      <c r="F130" s="298"/>
      <c r="G130" s="302"/>
      <c r="H130" s="303"/>
      <c r="I130" s="303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</row>
    <row r="131" spans="2:32" s="250" customFormat="1" ht="12">
      <c r="B131" s="224"/>
      <c r="C131" s="221"/>
      <c r="D131" s="221"/>
      <c r="F131" s="298"/>
      <c r="G131" s="305"/>
      <c r="H131" s="306"/>
      <c r="I131" s="303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>
        <f>SUM(S10:S129)/3</f>
        <v>1063697.9000000001</v>
      </c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</row>
    <row r="132" spans="2:32">
      <c r="G132" s="256"/>
      <c r="H132" s="256"/>
      <c r="I132" s="256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</row>
    <row r="133" spans="2:32"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</row>
    <row r="134" spans="2:32"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</row>
    <row r="135" spans="2:32"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</row>
    <row r="136" spans="2:32"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</row>
    <row r="137" spans="2:32"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</row>
    <row r="138" spans="2:32"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</row>
    <row r="139" spans="2:32"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</row>
    <row r="140" spans="2:32"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</row>
    <row r="141" spans="2:32"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</row>
    <row r="153" spans="2:14" s="223" customFormat="1" ht="12">
      <c r="B153" s="224"/>
      <c r="J153" s="224"/>
      <c r="K153" s="224"/>
      <c r="L153" s="224"/>
      <c r="M153" s="224"/>
      <c r="N153" s="224"/>
    </row>
    <row r="154" spans="2:14" s="223" customFormat="1" ht="12">
      <c r="J154" s="224"/>
      <c r="K154" s="224"/>
      <c r="L154" s="224"/>
      <c r="M154" s="224"/>
      <c r="N154" s="224"/>
    </row>
    <row r="156" spans="2:14" s="223" customFormat="1" ht="12">
      <c r="J156" s="224"/>
      <c r="K156" s="224"/>
      <c r="L156" s="224"/>
      <c r="M156" s="224"/>
      <c r="N156" s="224"/>
    </row>
    <row r="157" spans="2:14" s="223" customFormat="1" ht="12">
      <c r="J157" s="224"/>
      <c r="K157" s="224"/>
      <c r="L157" s="224"/>
      <c r="M157" s="224"/>
      <c r="N157" s="224"/>
    </row>
    <row r="158" spans="2:14" s="223" customFormat="1" ht="12">
      <c r="J158" s="224"/>
      <c r="K158" s="224"/>
      <c r="L158" s="224"/>
      <c r="M158" s="224"/>
      <c r="N158" s="224"/>
    </row>
    <row r="160" spans="2:14" s="223" customFormat="1" ht="12">
      <c r="J160" s="224"/>
      <c r="K160" s="224"/>
      <c r="L160" s="224"/>
      <c r="M160" s="224"/>
      <c r="N160" s="224"/>
    </row>
    <row r="161" spans="10:14" s="223" customFormat="1" ht="12">
      <c r="J161" s="224"/>
      <c r="K161" s="224"/>
      <c r="L161" s="224"/>
      <c r="M161" s="224"/>
      <c r="N161" s="224"/>
    </row>
    <row r="162" spans="10:14" s="223" customFormat="1" ht="12">
      <c r="J162" s="224"/>
      <c r="K162" s="224"/>
      <c r="L162" s="224"/>
      <c r="M162" s="224"/>
      <c r="N162" s="224"/>
    </row>
    <row r="163" spans="10:14" s="223" customFormat="1" ht="12">
      <c r="J163" s="224"/>
      <c r="K163" s="224"/>
      <c r="L163" s="224"/>
      <c r="M163" s="224"/>
      <c r="N163" s="224"/>
    </row>
    <row r="164" spans="10:14" s="223" customFormat="1" ht="12">
      <c r="J164" s="224"/>
      <c r="K164" s="224"/>
      <c r="L164" s="224"/>
      <c r="M164" s="224"/>
      <c r="N164" s="224"/>
    </row>
  </sheetData>
  <autoFilter ref="A5:AM127"/>
  <mergeCells count="1">
    <mergeCell ref="AJ4:AN4"/>
  </mergeCells>
  <pageMargins left="0.7" right="0.7" top="0.75" bottom="0.75" header="0.3" footer="0.3"/>
  <pageSetup scale="80" fitToHeight="5" orientation="landscape" r:id="rId1"/>
  <headerFooter alignWithMargins="0">
    <oddHeader>&amp;R&amp;F
&amp;A</oddHeader>
    <oddFooter>&amp;L&amp;D&amp;C&amp;P&amp;R&amp;T</oddFooter>
  </headerFooter>
  <rowBreaks count="3" manualBreakCount="3">
    <brk id="41" min="2" max="32" man="1"/>
    <brk id="86" min="2" max="32" man="1"/>
    <brk id="120" min="2" max="3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S58"/>
  <sheetViews>
    <sheetView view="pageBreakPreview" zoomScaleNormal="100" zoomScaleSheetLayoutView="100" workbookViewId="0">
      <pane ySplit="1" topLeftCell="A2" activePane="bottomLeft" state="frozen"/>
      <selection activeCell="O52" sqref="O52"/>
      <selection pane="bottomLeft" activeCell="O52" sqref="O52"/>
    </sheetView>
  </sheetViews>
  <sheetFormatPr defaultRowHeight="15" outlineLevelCol="1"/>
  <cols>
    <col min="1" max="1" width="9.7109375" style="28" customWidth="1"/>
    <col min="2" max="3" width="36.140625" style="28" bestFit="1" customWidth="1"/>
    <col min="4" max="4" width="11.140625" customWidth="1"/>
    <col min="5" max="5" width="8.42578125" customWidth="1" outlineLevel="1"/>
    <col min="6" max="6" width="11.140625" customWidth="1"/>
    <col min="7" max="7" width="7.28515625" style="183" customWidth="1" outlineLevel="1"/>
    <col min="8" max="8" width="9.140625" customWidth="1"/>
    <col min="9" max="9" width="9.140625" customWidth="1" outlineLevel="1"/>
    <col min="10" max="10" width="10.140625" customWidth="1"/>
    <col min="11" max="11" width="9.140625" customWidth="1" outlineLevel="1"/>
    <col min="13" max="13" width="15.28515625" bestFit="1" customWidth="1"/>
  </cols>
  <sheetData>
    <row r="1" spans="1:15" ht="45">
      <c r="A1" s="65" t="s">
        <v>13</v>
      </c>
      <c r="B1" s="65" t="s">
        <v>155</v>
      </c>
      <c r="C1" s="65" t="s">
        <v>126</v>
      </c>
      <c r="D1" s="65" t="s">
        <v>127</v>
      </c>
      <c r="E1" s="65" t="s">
        <v>8</v>
      </c>
      <c r="F1" s="65" t="s">
        <v>150</v>
      </c>
      <c r="G1" s="182" t="s">
        <v>116</v>
      </c>
      <c r="H1" s="65" t="s">
        <v>151</v>
      </c>
      <c r="I1" s="65" t="s">
        <v>8</v>
      </c>
      <c r="J1" s="65" t="s">
        <v>152</v>
      </c>
      <c r="K1" s="184" t="s">
        <v>116</v>
      </c>
      <c r="M1" s="128"/>
    </row>
    <row r="2" spans="1:15">
      <c r="A2" s="145">
        <v>16</v>
      </c>
      <c r="B2" s="146" t="s">
        <v>257</v>
      </c>
      <c r="C2" s="146" t="str">
        <f>+'DF Calculation'!D7</f>
        <v>Oversized Can Extra</v>
      </c>
      <c r="D2" s="425">
        <f>SUMIFS('DF Calculation'!L:L,'DF Calculation'!B:B,'Rate Sheet'!A2,'DF Calculation'!C:C,'Rate Sheet'!B2)</f>
        <v>4.82</v>
      </c>
      <c r="E2" s="135">
        <f ca="1">F2-D2</f>
        <v>8.9999999999999858E-2</v>
      </c>
      <c r="F2" s="136">
        <f ca="1">SUMIFS('DF Calculation'!$O:$O,'DF Calculation'!$B:$B,'Rate Sheet'!A2,'DF Calculation'!$C:$C,'Rate Sheet'!B2)</f>
        <v>4.91</v>
      </c>
      <c r="G2" s="383" t="str">
        <f ca="1">IF(VLOOKUP($C2,'DF Calculation'!$D$7:$N$77,11,FALSE)-E2,"OK",VLOOKUP($C2,'DF Calculation'!$D$7:$N$77,11,FALSE)-E2)</f>
        <v>OK</v>
      </c>
      <c r="H2" s="425">
        <f>SUMIFS('DF Calculation'!M:M,'DF Calculation'!B:B,'Rate Sheet'!A2,'DF Calculation'!C:C,'Rate Sheet'!B2)</f>
        <v>4.8099999999999996</v>
      </c>
      <c r="I2" s="135">
        <f ca="1">J2-H2</f>
        <v>9.0000000000000746E-2</v>
      </c>
      <c r="J2" s="136">
        <f ca="1">SUMIFS('DF Calculation'!$P:$P,'DF Calculation'!$B:$B,'Rate Sheet'!A2,'DF Calculation'!$C:$C,'Rate Sheet'!B2)</f>
        <v>4.9000000000000004</v>
      </c>
      <c r="K2" s="424" t="str">
        <f ca="1">IF(VLOOKUP($C2,'DF Calculation'!$D$7:$N$77,11,FALSE)-I2,"OK",VLOOKUP($C2,'DF Calculation'!$D$7:$N$77,11,FALSE)-I2)</f>
        <v>OK</v>
      </c>
      <c r="L2" s="120">
        <f ca="1">+E2-I2</f>
        <v>-8.8817841970012523E-16</v>
      </c>
      <c r="O2" s="120"/>
    </row>
    <row r="3" spans="1:15">
      <c r="A3" s="145">
        <v>21</v>
      </c>
      <c r="B3" s="146" t="s">
        <v>190</v>
      </c>
      <c r="C3" s="146" t="str">
        <f>VLOOKUP(B3,'DF Calculation'!$C$8:$D$71,2,FALSE)</f>
        <v>1-35 gal Cart EOWG</v>
      </c>
      <c r="D3" s="425">
        <f>SUMIFS('DF Calculation'!L:L,'DF Calculation'!B:B,'Rate Sheet'!$A3,'DF Calculation'!C:C,'Rate Sheet'!$B3)</f>
        <v>11.61</v>
      </c>
      <c r="E3" s="135">
        <f t="shared" ref="E3:E21" ca="1" si="0">F3-D3</f>
        <v>0.21000000000000085</v>
      </c>
      <c r="F3" s="136">
        <f ca="1">SUMIFS('DF Calculation'!$O:$O,'DF Calculation'!$B:$B,'Rate Sheet'!$A3,'DF Calculation'!$C:$C,'Rate Sheet'!$B3)</f>
        <v>11.82</v>
      </c>
      <c r="G3" s="383" t="str">
        <f ca="1">IF(VLOOKUP($C3,'DF Calculation'!$D$7:$N$77,11,FALSE)-E3,"OK",VLOOKUP($C3,'DF Calculation'!$D$7:$N$77,11,FALSE)-E3)</f>
        <v>OK</v>
      </c>
      <c r="H3" s="425">
        <f>SUMIFS('DF Calculation'!M:M,'DF Calculation'!B:B,'Rate Sheet'!$A3,'DF Calculation'!C:C,'Rate Sheet'!$B3)</f>
        <v>11.58</v>
      </c>
      <c r="I3" s="135">
        <f t="shared" ref="I3:I20" ca="1" si="1">J3-H3</f>
        <v>0.20999999999999908</v>
      </c>
      <c r="J3" s="136">
        <f ca="1">SUMIFS('DF Calculation'!$P:$P,'DF Calculation'!$B:$B,'Rate Sheet'!$A3,'DF Calculation'!$C:$C,'Rate Sheet'!$B3)</f>
        <v>11.79</v>
      </c>
      <c r="K3" s="424" t="str">
        <f ca="1">IF(VLOOKUP($C3,'DF Calculation'!$D$7:$N$77,11,FALSE)-I3,"OK",VLOOKUP($C3,'DF Calculation'!$D$7:$N$77,11,FALSE)-I3)</f>
        <v>OK</v>
      </c>
      <c r="L3" s="120">
        <f t="shared" ref="L3:L20" ca="1" si="2">+E3-I3</f>
        <v>1.7763568394002505E-15</v>
      </c>
      <c r="O3" s="120"/>
    </row>
    <row r="4" spans="1:15">
      <c r="A4" s="145">
        <v>21</v>
      </c>
      <c r="B4" s="146" t="s">
        <v>192</v>
      </c>
      <c r="C4" s="146" t="str">
        <f>VLOOKUP(B4,'DF Calculation'!$C$8:$D$71,2,FALSE)</f>
        <v>1-48 gal Cart EOWG</v>
      </c>
      <c r="D4" s="425">
        <f>SUMIFS('DF Calculation'!L:L,'DF Calculation'!B:B,'Rate Sheet'!$A4,'DF Calculation'!C:C,'Rate Sheet'!$B4)</f>
        <v>15.33</v>
      </c>
      <c r="E4" s="135">
        <f t="shared" ca="1" si="0"/>
        <v>0.27999999999999936</v>
      </c>
      <c r="F4" s="136">
        <f ca="1">SUMIFS('DF Calculation'!$O:$O,'DF Calculation'!$B:$B,'Rate Sheet'!$A4,'DF Calculation'!$C:$C,'Rate Sheet'!$B4)</f>
        <v>15.61</v>
      </c>
      <c r="G4" s="383" t="str">
        <f ca="1">IF(VLOOKUP($C4,'DF Calculation'!$D$7:$N$77,11,FALSE)-E4,"OK",VLOOKUP($C4,'DF Calculation'!$D$7:$N$77,11,FALSE)-E4)</f>
        <v>OK</v>
      </c>
      <c r="H4" s="425">
        <f>SUMIFS('DF Calculation'!M:M,'DF Calculation'!B:B,'Rate Sheet'!$A4,'DF Calculation'!C:C,'Rate Sheet'!$B4)</f>
        <v>15.29</v>
      </c>
      <c r="I4" s="135">
        <f t="shared" ca="1" si="1"/>
        <v>0.28000000000000114</v>
      </c>
      <c r="J4" s="136">
        <f ca="1">SUMIFS('DF Calculation'!$P:$P,'DF Calculation'!$B:$B,'Rate Sheet'!$A4,'DF Calculation'!$C:$C,'Rate Sheet'!$B4)</f>
        <v>15.57</v>
      </c>
      <c r="K4" s="424" t="str">
        <f ca="1">IF(VLOOKUP($C4,'DF Calculation'!$D$7:$N$77,11,FALSE)-I4,"OK",VLOOKUP($C4,'DF Calculation'!$D$7:$N$77,11,FALSE)-I4)</f>
        <v>OK</v>
      </c>
      <c r="L4" s="120">
        <f t="shared" ca="1" si="2"/>
        <v>-1.7763568394002505E-15</v>
      </c>
      <c r="O4" s="120"/>
    </row>
    <row r="5" spans="1:15">
      <c r="A5" s="145">
        <v>21</v>
      </c>
      <c r="B5" s="146" t="s">
        <v>194</v>
      </c>
      <c r="C5" s="146" t="str">
        <f>VLOOKUP(B5,'DF Calculation'!$C$8:$D$71,2,FALSE)</f>
        <v>1-64 gal Cart EOWG</v>
      </c>
      <c r="D5" s="425">
        <f>SUMIFS('DF Calculation'!L:L,'DF Calculation'!B:B,'Rate Sheet'!$A5,'DF Calculation'!C:C,'Rate Sheet'!$B5)</f>
        <v>18.27</v>
      </c>
      <c r="E5" s="135">
        <f t="shared" ca="1" si="0"/>
        <v>0.30000000000000071</v>
      </c>
      <c r="F5" s="136">
        <f ca="1">SUMIFS('DF Calculation'!$O:$O,'DF Calculation'!$B:$B,'Rate Sheet'!$A5,'DF Calculation'!$C:$C,'Rate Sheet'!$B5)</f>
        <v>18.57</v>
      </c>
      <c r="G5" s="383" t="str">
        <f ca="1">IF(VLOOKUP($C5,'DF Calculation'!$D$7:$N$77,11,FALSE)-E5,"OK",VLOOKUP($C5,'DF Calculation'!$D$7:$N$77,11,FALSE)-E5)</f>
        <v>OK</v>
      </c>
      <c r="H5" s="425">
        <f>SUMIFS('DF Calculation'!M:M,'DF Calculation'!B:B,'Rate Sheet'!$A5,'DF Calculation'!C:C,'Rate Sheet'!$B5)</f>
        <v>18.22</v>
      </c>
      <c r="I5" s="135">
        <f t="shared" ca="1" si="1"/>
        <v>0.30000000000000071</v>
      </c>
      <c r="J5" s="136">
        <f ca="1">SUMIFS('DF Calculation'!$P:$P,'DF Calculation'!$B:$B,'Rate Sheet'!$A5,'DF Calculation'!$C:$C,'Rate Sheet'!$B5)</f>
        <v>18.52</v>
      </c>
      <c r="K5" s="424" t="str">
        <f ca="1">IF(VLOOKUP($C5,'DF Calculation'!$D$7:$N$77,11,FALSE)-I5,"OK",VLOOKUP($C5,'DF Calculation'!$D$7:$N$77,11,FALSE)-I5)</f>
        <v>OK</v>
      </c>
      <c r="L5" s="120">
        <f t="shared" ca="1" si="2"/>
        <v>0</v>
      </c>
      <c r="O5" s="120"/>
    </row>
    <row r="6" spans="1:15">
      <c r="A6" s="145">
        <v>21</v>
      </c>
      <c r="B6" s="146" t="s">
        <v>196</v>
      </c>
      <c r="C6" s="146" t="str">
        <f>VLOOKUP(B6,'DF Calculation'!$C$8:$D$71,2,FALSE)</f>
        <v>1-96 gal Cart EOWG</v>
      </c>
      <c r="D6" s="425">
        <f>SUMIFS('DF Calculation'!L:L,'DF Calculation'!B:B,'Rate Sheet'!$A6,'DF Calculation'!C:C,'Rate Sheet'!$B6)</f>
        <v>22.94</v>
      </c>
      <c r="E6" s="135">
        <f t="shared" ca="1" si="0"/>
        <v>0.44999999999999929</v>
      </c>
      <c r="F6" s="136">
        <f ca="1">SUMIFS('DF Calculation'!$O:$O,'DF Calculation'!$B:$B,'Rate Sheet'!$A6,'DF Calculation'!$C:$C,'Rate Sheet'!$B6)</f>
        <v>23.39</v>
      </c>
      <c r="G6" s="383" t="str">
        <f ca="1">IF(VLOOKUP($C6,'DF Calculation'!$D$7:$N$77,11,FALSE)-E6,"OK",VLOOKUP($C6,'DF Calculation'!$D$7:$N$77,11,FALSE)-E6)</f>
        <v>OK</v>
      </c>
      <c r="H6" s="425">
        <f>SUMIFS('DF Calculation'!M:M,'DF Calculation'!B:B,'Rate Sheet'!$A6,'DF Calculation'!C:C,'Rate Sheet'!$B6)</f>
        <v>22.88</v>
      </c>
      <c r="I6" s="135">
        <f t="shared" ca="1" si="1"/>
        <v>0.44999999999999929</v>
      </c>
      <c r="J6" s="136">
        <f ca="1">SUMIFS('DF Calculation'!$P:$P,'DF Calculation'!$B:$B,'Rate Sheet'!$A6,'DF Calculation'!$C:$C,'Rate Sheet'!$B6)</f>
        <v>23.33</v>
      </c>
      <c r="K6" s="424" t="str">
        <f ca="1">IF(VLOOKUP($C6,'DF Calculation'!$D$7:$N$77,11,FALSE)-I6,"OK",VLOOKUP($C6,'DF Calculation'!$D$7:$N$77,11,FALSE)-I6)</f>
        <v>OK</v>
      </c>
      <c r="L6" s="120">
        <f t="shared" ca="1" si="2"/>
        <v>0</v>
      </c>
      <c r="O6" s="120"/>
    </row>
    <row r="7" spans="1:15">
      <c r="A7" s="145">
        <v>21</v>
      </c>
      <c r="B7" s="146" t="s">
        <v>198</v>
      </c>
      <c r="C7" s="146" t="str">
        <f>VLOOKUP(B7,'DF Calculation'!$C$8:$D$71,2,FALSE)</f>
        <v>1-20 gal Mini Can WG</v>
      </c>
      <c r="D7" s="425">
        <f>SUMIFS('DF Calculation'!L:L,'DF Calculation'!B:B,'Rate Sheet'!$A7,'DF Calculation'!C:C,'Rate Sheet'!$B7)</f>
        <v>14.25</v>
      </c>
      <c r="E7" s="135">
        <f t="shared" ca="1" si="0"/>
        <v>0.23000000000000043</v>
      </c>
      <c r="F7" s="136">
        <f ca="1">SUMIFS('DF Calculation'!$O:$O,'DF Calculation'!$B:$B,'Rate Sheet'!$A7,'DF Calculation'!$C:$C,'Rate Sheet'!$B7)</f>
        <v>14.48</v>
      </c>
      <c r="G7" s="383" t="str">
        <f ca="1">IF(VLOOKUP($C7,'DF Calculation'!$D$7:$N$77,11,FALSE)-E7,"OK",VLOOKUP($C7,'DF Calculation'!$D$7:$N$77,11,FALSE)-E7)</f>
        <v>OK</v>
      </c>
      <c r="H7" s="425">
        <f>SUMIFS('DF Calculation'!M:M,'DF Calculation'!B:B,'Rate Sheet'!$A7,'DF Calculation'!C:C,'Rate Sheet'!$B7)</f>
        <v>14.21</v>
      </c>
      <c r="I7" s="135">
        <f t="shared" ca="1" si="1"/>
        <v>0.22999999999999865</v>
      </c>
      <c r="J7" s="136">
        <f ca="1">SUMIFS('DF Calculation'!$P:$P,'DF Calculation'!$B:$B,'Rate Sheet'!$A7,'DF Calculation'!$C:$C,'Rate Sheet'!$B7)</f>
        <v>14.44</v>
      </c>
      <c r="K7" s="424" t="str">
        <f ca="1">IF(VLOOKUP($C7,'DF Calculation'!$D$7:$N$77,11,FALSE)-I7,"OK",VLOOKUP($C7,'DF Calculation'!$D$7:$N$77,11,FALSE)-I7)</f>
        <v>OK</v>
      </c>
      <c r="L7" s="120">
        <f t="shared" ca="1" si="2"/>
        <v>1.7763568394002505E-15</v>
      </c>
      <c r="O7" s="120"/>
    </row>
    <row r="8" spans="1:15">
      <c r="A8" s="145">
        <v>21</v>
      </c>
      <c r="B8" s="146" t="s">
        <v>200</v>
      </c>
      <c r="C8" s="146" t="str">
        <f>VLOOKUP(B8,'DF Calculation'!$C$8:$D$71,2,FALSE)</f>
        <v>1-35 gal Cart WG</v>
      </c>
      <c r="D8" s="425">
        <f>SUMIFS('DF Calculation'!L:L,'DF Calculation'!B:B,'Rate Sheet'!$A8,'DF Calculation'!C:C,'Rate Sheet'!$B8)</f>
        <v>19.579999999999998</v>
      </c>
      <c r="E8" s="135">
        <f t="shared" ca="1" si="0"/>
        <v>0.43000000000000327</v>
      </c>
      <c r="F8" s="136">
        <f ca="1">SUMIFS('DF Calculation'!$O:$O,'DF Calculation'!$B:$B,'Rate Sheet'!$A8,'DF Calculation'!$C:$C,'Rate Sheet'!$B8)</f>
        <v>20.010000000000002</v>
      </c>
      <c r="G8" s="383" t="str">
        <f ca="1">IF(VLOOKUP($C8,'DF Calculation'!$D$7:$N$77,11,FALSE)-E8,"OK",VLOOKUP($C8,'DF Calculation'!$D$7:$N$77,11,FALSE)-E8)</f>
        <v>OK</v>
      </c>
      <c r="H8" s="425">
        <f>SUMIFS('DF Calculation'!M:M,'DF Calculation'!B:B,'Rate Sheet'!$A8,'DF Calculation'!C:C,'Rate Sheet'!$B8)</f>
        <v>19.53</v>
      </c>
      <c r="I8" s="135">
        <f t="shared" ca="1" si="1"/>
        <v>0.42999999999999972</v>
      </c>
      <c r="J8" s="136">
        <f ca="1">SUMIFS('DF Calculation'!$P:$P,'DF Calculation'!$B:$B,'Rate Sheet'!$A8,'DF Calculation'!$C:$C,'Rate Sheet'!$B8)</f>
        <v>19.96</v>
      </c>
      <c r="K8" s="424" t="str">
        <f ca="1">IF(VLOOKUP($C8,'DF Calculation'!$D$7:$N$77,11,FALSE)-I8,"OK",VLOOKUP($C8,'DF Calculation'!$D$7:$N$77,11,FALSE)-I8)</f>
        <v>OK</v>
      </c>
      <c r="L8" s="120">
        <f t="shared" ca="1" si="2"/>
        <v>3.5527136788005009E-15</v>
      </c>
      <c r="O8" s="120"/>
    </row>
    <row r="9" spans="1:15">
      <c r="A9" s="145">
        <v>21</v>
      </c>
      <c r="B9" s="146" t="s">
        <v>202</v>
      </c>
      <c r="C9" s="146" t="str">
        <f>VLOOKUP(B9,'DF Calculation'!$C$8:$D$71,2,FALSE)</f>
        <v>1-48 gal Cart WG</v>
      </c>
      <c r="D9" s="425">
        <f>SUMIFS('DF Calculation'!L:L,'DF Calculation'!B:B,'Rate Sheet'!A9,'DF Calculation'!C:C,'Rate Sheet'!B9)</f>
        <v>24.88</v>
      </c>
      <c r="E9" s="135">
        <f t="shared" ca="1" si="0"/>
        <v>0.56000000000000227</v>
      </c>
      <c r="F9" s="136">
        <f ca="1">SUMIFS('DF Calculation'!$O:$O,'DF Calculation'!$B:$B,'Rate Sheet'!A9,'DF Calculation'!$C:$C,'Rate Sheet'!B9)</f>
        <v>25.44</v>
      </c>
      <c r="G9" s="383" t="str">
        <f ca="1">IF(VLOOKUP($C9,'DF Calculation'!$D$7:$N$77,11,FALSE)-E9,"OK",VLOOKUP($C9,'DF Calculation'!$D$7:$N$77,11,FALSE)-E9)</f>
        <v>OK</v>
      </c>
      <c r="H9" s="425">
        <f>SUMIFS('DF Calculation'!M:M,'DF Calculation'!B:B,'Rate Sheet'!A9,'DF Calculation'!C:C,'Rate Sheet'!B9)</f>
        <v>24.81</v>
      </c>
      <c r="I9" s="135">
        <f t="shared" ca="1" si="1"/>
        <v>0.56000000000000227</v>
      </c>
      <c r="J9" s="136">
        <f ca="1">SUMIFS('DF Calculation'!$P:$P,'DF Calculation'!$B:$B,'Rate Sheet'!A9,'DF Calculation'!$C:$C,'Rate Sheet'!B9)</f>
        <v>25.37</v>
      </c>
      <c r="K9" s="424" t="str">
        <f ca="1">IF(VLOOKUP($C9,'DF Calculation'!$D$7:$N$77,11,FALSE)-I9,"OK",VLOOKUP($C9,'DF Calculation'!$D$7:$N$77,11,FALSE)-I9)</f>
        <v>OK</v>
      </c>
      <c r="L9" s="120">
        <f t="shared" ca="1" si="2"/>
        <v>0</v>
      </c>
      <c r="O9" s="120"/>
    </row>
    <row r="10" spans="1:15">
      <c r="A10" s="145">
        <v>21</v>
      </c>
      <c r="B10" s="146" t="s">
        <v>204</v>
      </c>
      <c r="C10" s="146" t="str">
        <f>VLOOKUP(B10,'DF Calculation'!$C$8:$D$71,2,FALSE)</f>
        <v>1-64 gal Cart WG</v>
      </c>
      <c r="D10" s="425">
        <f>SUMIFS('DF Calculation'!L:L,'DF Calculation'!B:B,'Rate Sheet'!A10,'DF Calculation'!C:C,'Rate Sheet'!B10)</f>
        <v>30.32</v>
      </c>
      <c r="E10" s="135">
        <f t="shared" ca="1" si="0"/>
        <v>0.58999999999999986</v>
      </c>
      <c r="F10" s="136">
        <f ca="1">SUMIFS('DF Calculation'!$O:$O,'DF Calculation'!$B:$B,'Rate Sheet'!A10,'DF Calculation'!$C:$C,'Rate Sheet'!B10)</f>
        <v>30.91</v>
      </c>
      <c r="G10" s="383" t="str">
        <f ca="1">IF(VLOOKUP($C10,'DF Calculation'!$D$7:$N$77,11,FALSE)-E10,"OK",VLOOKUP($C10,'DF Calculation'!$D$7:$N$77,11,FALSE)-E10)</f>
        <v>OK</v>
      </c>
      <c r="H10" s="425">
        <f>SUMIFS('DF Calculation'!M:M,'DF Calculation'!B:B,'Rate Sheet'!A10,'DF Calculation'!C:C,'Rate Sheet'!B10)</f>
        <v>30.24</v>
      </c>
      <c r="I10" s="135">
        <f t="shared" ca="1" si="1"/>
        <v>0.58999999999999986</v>
      </c>
      <c r="J10" s="136">
        <f ca="1">SUMIFS('DF Calculation'!$P:$P,'DF Calculation'!$B:$B,'Rate Sheet'!A10,'DF Calculation'!$C:$C,'Rate Sheet'!B10)</f>
        <v>30.83</v>
      </c>
      <c r="K10" s="424" t="str">
        <f ca="1">IF(VLOOKUP($C10,'DF Calculation'!$D$7:$N$77,11,FALSE)-I10,"OK",VLOOKUP($C10,'DF Calculation'!$D$7:$N$77,11,FALSE)-I10)</f>
        <v>OK</v>
      </c>
      <c r="L10" s="120">
        <f t="shared" ca="1" si="2"/>
        <v>0</v>
      </c>
      <c r="O10" s="120"/>
    </row>
    <row r="11" spans="1:15" s="127" customFormat="1">
      <c r="A11" s="145">
        <v>21</v>
      </c>
      <c r="B11" s="137" t="s">
        <v>206</v>
      </c>
      <c r="C11" s="146" t="str">
        <f>VLOOKUP(B11,'DF Calculation'!$C$8:$D$71,2,FALSE)</f>
        <v>1-96 gal Cart WG</v>
      </c>
      <c r="D11" s="425">
        <f>SUMIFS('DF Calculation'!L:L,'DF Calculation'!B:B,'Rate Sheet'!A11,'DF Calculation'!C:C,'Rate Sheet'!B11)</f>
        <v>37.94</v>
      </c>
      <c r="E11" s="135">
        <f t="shared" ca="1" si="0"/>
        <v>0.89000000000000057</v>
      </c>
      <c r="F11" s="136">
        <f ca="1">SUMIFS('DF Calculation'!$O:$O,'DF Calculation'!$B:$B,'Rate Sheet'!A11,'DF Calculation'!$C:$C,'Rate Sheet'!B11)</f>
        <v>38.83</v>
      </c>
      <c r="G11" s="383" t="str">
        <f ca="1">IF(VLOOKUP($C11,'DF Calculation'!$D$7:$N$77,11,FALSE)-E11,"OK",VLOOKUP($C11,'DF Calculation'!$D$7:$N$77,11,FALSE)-E11)</f>
        <v>OK</v>
      </c>
      <c r="H11" s="425">
        <f>SUMIFS('DF Calculation'!M:M,'DF Calculation'!B:B,'Rate Sheet'!A11,'DF Calculation'!C:C,'Rate Sheet'!B11)</f>
        <v>37.840000000000003</v>
      </c>
      <c r="I11" s="135">
        <f t="shared" ca="1" si="1"/>
        <v>0.88999999999999346</v>
      </c>
      <c r="J11" s="136">
        <f ca="1">SUMIFS('DF Calculation'!$P:$P,'DF Calculation'!$B:$B,'Rate Sheet'!A11,'DF Calculation'!$C:$C,'Rate Sheet'!B11)</f>
        <v>38.729999999999997</v>
      </c>
      <c r="K11" s="424" t="str">
        <f ca="1">IF(VLOOKUP($C11,'DF Calculation'!$D$7:$N$77,11,FALSE)-I11,"OK",VLOOKUP($C11,'DF Calculation'!$D$7:$N$77,11,FALSE)-I11)</f>
        <v>OK</v>
      </c>
      <c r="L11" s="120">
        <f t="shared" ca="1" si="2"/>
        <v>7.1054273576010019E-15</v>
      </c>
      <c r="O11" s="120"/>
    </row>
    <row r="12" spans="1:15">
      <c r="A12" s="145">
        <v>21</v>
      </c>
      <c r="B12" s="146" t="s">
        <v>208</v>
      </c>
      <c r="C12" s="146" t="str">
        <f>VLOOKUP(B12,'DF Calculation'!$C$8:$D$71,2,FALSE)</f>
        <v>1-35 gal Cart MG</v>
      </c>
      <c r="D12" s="425">
        <f>SUMIFS('DF Calculation'!L:L,'DF Calculation'!B:B,'Rate Sheet'!A12,'DF Calculation'!C:C,'Rate Sheet'!B12)</f>
        <v>6.87</v>
      </c>
      <c r="E12" s="135">
        <f t="shared" ca="1" si="0"/>
        <v>9.9999999999999645E-2</v>
      </c>
      <c r="F12" s="136">
        <f ca="1">SUMIFS('DF Calculation'!$O:$O,'DF Calculation'!$B:$B,'Rate Sheet'!A12,'DF Calculation'!$C:$C,'Rate Sheet'!B12)</f>
        <v>6.97</v>
      </c>
      <c r="G12" s="383" t="str">
        <f ca="1">IF(VLOOKUP($C12,'DF Calculation'!$D$7:$N$77,11,FALSE)-E12,"OK",VLOOKUP($C12,'DF Calculation'!$D$7:$N$77,11,FALSE)-E12)</f>
        <v>OK</v>
      </c>
      <c r="H12" s="425">
        <f>SUMIFS('DF Calculation'!M:M,'DF Calculation'!B:B,'Rate Sheet'!A12,'DF Calculation'!C:C,'Rate Sheet'!B12)</f>
        <v>6.85</v>
      </c>
      <c r="I12" s="135">
        <f t="shared" ca="1" si="1"/>
        <v>0.10000000000000053</v>
      </c>
      <c r="J12" s="136">
        <f ca="1">SUMIFS('DF Calculation'!$P:$P,'DF Calculation'!$B:$B,'Rate Sheet'!A12,'DF Calculation'!$C:$C,'Rate Sheet'!B12)</f>
        <v>6.95</v>
      </c>
      <c r="K12" s="424" t="str">
        <f ca="1">IF(VLOOKUP($C12,'DF Calculation'!$D$7:$N$77,11,FALSE)-I12,"OK",VLOOKUP($C12,'DF Calculation'!$D$7:$N$77,11,FALSE)-I12)</f>
        <v>OK</v>
      </c>
      <c r="L12" s="120">
        <f t="shared" ca="1" si="2"/>
        <v>-8.8817841970012523E-16</v>
      </c>
      <c r="O12" s="120"/>
    </row>
    <row r="13" spans="1:15">
      <c r="A13" s="145">
        <v>21</v>
      </c>
      <c r="B13" s="146" t="s">
        <v>210</v>
      </c>
      <c r="C13" s="146" t="str">
        <f>VLOOKUP(B13,'DF Calculation'!$C$8:$D$71,2,FALSE)</f>
        <v>1-48 gal Cart MG</v>
      </c>
      <c r="D13" s="425">
        <f>SUMIFS('DF Calculation'!L:L,'DF Calculation'!B:B,'Rate Sheet'!A13,'DF Calculation'!C:C,'Rate Sheet'!B13)</f>
        <v>8.61</v>
      </c>
      <c r="E13" s="135">
        <f t="shared" ca="1" si="0"/>
        <v>0.13000000000000078</v>
      </c>
      <c r="F13" s="136">
        <f ca="1">SUMIFS('DF Calculation'!$O:$O,'DF Calculation'!$B:$B,'Rate Sheet'!A13,'DF Calculation'!$C:$C,'Rate Sheet'!B13)</f>
        <v>8.74</v>
      </c>
      <c r="G13" s="383" t="str">
        <f ca="1">IF(VLOOKUP($C13,'DF Calculation'!$D$7:$N$77,11,FALSE)-E13,"OK",VLOOKUP($C13,'DF Calculation'!$D$7:$N$77,11,FALSE)-E13)</f>
        <v>OK</v>
      </c>
      <c r="H13" s="425">
        <f>SUMIFS('DF Calculation'!M:M,'DF Calculation'!B:B,'Rate Sheet'!A13,'DF Calculation'!C:C,'Rate Sheet'!B13)</f>
        <v>8.58</v>
      </c>
      <c r="I13" s="135">
        <f t="shared" ca="1" si="1"/>
        <v>0.13000000000000078</v>
      </c>
      <c r="J13" s="136">
        <f ca="1">SUMIFS('DF Calculation'!$P:$P,'DF Calculation'!$B:$B,'Rate Sheet'!A13,'DF Calculation'!$C:$C,'Rate Sheet'!B13)</f>
        <v>8.7100000000000009</v>
      </c>
      <c r="K13" s="424" t="str">
        <f ca="1">IF(VLOOKUP($C13,'DF Calculation'!$D$7:$N$77,11,FALSE)-I13,"OK",VLOOKUP($C13,'DF Calculation'!$D$7:$N$77,11,FALSE)-I13)</f>
        <v>OK</v>
      </c>
      <c r="L13" s="120">
        <f t="shared" ca="1" si="2"/>
        <v>0</v>
      </c>
      <c r="O13" s="120"/>
    </row>
    <row r="14" spans="1:15">
      <c r="A14" s="145">
        <v>21</v>
      </c>
      <c r="B14" s="146" t="s">
        <v>212</v>
      </c>
      <c r="C14" s="146" t="str">
        <f>VLOOKUP(B14,'DF Calculation'!$C$8:$D$71,2,FALSE)</f>
        <v>1-64 gal Cart MG</v>
      </c>
      <c r="D14" s="425">
        <f>SUMIFS('DF Calculation'!L:L,'DF Calculation'!B:B,'Rate Sheet'!A14,'DF Calculation'!C:C,'Rate Sheet'!B14)</f>
        <v>10.16</v>
      </c>
      <c r="E14" s="135">
        <f t="shared" ca="1" si="0"/>
        <v>0.14000000000000057</v>
      </c>
      <c r="F14" s="136">
        <f ca="1">SUMIFS('DF Calculation'!$O:$O,'DF Calculation'!$B:$B,'Rate Sheet'!A14,'DF Calculation'!$C:$C,'Rate Sheet'!B14)</f>
        <v>10.3</v>
      </c>
      <c r="G14" s="383" t="str">
        <f ca="1">IF(VLOOKUP($C14,'DF Calculation'!$D$7:$N$77,11,FALSE)-E14,"OK",VLOOKUP($C14,'DF Calculation'!$D$7:$N$77,11,FALSE)-E14)</f>
        <v>OK</v>
      </c>
      <c r="H14" s="425">
        <f>SUMIFS('DF Calculation'!M:M,'DF Calculation'!B:B,'Rate Sheet'!A14,'DF Calculation'!C:C,'Rate Sheet'!B14)</f>
        <v>10.130000000000001</v>
      </c>
      <c r="I14" s="135">
        <f t="shared" ca="1" si="1"/>
        <v>0.13999999999999879</v>
      </c>
      <c r="J14" s="136">
        <f ca="1">SUMIFS('DF Calculation'!$P:$P,'DF Calculation'!$B:$B,'Rate Sheet'!A14,'DF Calculation'!$C:$C,'Rate Sheet'!B14)</f>
        <v>10.27</v>
      </c>
      <c r="K14" s="424" t="str">
        <f ca="1">IF(VLOOKUP($C14,'DF Calculation'!$D$7:$N$77,11,FALSE)-I14,"OK",VLOOKUP($C14,'DF Calculation'!$D$7:$N$77,11,FALSE)-I14)</f>
        <v>OK</v>
      </c>
      <c r="L14" s="120">
        <f t="shared" ca="1" si="2"/>
        <v>1.7763568394002505E-15</v>
      </c>
      <c r="O14" s="120"/>
    </row>
    <row r="15" spans="1:15" s="127" customFormat="1">
      <c r="A15" s="145">
        <v>21</v>
      </c>
      <c r="B15" s="137" t="s">
        <v>214</v>
      </c>
      <c r="C15" s="146" t="str">
        <f>VLOOKUP(B15,'DF Calculation'!$C$8:$D$71,2,FALSE)</f>
        <v>1-96 gal Cart MG</v>
      </c>
      <c r="D15" s="425">
        <f>SUMIFS('DF Calculation'!L:L,'DF Calculation'!B:B,'Rate Sheet'!A15,'DF Calculation'!C:C,'Rate Sheet'!B15)</f>
        <v>12.54</v>
      </c>
      <c r="E15" s="135">
        <f t="shared" ca="1" si="0"/>
        <v>0.21000000000000085</v>
      </c>
      <c r="F15" s="136">
        <f ca="1">SUMIFS('DF Calculation'!$O:$O,'DF Calculation'!$B:$B,'Rate Sheet'!A15,'DF Calculation'!$C:$C,'Rate Sheet'!B15)</f>
        <v>12.75</v>
      </c>
      <c r="G15" s="383" t="str">
        <f ca="1">IF(VLOOKUP($C15,'DF Calculation'!$D$7:$N$77,11,FALSE)-E15,"OK",VLOOKUP($C15,'DF Calculation'!$D$7:$N$77,11,FALSE)-E15)</f>
        <v>OK</v>
      </c>
      <c r="H15" s="425">
        <f>SUMIFS('DF Calculation'!M:M,'DF Calculation'!B:B,'Rate Sheet'!A15,'DF Calculation'!C:C,'Rate Sheet'!B15)</f>
        <v>12.51</v>
      </c>
      <c r="I15" s="135">
        <f t="shared" ca="1" si="1"/>
        <v>0.21000000000000085</v>
      </c>
      <c r="J15" s="136">
        <f ca="1">SUMIFS('DF Calculation'!$P:$P,'DF Calculation'!$B:$B,'Rate Sheet'!A15,'DF Calculation'!$C:$C,'Rate Sheet'!B15)</f>
        <v>12.72</v>
      </c>
      <c r="K15" s="424" t="str">
        <f ca="1">IF(VLOOKUP($C15,'DF Calculation'!$D$7:$N$77,11,FALSE)-I15,"OK",VLOOKUP($C15,'DF Calculation'!$D$7:$N$77,11,FALSE)-I15)</f>
        <v>OK</v>
      </c>
      <c r="L15" s="120">
        <f t="shared" ca="1" si="2"/>
        <v>0</v>
      </c>
      <c r="O15" s="120"/>
    </row>
    <row r="16" spans="1:15" s="127" customFormat="1">
      <c r="A16" s="145">
        <v>22</v>
      </c>
      <c r="B16" s="137" t="s">
        <v>216</v>
      </c>
      <c r="C16" s="146" t="str">
        <f>VLOOKUP(B16,'DF Calculation'!$C$8:$D$71,2,FALSE)</f>
        <v>Extra Pickup Extra</v>
      </c>
      <c r="D16" s="425">
        <f>SUMIFS('DF Calculation'!L:L,'DF Calculation'!B:B,'Rate Sheet'!A16,'DF Calculation'!C:C,'Rate Sheet'!B16)</f>
        <v>4.82</v>
      </c>
      <c r="E16" s="135">
        <f t="shared" ca="1" si="0"/>
        <v>8.9999999999999858E-2</v>
      </c>
      <c r="F16" s="136">
        <f ca="1">SUMIFS('DF Calculation'!$O:$O,'DF Calculation'!$B:$B,'Rate Sheet'!A16,'DF Calculation'!$C:$C,'Rate Sheet'!B16)</f>
        <v>4.91</v>
      </c>
      <c r="G16" s="383" t="str">
        <f ca="1">IF(VLOOKUP($C16,'DF Calculation'!$D$7:$N$77,11,FALSE)-E16,"OK",VLOOKUP($C16,'DF Calculation'!$D$7:$N$77,11,FALSE)-E16)</f>
        <v>OK</v>
      </c>
      <c r="H16" s="425">
        <f>SUMIFS('DF Calculation'!M:M,'DF Calculation'!B:B,'Rate Sheet'!A16,'DF Calculation'!C:C,'Rate Sheet'!B16)</f>
        <v>4.8099999999999996</v>
      </c>
      <c r="I16" s="135">
        <f t="shared" ca="1" si="1"/>
        <v>9.0000000000000746E-2</v>
      </c>
      <c r="J16" s="136">
        <f ca="1">SUMIFS('DF Calculation'!$P:$P,'DF Calculation'!$B:$B,'Rate Sheet'!A16,'DF Calculation'!$C:$C,'Rate Sheet'!B16)</f>
        <v>4.9000000000000004</v>
      </c>
      <c r="K16" s="424" t="str">
        <f ca="1">IF(VLOOKUP($C16,'DF Calculation'!$D$7:$N$77,11,FALSE)-I16,"OK",VLOOKUP($C16,'DF Calculation'!$D$7:$N$77,11,FALSE)-I16)</f>
        <v>OK</v>
      </c>
      <c r="L16" s="120">
        <f t="shared" ca="1" si="2"/>
        <v>-8.8817841970012523E-16</v>
      </c>
      <c r="O16" s="120"/>
    </row>
    <row r="17" spans="1:19">
      <c r="A17" s="145">
        <v>22</v>
      </c>
      <c r="B17" s="146" t="s">
        <v>220</v>
      </c>
      <c r="C17" s="146" t="str">
        <f>VLOOKUP(B17,'DF Calculation'!$C$8:$D$71,2,FALSE)</f>
        <v>1-35 gal Cart On Call Svc</v>
      </c>
      <c r="D17" s="425">
        <f>SUMIFS('DF Calculation'!L:L,'DF Calculation'!B:B,'Rate Sheet'!A17,'DF Calculation'!C:C,'Rate Sheet'!B17)</f>
        <v>6.87</v>
      </c>
      <c r="E17" s="135">
        <f t="shared" ca="1" si="0"/>
        <v>9.9999999999999645E-2</v>
      </c>
      <c r="F17" s="136">
        <f ca="1">SUMIFS('DF Calculation'!$O:$O,'DF Calculation'!$B:$B,'Rate Sheet'!A17,'DF Calculation'!$C:$C,'Rate Sheet'!B17)</f>
        <v>6.97</v>
      </c>
      <c r="G17" s="383" t="str">
        <f ca="1">IF(VLOOKUP($C17,'DF Calculation'!$D$7:$N$77,11,FALSE)-E17,"OK",VLOOKUP($C17,'DF Calculation'!$D$7:$N$77,11,FALSE)-E17)</f>
        <v>OK</v>
      </c>
      <c r="H17" s="425">
        <f>SUMIFS('DF Calculation'!M:M,'DF Calculation'!B:B,'Rate Sheet'!A17,'DF Calculation'!C:C,'Rate Sheet'!B17)</f>
        <v>6.85</v>
      </c>
      <c r="I17" s="135">
        <f t="shared" ca="1" si="1"/>
        <v>0.10000000000000053</v>
      </c>
      <c r="J17" s="136">
        <f ca="1">SUMIFS('DF Calculation'!$P:$P,'DF Calculation'!$B:$B,'Rate Sheet'!A17,'DF Calculation'!$C:$C,'Rate Sheet'!B17)</f>
        <v>6.95</v>
      </c>
      <c r="K17" s="424" t="str">
        <f ca="1">IF(VLOOKUP($C17,'DF Calculation'!$D$7:$N$77,11,FALSE)-I17,"OK",VLOOKUP($C17,'DF Calculation'!$D$7:$N$77,11,FALSE)-I17)</f>
        <v>OK</v>
      </c>
      <c r="L17" s="120">
        <f t="shared" ca="1" si="2"/>
        <v>-8.8817841970012523E-16</v>
      </c>
      <c r="O17" s="120"/>
    </row>
    <row r="18" spans="1:19">
      <c r="A18" s="145">
        <v>22</v>
      </c>
      <c r="B18" s="146" t="s">
        <v>222</v>
      </c>
      <c r="C18" s="146" t="str">
        <f>VLOOKUP(B18,'DF Calculation'!$C$8:$D$71,2,FALSE)</f>
        <v>1-48 gal Cart On Call Svc</v>
      </c>
      <c r="D18" s="425">
        <f>SUMIFS('DF Calculation'!L:L,'DF Calculation'!B:B,'Rate Sheet'!A18,'DF Calculation'!C:C,'Rate Sheet'!B18)</f>
        <v>8.6</v>
      </c>
      <c r="E18" s="135">
        <f t="shared" ca="1" si="0"/>
        <v>0.13000000000000078</v>
      </c>
      <c r="F18" s="136">
        <f ca="1">SUMIFS('DF Calculation'!$O:$O,'DF Calculation'!$B:$B,'Rate Sheet'!A18,'DF Calculation'!$C:$C,'Rate Sheet'!B18)</f>
        <v>8.73</v>
      </c>
      <c r="G18" s="383" t="str">
        <f ca="1">IF(VLOOKUP($C18,'DF Calculation'!$D$7:$N$77,11,FALSE)-E18,"OK",VLOOKUP($C18,'DF Calculation'!$D$7:$N$77,11,FALSE)-E18)</f>
        <v>OK</v>
      </c>
      <c r="H18" s="425">
        <f>SUMIFS('DF Calculation'!M:M,'DF Calculation'!B:B,'Rate Sheet'!A18,'DF Calculation'!C:C,'Rate Sheet'!B18)</f>
        <v>8.58</v>
      </c>
      <c r="I18" s="135">
        <f t="shared" ca="1" si="1"/>
        <v>0.13000000000000078</v>
      </c>
      <c r="J18" s="136">
        <f ca="1">SUMIFS('DF Calculation'!$P:$P,'DF Calculation'!$B:$B,'Rate Sheet'!A18,'DF Calculation'!$C:$C,'Rate Sheet'!B18)</f>
        <v>8.7100000000000009</v>
      </c>
      <c r="K18" s="424" t="str">
        <f ca="1">IF(VLOOKUP($C18,'DF Calculation'!$D$7:$N$77,11,FALSE)-I18,"OK",VLOOKUP($C18,'DF Calculation'!$D$7:$N$77,11,FALSE)-I18)</f>
        <v>OK</v>
      </c>
      <c r="L18" s="120">
        <f t="shared" ca="1" si="2"/>
        <v>0</v>
      </c>
      <c r="O18" s="120"/>
    </row>
    <row r="19" spans="1:19">
      <c r="A19" s="145">
        <v>22</v>
      </c>
      <c r="B19" s="146" t="s">
        <v>224</v>
      </c>
      <c r="C19" s="146" t="str">
        <f>VLOOKUP(B19,'DF Calculation'!$C$8:$D$71,2,FALSE)</f>
        <v>1-64 gal Cart On Call Svc</v>
      </c>
      <c r="D19" s="425">
        <f>SUMIFS('DF Calculation'!L:L,'DF Calculation'!B:B,'Rate Sheet'!A19,'DF Calculation'!C:C,'Rate Sheet'!B19)</f>
        <v>10.16</v>
      </c>
      <c r="E19" s="135">
        <f t="shared" ca="1" si="0"/>
        <v>0.14000000000000057</v>
      </c>
      <c r="F19" s="136">
        <f ca="1">SUMIFS('DF Calculation'!$O:$O,'DF Calculation'!$B:$B,'Rate Sheet'!A19,'DF Calculation'!$C:$C,'Rate Sheet'!B19)</f>
        <v>10.3</v>
      </c>
      <c r="G19" s="383" t="str">
        <f ca="1">IF(VLOOKUP($C19,'DF Calculation'!$D$7:$N$77,11,FALSE)-E19,"OK",VLOOKUP($C19,'DF Calculation'!$D$7:$N$77,11,FALSE)-E19)</f>
        <v>OK</v>
      </c>
      <c r="H19" s="425">
        <f>SUMIFS('DF Calculation'!M:M,'DF Calculation'!B:B,'Rate Sheet'!A19,'DF Calculation'!C:C,'Rate Sheet'!B19)</f>
        <v>10.130000000000001</v>
      </c>
      <c r="I19" s="135">
        <f t="shared" ca="1" si="1"/>
        <v>0.13999999999999879</v>
      </c>
      <c r="J19" s="136">
        <f ca="1">SUMIFS('DF Calculation'!$P:$P,'DF Calculation'!$B:$B,'Rate Sheet'!A19,'DF Calculation'!$C:$C,'Rate Sheet'!B19)</f>
        <v>10.27</v>
      </c>
      <c r="K19" s="424" t="str">
        <f ca="1">IF(VLOOKUP($C19,'DF Calculation'!$D$7:$N$77,11,FALSE)-I19,"OK",VLOOKUP($C19,'DF Calculation'!$D$7:$N$77,11,FALSE)-I19)</f>
        <v>OK</v>
      </c>
      <c r="L19" s="120">
        <f t="shared" ca="1" si="2"/>
        <v>1.7763568394002505E-15</v>
      </c>
      <c r="M19" s="120"/>
      <c r="O19" s="120"/>
    </row>
    <row r="20" spans="1:19">
      <c r="A20" s="145">
        <v>22</v>
      </c>
      <c r="B20" s="146" t="s">
        <v>226</v>
      </c>
      <c r="C20" s="146" t="str">
        <f>VLOOKUP(B20,'DF Calculation'!$C$8:$D$71,2,FALSE)</f>
        <v>1-96 gal Cart On Call Svc</v>
      </c>
      <c r="D20" s="425">
        <f>SUMIFS('DF Calculation'!L:L,'DF Calculation'!B:B,'Rate Sheet'!A20,'DF Calculation'!C:C,'Rate Sheet'!B20)</f>
        <v>12.54</v>
      </c>
      <c r="E20" s="135">
        <f t="shared" ca="1" si="0"/>
        <v>0.21000000000000085</v>
      </c>
      <c r="F20" s="136">
        <f ca="1">SUMIFS('DF Calculation'!$O:$O,'DF Calculation'!$B:$B,'Rate Sheet'!A20,'DF Calculation'!$C:$C,'Rate Sheet'!B20)</f>
        <v>12.75</v>
      </c>
      <c r="G20" s="383" t="str">
        <f ca="1">IF(VLOOKUP($C20,'DF Calculation'!$D$7:$N$77,11,FALSE)-E20,"OK",VLOOKUP($C20,'DF Calculation'!$D$7:$N$77,11,FALSE)-E20)</f>
        <v>OK</v>
      </c>
      <c r="H20" s="425">
        <f>SUMIFS('DF Calculation'!M:M,'DF Calculation'!B:B,'Rate Sheet'!A20,'DF Calculation'!C:C,'Rate Sheet'!B20)</f>
        <v>12.51</v>
      </c>
      <c r="I20" s="135">
        <f t="shared" ca="1" si="1"/>
        <v>0.21000000000000085</v>
      </c>
      <c r="J20" s="136">
        <f ca="1">SUMIFS('DF Calculation'!$P:$P,'DF Calculation'!$B:$B,'Rate Sheet'!A20,'DF Calculation'!$C:$C,'Rate Sheet'!B20)</f>
        <v>12.72</v>
      </c>
      <c r="K20" s="424" t="str">
        <f ca="1">IF(VLOOKUP($C20,'DF Calculation'!$D$7:$N$77,11,FALSE)-I20,"OK",VLOOKUP($C20,'DF Calculation'!$D$7:$N$77,11,FALSE)-I20)</f>
        <v>OK</v>
      </c>
      <c r="L20" s="120">
        <f t="shared" ca="1" si="2"/>
        <v>0</v>
      </c>
      <c r="O20" s="120"/>
    </row>
    <row r="21" spans="1:19">
      <c r="A21" s="147">
        <v>28</v>
      </c>
      <c r="B21" s="148" t="s">
        <v>479</v>
      </c>
      <c r="C21" s="148" t="str">
        <f>VLOOKUP(B21,'DF Calculation'!$C$8:$D$71,2,FALSE)</f>
        <v>BULKY MATERIAL 1-4 YARDS</v>
      </c>
      <c r="D21" s="426">
        <f>SUMIFS('DF Calculation'!L:L,'DF Calculation'!B:B,'Rate Sheet'!$A21,'DF Calculation'!C:C,'Rate Sheet'!$B21)</f>
        <v>29.53</v>
      </c>
      <c r="E21" s="138">
        <f t="shared" ca="1" si="0"/>
        <v>0.33999999999999986</v>
      </c>
      <c r="F21" s="139">
        <f ca="1">SUMIFS('DF Calculation'!$O:$O,'DF Calculation'!$B:$B,'Rate Sheet'!$A21,'DF Calculation'!$C:$C,'Rate Sheet'!$B21)</f>
        <v>29.87</v>
      </c>
      <c r="G21" s="383" t="str">
        <f ca="1">IF(VLOOKUP($C21,'DF Calculation'!$D$7:$N$77,11,FALSE)-E21,"OK",VLOOKUP($C21,'DF Calculation'!$D$7:$N$77,11,FALSE)-E21)</f>
        <v>OK</v>
      </c>
      <c r="H21" s="426">
        <f>SUMIFS('DF Calculation'!M:M,'DF Calculation'!B:B,'Rate Sheet'!A21,'DF Calculation'!C:C,'Rate Sheet'!B21)</f>
        <v>29.45</v>
      </c>
      <c r="I21" s="138">
        <f t="shared" ref="I21" ca="1" si="3">J21-H21</f>
        <v>0.33999999999999986</v>
      </c>
      <c r="J21" s="139">
        <f ca="1">SUMIFS('DF Calculation'!$P:$P,'DF Calculation'!$B:$B,'Rate Sheet'!A21,'DF Calculation'!$C:$C,'Rate Sheet'!B21)</f>
        <v>29.79</v>
      </c>
      <c r="K21" s="424" t="str">
        <f ca="1">IF(VLOOKUP($C21,'DF Calculation'!$D$7:$N$77,11,FALSE)-I21,"OK",VLOOKUP($C21,'DF Calculation'!$D$7:$N$77,11,FALSE)-I21)</f>
        <v>OK</v>
      </c>
      <c r="L21" s="177"/>
      <c r="M21" s="59"/>
      <c r="O21" s="120"/>
      <c r="P21" s="59"/>
      <c r="Q21" s="59"/>
      <c r="R21" s="59"/>
      <c r="S21" s="59"/>
    </row>
    <row r="22" spans="1:19">
      <c r="A22" s="147">
        <v>28</v>
      </c>
      <c r="B22" s="148" t="s">
        <v>480</v>
      </c>
      <c r="C22" s="148" t="str">
        <f>VLOOKUP(B22,'DF Calculation'!$C$8:$D$71,2,FALSE)</f>
        <v>BULKY MATERIAL ADDITIONAL YARDS</v>
      </c>
      <c r="D22" s="426">
        <f>SUMIFS('DF Calculation'!L:L,'DF Calculation'!B:B,'Rate Sheet'!$A22,'DF Calculation'!C:C,'Rate Sheet'!$B22)</f>
        <v>29.53</v>
      </c>
      <c r="E22" s="138">
        <f t="shared" ref="E22:E48" ca="1" si="4">F22-D22</f>
        <v>0.33999999999999986</v>
      </c>
      <c r="F22" s="139">
        <f ca="1">SUMIFS('DF Calculation'!$O:$O,'DF Calculation'!$B:$B,'Rate Sheet'!$A22,'DF Calculation'!$C:$C,'Rate Sheet'!$B22)</f>
        <v>29.87</v>
      </c>
      <c r="G22" s="383" t="str">
        <f ca="1">IF(VLOOKUP($C22,'DF Calculation'!$D$7:$N$77,11,FALSE)-E22,"OK",VLOOKUP($C22,'DF Calculation'!$D$7:$N$77,11,FALSE)-E22)</f>
        <v>OK</v>
      </c>
      <c r="H22" s="426">
        <f>SUMIFS('DF Calculation'!M:M,'DF Calculation'!B:B,'Rate Sheet'!A22,'DF Calculation'!C:C,'Rate Sheet'!B22)</f>
        <v>29.45</v>
      </c>
      <c r="I22" s="138">
        <f t="shared" ref="I22:I48" ca="1" si="5">J22-H22</f>
        <v>0.33999999999999986</v>
      </c>
      <c r="J22" s="139">
        <f ca="1">SUMIFS('DF Calculation'!$P:$P,'DF Calculation'!$B:$B,'Rate Sheet'!A22,'DF Calculation'!$C:$C,'Rate Sheet'!B22)</f>
        <v>29.79</v>
      </c>
      <c r="K22" s="424" t="str">
        <f ca="1">IF(VLOOKUP($C22,'DF Calculation'!$D$7:$N$77,11,FALSE)-I22,"OK",VLOOKUP($C22,'DF Calculation'!$D$7:$N$77,11,FALSE)-I22)</f>
        <v>OK</v>
      </c>
      <c r="L22" s="176"/>
      <c r="M22" s="59"/>
      <c r="O22" s="120"/>
      <c r="P22" s="36"/>
      <c r="Q22" s="59"/>
      <c r="R22" s="36"/>
      <c r="S22" s="59"/>
    </row>
    <row r="23" spans="1:19">
      <c r="A23" s="149">
        <v>28</v>
      </c>
      <c r="B23" s="150" t="s">
        <v>335</v>
      </c>
      <c r="C23" s="148" t="str">
        <f>VLOOKUP(B23,'DF Calculation'!$C$8:$D$71,2,FALSE)</f>
        <v>1-4 yards Loose</v>
      </c>
      <c r="D23" s="426">
        <f>SUMIFS('DF Calculation'!L:L,'DF Calculation'!B:B,'Rate Sheet'!$A23,'DF Calculation'!C:C,'Rate Sheet'!$B23)</f>
        <v>29.53</v>
      </c>
      <c r="E23" s="138">
        <f t="shared" ca="1" si="4"/>
        <v>0.33999999999999986</v>
      </c>
      <c r="F23" s="139">
        <f ca="1">SUMIFS('DF Calculation'!$O:$O,'DF Calculation'!$B:$B,'Rate Sheet'!$A23,'DF Calculation'!$C:$C,'Rate Sheet'!$B23)</f>
        <v>29.87</v>
      </c>
      <c r="G23" s="383" t="str">
        <f ca="1">IF(VLOOKUP($C23,'DF Calculation'!$D$7:$N$77,11,FALSE)-E23,"OK",VLOOKUP($C23,'DF Calculation'!$D$7:$N$77,11,FALSE)-E23)</f>
        <v>OK</v>
      </c>
      <c r="H23" s="426">
        <f>SUMIFS('DF Calculation'!M:M,'DF Calculation'!B:B,'Rate Sheet'!A23,'DF Calculation'!C:C,'Rate Sheet'!B23)</f>
        <v>29.45</v>
      </c>
      <c r="I23" s="138">
        <f t="shared" ca="1" si="5"/>
        <v>0.33999999999999986</v>
      </c>
      <c r="J23" s="139">
        <f ca="1">SUMIFS('DF Calculation'!$P:$P,'DF Calculation'!$B:$B,'Rate Sheet'!A23,'DF Calculation'!$C:$C,'Rate Sheet'!B23)</f>
        <v>29.79</v>
      </c>
      <c r="K23" s="424" t="str">
        <f ca="1">IF(VLOOKUP($C23,'DF Calculation'!$D$7:$N$77,11,FALSE)-I23,"OK",VLOOKUP($C23,'DF Calculation'!$D$7:$N$77,11,FALSE)-I23)</f>
        <v>OK</v>
      </c>
      <c r="L23" s="59"/>
      <c r="M23" s="59"/>
      <c r="O23" s="120"/>
      <c r="P23" s="36"/>
      <c r="Q23" s="59"/>
      <c r="R23" s="36"/>
      <c r="S23" s="59"/>
    </row>
    <row r="24" spans="1:19">
      <c r="A24" s="147">
        <v>28</v>
      </c>
      <c r="B24" s="148" t="s">
        <v>337</v>
      </c>
      <c r="C24" s="148" t="str">
        <f>VLOOKUP(B24,'DF Calculation'!$C$8:$D$71,2,FALSE)</f>
        <v>Additional Loose</v>
      </c>
      <c r="D24" s="426">
        <f>SUMIFS('DF Calculation'!L:L,'DF Calculation'!B:B,'Rate Sheet'!$A24,'DF Calculation'!C:C,'Rate Sheet'!$B24)</f>
        <v>29.53</v>
      </c>
      <c r="E24" s="138">
        <f t="shared" ca="1" si="4"/>
        <v>0.33999999999999986</v>
      </c>
      <c r="F24" s="139">
        <f ca="1">SUMIFS('DF Calculation'!$O:$O,'DF Calculation'!$B:$B,'Rate Sheet'!$A24,'DF Calculation'!$C:$C,'Rate Sheet'!$B24)</f>
        <v>29.87</v>
      </c>
      <c r="G24" s="383" t="str">
        <f ca="1">IF(VLOOKUP($C24,'DF Calculation'!$D$7:$N$77,11,FALSE)-E24,"OK",VLOOKUP($C24,'DF Calculation'!$D$7:$N$77,11,FALSE)-E24)</f>
        <v>OK</v>
      </c>
      <c r="H24" s="426">
        <f>SUMIFS('DF Calculation'!M:M,'DF Calculation'!B:B,'Rate Sheet'!A24,'DF Calculation'!C:C,'Rate Sheet'!B24)</f>
        <v>29.45</v>
      </c>
      <c r="I24" s="138">
        <f t="shared" ca="1" si="5"/>
        <v>0.33999999999999986</v>
      </c>
      <c r="J24" s="139">
        <f ca="1">SUMIFS('DF Calculation'!$P:$P,'DF Calculation'!$B:$B,'Rate Sheet'!A24,'DF Calculation'!$C:$C,'Rate Sheet'!B24)</f>
        <v>29.79</v>
      </c>
      <c r="K24" s="424" t="str">
        <f ca="1">IF(VLOOKUP($C24,'DF Calculation'!$D$7:$N$77,11,FALSE)-I24,"OK",VLOOKUP($C24,'DF Calculation'!$D$7:$N$77,11,FALSE)-I24)</f>
        <v>OK</v>
      </c>
      <c r="L24" s="177"/>
      <c r="M24" s="59"/>
      <c r="O24" s="120"/>
      <c r="P24" s="36"/>
      <c r="Q24" s="59"/>
      <c r="R24" s="36"/>
      <c r="S24" s="59"/>
    </row>
    <row r="25" spans="1:19">
      <c r="A25" s="147">
        <v>28</v>
      </c>
      <c r="B25" s="148" t="s">
        <v>505</v>
      </c>
      <c r="C25" s="148" t="str">
        <f>VLOOKUP(B25,'DF Calculation'!$C$8:$D$77,2,FALSE)</f>
        <v>BULKY MATERIAL MINIMUM PICKUP</v>
      </c>
      <c r="D25" s="426">
        <f>SUMIFS('DF Calculation'!L:L,'DF Calculation'!B:B,'Rate Sheet'!$A25,'DF Calculation'!C:C,'Rate Sheet'!$B25)</f>
        <v>33.479999999999997</v>
      </c>
      <c r="E25" s="138">
        <f t="shared" ref="E25:E28" ca="1" si="6">F25-D25</f>
        <v>0.34000000000000341</v>
      </c>
      <c r="F25" s="139">
        <f ca="1">SUMIFS('DF Calculation'!$O:$O,'DF Calculation'!$B:$B,'Rate Sheet'!$A25,'DF Calculation'!$C:$C,'Rate Sheet'!$B25)</f>
        <v>33.82</v>
      </c>
      <c r="G25" s="383" t="str">
        <f ca="1">IF(VLOOKUP($C25,'DF Calculation'!$D$7:$N$77,11,FALSE)-E25,"OK",VLOOKUP($C25,'DF Calculation'!$D$7:$N$77,11,FALSE)-E25)</f>
        <v>OK</v>
      </c>
      <c r="H25" s="426">
        <f>SUMIFS('DF Calculation'!M:M,'DF Calculation'!B:B,'Rate Sheet'!A25,'DF Calculation'!C:C,'Rate Sheet'!B25)</f>
        <v>33.39</v>
      </c>
      <c r="I25" s="138">
        <f t="shared" ref="I25:I28" ca="1" si="7">J25-H25</f>
        <v>0.33999999999999631</v>
      </c>
      <c r="J25" s="139">
        <f ca="1">SUMIFS('DF Calculation'!$P:$P,'DF Calculation'!$B:$B,'Rate Sheet'!A25,'DF Calculation'!$C:$C,'Rate Sheet'!B25)</f>
        <v>33.729999999999997</v>
      </c>
      <c r="K25" s="424" t="str">
        <f ca="1">IF(VLOOKUP($C25,'DF Calculation'!$D$7:$N$77,11,FALSE)-I25,"OK",VLOOKUP($C25,'DF Calculation'!$D$7:$N$77,11,FALSE)-I25)</f>
        <v>OK</v>
      </c>
      <c r="L25" s="177"/>
      <c r="M25" s="59"/>
      <c r="O25" s="120"/>
      <c r="P25" s="36"/>
      <c r="Q25" s="59"/>
      <c r="R25" s="36"/>
      <c r="S25" s="59"/>
    </row>
    <row r="26" spans="1:19">
      <c r="A26" s="147">
        <v>28</v>
      </c>
      <c r="B26" s="148" t="s">
        <v>506</v>
      </c>
      <c r="C26" s="148" t="str">
        <f>VLOOKUP(B26,'DF Calculation'!$C$8:$D$77,2,FALSE)</f>
        <v>LOOSE MATERIAL MINIMUM PICKUP</v>
      </c>
      <c r="D26" s="426">
        <f>SUMIFS('DF Calculation'!L:L,'DF Calculation'!B:B,'Rate Sheet'!$A26,'DF Calculation'!C:C,'Rate Sheet'!$B26)</f>
        <v>33.479999999999997</v>
      </c>
      <c r="E26" s="138">
        <f t="shared" ca="1" si="6"/>
        <v>0.34000000000000341</v>
      </c>
      <c r="F26" s="139">
        <f ca="1">SUMIFS('DF Calculation'!$O:$O,'DF Calculation'!$B:$B,'Rate Sheet'!$A26,'DF Calculation'!$C:$C,'Rate Sheet'!$B26)</f>
        <v>33.82</v>
      </c>
      <c r="G26" s="383" t="str">
        <f ca="1">IF(VLOOKUP($C26,'DF Calculation'!$D$7:$N$77,11,FALSE)-E26,"OK",VLOOKUP($C26,'DF Calculation'!$D$7:$N$77,11,FALSE)-E26)</f>
        <v>OK</v>
      </c>
      <c r="H26" s="426">
        <f>SUMIFS('DF Calculation'!M:M,'DF Calculation'!B:B,'Rate Sheet'!A26,'DF Calculation'!C:C,'Rate Sheet'!B26)</f>
        <v>33.39</v>
      </c>
      <c r="I26" s="138">
        <f t="shared" ca="1" si="7"/>
        <v>0.33999999999999631</v>
      </c>
      <c r="J26" s="139">
        <f ca="1">SUMIFS('DF Calculation'!$P:$P,'DF Calculation'!$B:$B,'Rate Sheet'!A26,'DF Calculation'!$C:$C,'Rate Sheet'!B26)</f>
        <v>33.729999999999997</v>
      </c>
      <c r="K26" s="424" t="str">
        <f ca="1">IF(VLOOKUP($C26,'DF Calculation'!$D$7:$N$77,11,FALSE)-I26,"OK",VLOOKUP($C26,'DF Calculation'!$D$7:$N$77,11,FALSE)-I26)</f>
        <v>OK</v>
      </c>
      <c r="L26" s="177"/>
      <c r="M26" s="59"/>
      <c r="O26" s="120"/>
      <c r="P26" s="36"/>
      <c r="Q26" s="59"/>
      <c r="R26" s="36"/>
      <c r="S26" s="59"/>
    </row>
    <row r="27" spans="1:19">
      <c r="A27" s="147">
        <v>32</v>
      </c>
      <c r="B27" s="148" t="s">
        <v>507</v>
      </c>
      <c r="C27" s="148" t="str">
        <f>VLOOKUP(B27,'DF Calculation'!$C$8:$D$77,2,FALSE)</f>
        <v>OVERWEIGHT CONTAINER PER YARD</v>
      </c>
      <c r="D27" s="426">
        <f>SUMIFS('DF Calculation'!L:L,'DF Calculation'!B:B,'Rate Sheet'!$A27,'DF Calculation'!C:C,'Rate Sheet'!$B27)</f>
        <v>17.079999999999998</v>
      </c>
      <c r="E27" s="138">
        <f t="shared" ca="1" si="6"/>
        <v>0.34000000000000341</v>
      </c>
      <c r="F27" s="139">
        <f ca="1">SUMIFS('DF Calculation'!$O:$O,'DF Calculation'!$B:$B,'Rate Sheet'!$A27,'DF Calculation'!$C:$C,'Rate Sheet'!$B27)</f>
        <v>17.420000000000002</v>
      </c>
      <c r="G27" s="383" t="str">
        <f ca="1">IF(VLOOKUP($C27,'DF Calculation'!$D$7:$N$77,11,FALSE)-E27,"OK",VLOOKUP($C27,'DF Calculation'!$D$7:$N$77,11,FALSE)-E27)</f>
        <v>OK</v>
      </c>
      <c r="H27" s="426">
        <f>SUMIFS('DF Calculation'!M:M,'DF Calculation'!B:B,'Rate Sheet'!A27,'DF Calculation'!C:C,'Rate Sheet'!B27)</f>
        <v>17.03</v>
      </c>
      <c r="I27" s="138">
        <f t="shared" ca="1" si="7"/>
        <v>0.33999999999999986</v>
      </c>
      <c r="J27" s="139">
        <f ca="1">SUMIFS('DF Calculation'!$P:$P,'DF Calculation'!$B:$B,'Rate Sheet'!A27,'DF Calculation'!$C:$C,'Rate Sheet'!B27)</f>
        <v>17.37</v>
      </c>
      <c r="K27" s="424" t="str">
        <f ca="1">IF(VLOOKUP($C27,'DF Calculation'!$D$7:$N$77,11,FALSE)-I27,"OK",VLOOKUP($C27,'DF Calculation'!$D$7:$N$77,11,FALSE)-I27)</f>
        <v>OK</v>
      </c>
      <c r="L27" s="177"/>
      <c r="M27" s="59"/>
      <c r="O27" s="120"/>
      <c r="P27" s="36"/>
      <c r="Q27" s="59"/>
      <c r="R27" s="36"/>
      <c r="S27" s="59"/>
    </row>
    <row r="28" spans="1:19">
      <c r="A28" s="147">
        <v>32</v>
      </c>
      <c r="B28" s="148" t="s">
        <v>508</v>
      </c>
      <c r="C28" s="148" t="str">
        <f>VLOOKUP(B28,'DF Calculation'!$C$8:$D$77,2,FALSE)</f>
        <v>OVERWEIGHT DROP BOX PER YARD</v>
      </c>
      <c r="D28" s="426">
        <f>SUMIFS('DF Calculation'!L:L,'DF Calculation'!B:B,'Rate Sheet'!$A28,'DF Calculation'!C:C,'Rate Sheet'!$B28)</f>
        <v>17.079999999999998</v>
      </c>
      <c r="E28" s="138">
        <f t="shared" ca="1" si="6"/>
        <v>0.34000000000000341</v>
      </c>
      <c r="F28" s="139">
        <f ca="1">SUMIFS('DF Calculation'!$O:$O,'DF Calculation'!$B:$B,'Rate Sheet'!$A28,'DF Calculation'!$C:$C,'Rate Sheet'!$B28)</f>
        <v>17.420000000000002</v>
      </c>
      <c r="G28" s="383" t="str">
        <f ca="1">IF(VLOOKUP($C28,'DF Calculation'!$D$7:$N$77,11,FALSE)-E28,"OK",VLOOKUP($C28,'DF Calculation'!$D$7:$N$77,11,FALSE)-E28)</f>
        <v>OK</v>
      </c>
      <c r="H28" s="426">
        <f>SUMIFS('DF Calculation'!M:M,'DF Calculation'!B:B,'Rate Sheet'!A28,'DF Calculation'!C:C,'Rate Sheet'!B28)</f>
        <v>17.03</v>
      </c>
      <c r="I28" s="138">
        <f t="shared" ca="1" si="7"/>
        <v>0.33999999999999986</v>
      </c>
      <c r="J28" s="139">
        <f ca="1">SUMIFS('DF Calculation'!$P:$P,'DF Calculation'!$B:$B,'Rate Sheet'!A28,'DF Calculation'!$C:$C,'Rate Sheet'!B28)</f>
        <v>17.37</v>
      </c>
      <c r="K28" s="424" t="str">
        <f ca="1">IF(VLOOKUP($C28,'DF Calculation'!$D$7:$N$77,11,FALSE)-I28,"OK",VLOOKUP($C28,'DF Calculation'!$D$7:$N$77,11,FALSE)-I28)</f>
        <v>OK</v>
      </c>
      <c r="L28" s="177"/>
      <c r="M28" s="59"/>
      <c r="O28" s="120"/>
      <c r="P28" s="36"/>
      <c r="Q28" s="59"/>
      <c r="R28" s="36"/>
      <c r="S28" s="59"/>
    </row>
    <row r="29" spans="1:19">
      <c r="A29" s="149">
        <v>36</v>
      </c>
      <c r="B29" s="150" t="s">
        <v>315</v>
      </c>
      <c r="C29" s="148" t="str">
        <f>VLOOKUP(B29,'DF Calculation'!$C$8:$D$71,2,FALSE)</f>
        <v>Commercial Can Additional</v>
      </c>
      <c r="D29" s="426">
        <f>SUMIFS('DF Calculation'!L:L,'DF Calculation'!B:B,'Rate Sheet'!$A29,'DF Calculation'!C:C,'Rate Sheet'!$B29)</f>
        <v>5.0199999999999996</v>
      </c>
      <c r="E29" s="138">
        <f t="shared" ca="1" si="4"/>
        <v>8.0000000000000071E-2</v>
      </c>
      <c r="F29" s="139">
        <f ca="1">SUMIFS('DF Calculation'!$O:$O,'DF Calculation'!$B:$B,'Rate Sheet'!$A29,'DF Calculation'!$C:$C,'Rate Sheet'!$B29)</f>
        <v>5.0999999999999996</v>
      </c>
      <c r="G29" s="383" t="str">
        <f ca="1">IF(VLOOKUP($C29,'DF Calculation'!$D$7:$N$77,11,FALSE)-E29,"OK",VLOOKUP($C29,'DF Calculation'!$D$7:$N$77,11,FALSE)-E29)</f>
        <v>OK</v>
      </c>
      <c r="H29" s="426">
        <f>SUMIFS('DF Calculation'!M:M,'DF Calculation'!B:B,'Rate Sheet'!A29,'DF Calculation'!C:C,'Rate Sheet'!B29)</f>
        <v>5.01</v>
      </c>
      <c r="I29" s="138">
        <f t="shared" ca="1" si="5"/>
        <v>8.0000000000000071E-2</v>
      </c>
      <c r="J29" s="139">
        <f ca="1">SUMIFS('DF Calculation'!$P:$P,'DF Calculation'!$B:$B,'Rate Sheet'!A29,'DF Calculation'!$C:$C,'Rate Sheet'!B29)</f>
        <v>5.09</v>
      </c>
      <c r="K29" s="424" t="str">
        <f ca="1">IF(VLOOKUP($C29,'DF Calculation'!$D$7:$N$77,11,FALSE)-I29,"OK",VLOOKUP($C29,'DF Calculation'!$D$7:$N$77,11,FALSE)-I29)</f>
        <v>OK</v>
      </c>
      <c r="L29" s="177"/>
      <c r="M29" s="59"/>
      <c r="O29" s="120"/>
      <c r="P29" s="36"/>
      <c r="Q29" s="59"/>
      <c r="R29" s="36"/>
      <c r="S29" s="59"/>
    </row>
    <row r="30" spans="1:19">
      <c r="A30" s="147">
        <v>35</v>
      </c>
      <c r="B30" s="148" t="s">
        <v>290</v>
      </c>
      <c r="C30" s="148" t="str">
        <f>VLOOKUP(B30,'DF Calculation'!$C$8:$D$71,2,FALSE)</f>
        <v>1 yard Permanent</v>
      </c>
      <c r="D30" s="426">
        <f>SUMIFS('DF Calculation'!L:L,'DF Calculation'!B:B,'Rate Sheet'!$A30,'DF Calculation'!C:C,'Rate Sheet'!$B30)</f>
        <v>18.54</v>
      </c>
      <c r="E30" s="138">
        <f t="shared" ca="1" si="4"/>
        <v>0.47000000000000242</v>
      </c>
      <c r="F30" s="139">
        <f ca="1">SUMIFS('DF Calculation'!$O:$O,'DF Calculation'!$B:$B,'Rate Sheet'!$A30,'DF Calculation'!$C:$C,'Rate Sheet'!$B30)</f>
        <v>19.010000000000002</v>
      </c>
      <c r="G30" s="383" t="str">
        <f ca="1">IF(VLOOKUP($C30,'DF Calculation'!$D$7:$N$77,11,FALSE)-E30,"OK",VLOOKUP($C30,'DF Calculation'!$D$7:$N$77,11,FALSE)-E30)</f>
        <v>OK</v>
      </c>
      <c r="H30" s="426">
        <f>SUMIFS('DF Calculation'!M:M,'DF Calculation'!B:B,'Rate Sheet'!A30,'DF Calculation'!C:C,'Rate Sheet'!B30)</f>
        <v>18.489999999999998</v>
      </c>
      <c r="I30" s="138">
        <f t="shared" ca="1" si="5"/>
        <v>0.47000000000000242</v>
      </c>
      <c r="J30" s="139">
        <f ca="1">SUMIFS('DF Calculation'!$P:$P,'DF Calculation'!$B:$B,'Rate Sheet'!A30,'DF Calculation'!$C:$C,'Rate Sheet'!B30)</f>
        <v>18.96</v>
      </c>
      <c r="K30" s="424" t="str">
        <f ca="1">IF(VLOOKUP($C30,'DF Calculation'!$D$7:$N$77,11,FALSE)-I30,"OK",VLOOKUP($C30,'DF Calculation'!$D$7:$N$77,11,FALSE)-I30)</f>
        <v>OK</v>
      </c>
      <c r="L30" s="176"/>
      <c r="M30" s="59"/>
      <c r="O30" s="120"/>
      <c r="P30" s="36"/>
      <c r="Q30" s="59"/>
      <c r="R30" s="36"/>
      <c r="S30" s="59"/>
    </row>
    <row r="31" spans="1:19">
      <c r="A31" s="149">
        <v>35</v>
      </c>
      <c r="B31" s="150" t="s">
        <v>295</v>
      </c>
      <c r="C31" s="148" t="str">
        <f>VLOOKUP(B31,'DF Calculation'!$C$8:$D$71,2,FALSE)</f>
        <v>1.5 yard Permanent</v>
      </c>
      <c r="D31" s="426">
        <f>SUMIFS('DF Calculation'!L:L,'DF Calculation'!B:B,'Rate Sheet'!$A31,'DF Calculation'!C:C,'Rate Sheet'!$B31)</f>
        <v>20.64</v>
      </c>
      <c r="E31" s="138">
        <f t="shared" ca="1" si="4"/>
        <v>0.66999999999999815</v>
      </c>
      <c r="F31" s="139">
        <f ca="1">SUMIFS('DF Calculation'!$O:$O,'DF Calculation'!$B:$B,'Rate Sheet'!$A31,'DF Calculation'!$C:$C,'Rate Sheet'!$B31)</f>
        <v>21.31</v>
      </c>
      <c r="G31" s="383" t="str">
        <f ca="1">IF(VLOOKUP($C31,'DF Calculation'!$D$7:$N$77,11,FALSE)-E31,"OK",VLOOKUP($C31,'DF Calculation'!$D$7:$N$77,11,FALSE)-E31)</f>
        <v>OK</v>
      </c>
      <c r="H31" s="426">
        <f>SUMIFS('DF Calculation'!M:M,'DF Calculation'!B:B,'Rate Sheet'!A31,'DF Calculation'!C:C,'Rate Sheet'!B31)</f>
        <v>20.58</v>
      </c>
      <c r="I31" s="138">
        <f t="shared" ca="1" si="5"/>
        <v>0.67000000000000171</v>
      </c>
      <c r="J31" s="139">
        <f ca="1">SUMIFS('DF Calculation'!$P:$P,'DF Calculation'!$B:$B,'Rate Sheet'!A31,'DF Calculation'!$C:$C,'Rate Sheet'!B31)</f>
        <v>21.25</v>
      </c>
      <c r="K31" s="424" t="str">
        <f ca="1">IF(VLOOKUP($C31,'DF Calculation'!$D$7:$N$77,11,FALSE)-I31,"OK",VLOOKUP($C31,'DF Calculation'!$D$7:$N$77,11,FALSE)-I31)</f>
        <v>OK</v>
      </c>
      <c r="L31" s="59"/>
      <c r="M31" s="59"/>
      <c r="O31" s="120"/>
      <c r="P31" s="59"/>
      <c r="Q31" s="59"/>
      <c r="R31" s="59"/>
      <c r="S31" s="59"/>
    </row>
    <row r="32" spans="1:19">
      <c r="A32" s="147">
        <v>35</v>
      </c>
      <c r="B32" s="148" t="s">
        <v>301</v>
      </c>
      <c r="C32" s="148" t="str">
        <f>VLOOKUP(B32,'DF Calculation'!$C$8:$D$71,2,FALSE)</f>
        <v>2 yard Permanent</v>
      </c>
      <c r="D32" s="426">
        <f>SUMIFS('DF Calculation'!L:L,'DF Calculation'!B:B,'Rate Sheet'!$A32,'DF Calculation'!C:C,'Rate Sheet'!$B32)</f>
        <v>27.28</v>
      </c>
      <c r="E32" s="138">
        <f t="shared" ca="1" si="4"/>
        <v>0.86999999999999744</v>
      </c>
      <c r="F32" s="139">
        <f ca="1">SUMIFS('DF Calculation'!$O:$O,'DF Calculation'!$B:$B,'Rate Sheet'!$A32,'DF Calculation'!$C:$C,'Rate Sheet'!$B32)</f>
        <v>28.15</v>
      </c>
      <c r="G32" s="383" t="str">
        <f ca="1">IF(VLOOKUP($C32,'DF Calculation'!$D$7:$N$77,11,FALSE)-E32,"OK",VLOOKUP($C32,'DF Calculation'!$D$7:$N$77,11,FALSE)-E32)</f>
        <v>OK</v>
      </c>
      <c r="H32" s="426">
        <f>SUMIFS('DF Calculation'!M:M,'DF Calculation'!B:B,'Rate Sheet'!A32,'DF Calculation'!C:C,'Rate Sheet'!B32)</f>
        <v>27.21</v>
      </c>
      <c r="I32" s="138">
        <f t="shared" ca="1" si="5"/>
        <v>0.86999999999999744</v>
      </c>
      <c r="J32" s="139">
        <f ca="1">SUMIFS('DF Calculation'!$P:$P,'DF Calculation'!$B:$B,'Rate Sheet'!A32,'DF Calculation'!$C:$C,'Rate Sheet'!B32)</f>
        <v>28.08</v>
      </c>
      <c r="K32" s="424" t="str">
        <f ca="1">IF(VLOOKUP($C32,'DF Calculation'!$D$7:$N$77,11,FALSE)-I32,"OK",VLOOKUP($C32,'DF Calculation'!$D$7:$N$77,11,FALSE)-I32)</f>
        <v>OK</v>
      </c>
      <c r="L32" s="177"/>
      <c r="M32" s="59"/>
      <c r="O32" s="120"/>
    </row>
    <row r="33" spans="1:15">
      <c r="A33" s="147">
        <v>35</v>
      </c>
      <c r="B33" s="148" t="s">
        <v>333</v>
      </c>
      <c r="C33" s="148" t="str">
        <f>VLOOKUP(B33,'DF Calculation'!$C$8:$D$71,2,FALSE)</f>
        <v>Commercial Extra</v>
      </c>
      <c r="D33" s="426">
        <f>SUMIFS('DF Calculation'!L:L,'DF Calculation'!B:B,'Rate Sheet'!$A33,'DF Calculation'!C:C,'Rate Sheet'!$B33)</f>
        <v>17.079999999999998</v>
      </c>
      <c r="E33" s="138">
        <f t="shared" ca="1" si="4"/>
        <v>0.34000000000000341</v>
      </c>
      <c r="F33" s="139">
        <f ca="1">SUMIFS('DF Calculation'!$O:$O,'DF Calculation'!$B:$B,'Rate Sheet'!$A33,'DF Calculation'!$C:$C,'Rate Sheet'!$B33)</f>
        <v>17.420000000000002</v>
      </c>
      <c r="G33" s="383" t="str">
        <f ca="1">IF(VLOOKUP($C33,'DF Calculation'!$D$7:$N$77,11,FALSE)-E33,"OK",VLOOKUP($C33,'DF Calculation'!$D$7:$N$77,11,FALSE)-E33)</f>
        <v>OK</v>
      </c>
      <c r="H33" s="426">
        <f>SUMIFS('DF Calculation'!M:M,'DF Calculation'!B:B,'Rate Sheet'!A33,'DF Calculation'!C:C,'Rate Sheet'!B33)</f>
        <v>17.03</v>
      </c>
      <c r="I33" s="138">
        <f t="shared" ca="1" si="5"/>
        <v>0.33999999999999986</v>
      </c>
      <c r="J33" s="139">
        <f ca="1">SUMIFS('DF Calculation'!$P:$P,'DF Calculation'!$B:$B,'Rate Sheet'!A33,'DF Calculation'!$C:$C,'Rate Sheet'!B33)</f>
        <v>17.37</v>
      </c>
      <c r="K33" s="424" t="str">
        <f ca="1">IF(VLOOKUP($C33,'DF Calculation'!$D$7:$N$77,11,FALSE)-I33,"OK",VLOOKUP($C33,'DF Calculation'!$D$7:$N$77,11,FALSE)-I33)</f>
        <v>OK</v>
      </c>
      <c r="L33" s="177"/>
      <c r="M33" s="59"/>
      <c r="O33" s="120"/>
    </row>
    <row r="34" spans="1:15">
      <c r="A34" s="147">
        <v>35</v>
      </c>
      <c r="B34" s="148" t="s">
        <v>502</v>
      </c>
      <c r="C34" s="148" t="str">
        <f>VLOOKUP(B34,'DF Calculation'!$C$8:$D$71,2,FALSE)</f>
        <v>1 YARD TEMP PICKUP</v>
      </c>
      <c r="D34" s="426">
        <f>SUMIFS('DF Calculation'!L:L,'DF Calculation'!B:B,'Rate Sheet'!$A34,'DF Calculation'!C:C,'Rate Sheet'!$B34)</f>
        <v>18.54</v>
      </c>
      <c r="E34" s="138">
        <f t="shared" ca="1" si="4"/>
        <v>0.47000000000000242</v>
      </c>
      <c r="F34" s="139">
        <f ca="1">SUMIFS('DF Calculation'!$O:$O,'DF Calculation'!$B:$B,'Rate Sheet'!$A34,'DF Calculation'!$C:$C,'Rate Sheet'!$B34)</f>
        <v>19.010000000000002</v>
      </c>
      <c r="G34" s="383" t="str">
        <f ca="1">IF(VLOOKUP($C34,'DF Calculation'!$D$7:$N$77,11,FALSE)-E34,"OK",VLOOKUP($C34,'DF Calculation'!$D$7:$N$77,11,FALSE)-E34)</f>
        <v>OK</v>
      </c>
      <c r="H34" s="426">
        <f>SUMIFS('DF Calculation'!M:M,'DF Calculation'!B:B,'Rate Sheet'!A34,'DF Calculation'!C:C,'Rate Sheet'!B34)</f>
        <v>18.489999999999998</v>
      </c>
      <c r="I34" s="138">
        <f t="shared" ca="1" si="5"/>
        <v>0.47000000000000242</v>
      </c>
      <c r="J34" s="139">
        <f ca="1">SUMIFS('DF Calculation'!$P:$P,'DF Calculation'!$B:$B,'Rate Sheet'!A34,'DF Calculation'!$C:$C,'Rate Sheet'!B34)</f>
        <v>18.96</v>
      </c>
      <c r="K34" s="424" t="str">
        <f ca="1">IF(VLOOKUP($C34,'DF Calculation'!$D$7:$N$77,11,FALSE)-I34,"OK",VLOOKUP($C34,'DF Calculation'!$D$7:$N$77,11,FALSE)-I34)</f>
        <v>OK</v>
      </c>
      <c r="L34" s="176"/>
      <c r="M34" s="59"/>
      <c r="O34" s="120"/>
    </row>
    <row r="35" spans="1:15">
      <c r="A35" s="149">
        <v>35</v>
      </c>
      <c r="B35" s="150" t="s">
        <v>503</v>
      </c>
      <c r="C35" s="148" t="str">
        <f>VLOOKUP(B35,'DF Calculation'!$C$8:$D$71,2,FALSE)</f>
        <v>1.5 YARD TEMP PICKUP</v>
      </c>
      <c r="D35" s="426">
        <f>SUMIFS('DF Calculation'!L:L,'DF Calculation'!B:B,'Rate Sheet'!$A35,'DF Calculation'!C:C,'Rate Sheet'!$B35)</f>
        <v>20.64</v>
      </c>
      <c r="E35" s="138">
        <f t="shared" ca="1" si="4"/>
        <v>0.66999999999999815</v>
      </c>
      <c r="F35" s="139">
        <f ca="1">SUMIFS('DF Calculation'!$O:$O,'DF Calculation'!$B:$B,'Rate Sheet'!$A35,'DF Calculation'!$C:$C,'Rate Sheet'!$B35)</f>
        <v>21.31</v>
      </c>
      <c r="G35" s="383" t="str">
        <f ca="1">IF(VLOOKUP($C35,'DF Calculation'!$D$7:$N$77,11,FALSE)-E35,"OK",VLOOKUP($C35,'DF Calculation'!$D$7:$N$77,11,FALSE)-E35)</f>
        <v>OK</v>
      </c>
      <c r="H35" s="426">
        <f>SUMIFS('DF Calculation'!M:M,'DF Calculation'!B:B,'Rate Sheet'!A35,'DF Calculation'!C:C,'Rate Sheet'!B35)</f>
        <v>20.58</v>
      </c>
      <c r="I35" s="138">
        <f t="shared" ca="1" si="5"/>
        <v>0.67000000000000171</v>
      </c>
      <c r="J35" s="139">
        <f ca="1">SUMIFS('DF Calculation'!$P:$P,'DF Calculation'!$B:$B,'Rate Sheet'!A35,'DF Calculation'!$C:$C,'Rate Sheet'!B35)</f>
        <v>21.25</v>
      </c>
      <c r="K35" s="424" t="str">
        <f ca="1">IF(VLOOKUP($C35,'DF Calculation'!$D$7:$N$77,11,FALSE)-I35,"OK",VLOOKUP($C35,'DF Calculation'!$D$7:$N$77,11,FALSE)-I35)</f>
        <v>OK</v>
      </c>
      <c r="L35" s="59"/>
      <c r="M35" s="59"/>
      <c r="O35" s="120"/>
    </row>
    <row r="36" spans="1:15">
      <c r="A36" s="147">
        <v>35</v>
      </c>
      <c r="B36" s="148" t="s">
        <v>504</v>
      </c>
      <c r="C36" s="148" t="str">
        <f>VLOOKUP(B36,'DF Calculation'!$C$8:$D$71,2,FALSE)</f>
        <v>2 YARD TEMP PICKUP</v>
      </c>
      <c r="D36" s="426">
        <f>SUMIFS('DF Calculation'!L:L,'DF Calculation'!B:B,'Rate Sheet'!$A36,'DF Calculation'!C:C,'Rate Sheet'!$B36)</f>
        <v>27.28</v>
      </c>
      <c r="E36" s="138">
        <f t="shared" ca="1" si="4"/>
        <v>0.86999999999999744</v>
      </c>
      <c r="F36" s="139">
        <f ca="1">SUMIFS('DF Calculation'!$O:$O,'DF Calculation'!$B:$B,'Rate Sheet'!$A36,'DF Calculation'!$C:$C,'Rate Sheet'!$B36)</f>
        <v>28.15</v>
      </c>
      <c r="G36" s="383" t="str">
        <f ca="1">IF(VLOOKUP($C36,'DF Calculation'!$D$7:$N$77,11,FALSE)-E36,"OK",VLOOKUP($C36,'DF Calculation'!$D$7:$N$77,11,FALSE)-E36)</f>
        <v>OK</v>
      </c>
      <c r="H36" s="426">
        <f>SUMIFS('DF Calculation'!M:M,'DF Calculation'!B:B,'Rate Sheet'!A36,'DF Calculation'!C:C,'Rate Sheet'!B36)</f>
        <v>27.21</v>
      </c>
      <c r="I36" s="138">
        <f t="shared" ca="1" si="5"/>
        <v>0.86999999999999744</v>
      </c>
      <c r="J36" s="139">
        <f ca="1">SUMIFS('DF Calculation'!$P:$P,'DF Calculation'!$B:$B,'Rate Sheet'!A36,'DF Calculation'!$C:$C,'Rate Sheet'!B36)</f>
        <v>28.08</v>
      </c>
      <c r="K36" s="424" t="str">
        <f ca="1">IF(VLOOKUP($C36,'DF Calculation'!$D$7:$N$77,11,FALSE)-I36,"OK",VLOOKUP($C36,'DF Calculation'!$D$7:$N$77,11,FALSE)-I36)</f>
        <v>OK</v>
      </c>
      <c r="L36" s="177"/>
      <c r="M36" s="59"/>
      <c r="O36" s="120"/>
    </row>
    <row r="37" spans="1:15">
      <c r="A37" s="147">
        <v>36</v>
      </c>
      <c r="B37" s="148" t="s">
        <v>482</v>
      </c>
      <c r="C37" s="148" t="str">
        <f>VLOOKUP(B37,'DF Calculation'!$C$8:$D$71,2,FALSE)</f>
        <v>35 GAL EACH SCHEDULED PICKUP</v>
      </c>
      <c r="D37" s="426">
        <f>SUMIFS('DF Calculation'!L:L,'DF Calculation'!B:B,'Rate Sheet'!$A37,'DF Calculation'!C:C,'Rate Sheet'!$B37)</f>
        <v>5.05</v>
      </c>
      <c r="E37" s="138">
        <f t="shared" ca="1" si="4"/>
        <v>0.10000000000000053</v>
      </c>
      <c r="F37" s="139">
        <f ca="1">SUMIFS('DF Calculation'!$O:$O,'DF Calculation'!$B:$B,'Rate Sheet'!$A37,'DF Calculation'!$C:$C,'Rate Sheet'!$B37)</f>
        <v>5.15</v>
      </c>
      <c r="G37" s="383" t="str">
        <f ca="1">IF(VLOOKUP($C37,'DF Calculation'!$D$7:$N$77,11,FALSE)-E37,"OK",VLOOKUP($C37,'DF Calculation'!$D$7:$N$77,11,FALSE)-E37)</f>
        <v>OK</v>
      </c>
      <c r="H37" s="426">
        <f>SUMIFS('DF Calculation'!M:M,'DF Calculation'!B:B,'Rate Sheet'!A37,'DF Calculation'!C:C,'Rate Sheet'!B37)</f>
        <v>5.04</v>
      </c>
      <c r="I37" s="138">
        <f t="shared" ca="1" si="5"/>
        <v>9.9999999999999645E-2</v>
      </c>
      <c r="J37" s="139">
        <f ca="1">SUMIFS('DF Calculation'!$P:$P,'DF Calculation'!$B:$B,'Rate Sheet'!A37,'DF Calculation'!$C:$C,'Rate Sheet'!B37)</f>
        <v>5.14</v>
      </c>
      <c r="K37" s="424" t="str">
        <f ca="1">IF(VLOOKUP($C37,'DF Calculation'!$D$7:$N$77,11,FALSE)-I37,"OK",VLOOKUP($C37,'DF Calculation'!$D$7:$N$77,11,FALSE)-I37)</f>
        <v>OK</v>
      </c>
      <c r="L37" s="177"/>
      <c r="M37" s="59"/>
      <c r="O37" s="120"/>
    </row>
    <row r="38" spans="1:15">
      <c r="A38" s="149">
        <v>36</v>
      </c>
      <c r="B38" s="150" t="s">
        <v>483</v>
      </c>
      <c r="C38" s="148" t="str">
        <f>VLOOKUP(B38,'DF Calculation'!$C$8:$D$71,2,FALSE)</f>
        <v>35 GAL SPECIAL PICKUP</v>
      </c>
      <c r="D38" s="426">
        <f>SUMIFS('DF Calculation'!L:L,'DF Calculation'!B:B,'Rate Sheet'!$A38,'DF Calculation'!C:C,'Rate Sheet'!$B38)</f>
        <v>15.72</v>
      </c>
      <c r="E38" s="138">
        <f t="shared" ca="1" si="4"/>
        <v>9.9999999999999645E-2</v>
      </c>
      <c r="F38" s="139">
        <f ca="1">SUMIFS('DF Calculation'!$O:$O,'DF Calculation'!$B:$B,'Rate Sheet'!$A38,'DF Calculation'!$C:$C,'Rate Sheet'!$B38)</f>
        <v>15.82</v>
      </c>
      <c r="G38" s="383" t="str">
        <f ca="1">IF(VLOOKUP($C38,'DF Calculation'!$D$7:$N$77,11,FALSE)-E38,"OK",VLOOKUP($C38,'DF Calculation'!$D$7:$N$77,11,FALSE)-E38)</f>
        <v>OK</v>
      </c>
      <c r="H38" s="426">
        <f>SUMIFS('DF Calculation'!M:M,'DF Calculation'!B:B,'Rate Sheet'!A38,'DF Calculation'!C:C,'Rate Sheet'!B38)</f>
        <v>15.68</v>
      </c>
      <c r="I38" s="138">
        <f t="shared" ca="1" si="5"/>
        <v>9.9999999999999645E-2</v>
      </c>
      <c r="J38" s="139">
        <f ca="1">SUMIFS('DF Calculation'!$P:$P,'DF Calculation'!$B:$B,'Rate Sheet'!A38,'DF Calculation'!$C:$C,'Rate Sheet'!B38)</f>
        <v>15.78</v>
      </c>
      <c r="K38" s="424" t="str">
        <f ca="1">IF(VLOOKUP($C38,'DF Calculation'!$D$7:$N$77,11,FALSE)-I38,"OK",VLOOKUP($C38,'DF Calculation'!$D$7:$N$77,11,FALSE)-I38)</f>
        <v>OK</v>
      </c>
      <c r="L38" s="173"/>
      <c r="M38" s="59"/>
      <c r="O38" s="120"/>
    </row>
    <row r="39" spans="1:15">
      <c r="A39" s="149">
        <v>36</v>
      </c>
      <c r="B39" s="150" t="s">
        <v>484</v>
      </c>
      <c r="C39" s="148" t="str">
        <f>VLOOKUP(B39,'DF Calculation'!$C$8:$D$71,2,FALSE)</f>
        <v>35 GAL TEMP PICKUP</v>
      </c>
      <c r="D39" s="426">
        <f>SUMIFS('DF Calculation'!L:L,'DF Calculation'!B:B,'Rate Sheet'!$A39,'DF Calculation'!C:C,'Rate Sheet'!$B39)</f>
        <v>5.05</v>
      </c>
      <c r="E39" s="138">
        <f t="shared" ca="1" si="4"/>
        <v>0.10000000000000053</v>
      </c>
      <c r="F39" s="139">
        <f ca="1">SUMIFS('DF Calculation'!$O:$O,'DF Calculation'!$B:$B,'Rate Sheet'!$A39,'DF Calculation'!$C:$C,'Rate Sheet'!$B39)</f>
        <v>5.15</v>
      </c>
      <c r="G39" s="383" t="str">
        <f ca="1">IF(VLOOKUP($C39,'DF Calculation'!$D$7:$N$77,11,FALSE)-E39,"OK",VLOOKUP($C39,'DF Calculation'!$D$7:$N$77,11,FALSE)-E39)</f>
        <v>OK</v>
      </c>
      <c r="H39" s="426">
        <f>SUMIFS('DF Calculation'!M:M,'DF Calculation'!B:B,'Rate Sheet'!A39,'DF Calculation'!C:C,'Rate Sheet'!B39)</f>
        <v>5.04</v>
      </c>
      <c r="I39" s="138">
        <f t="shared" ca="1" si="5"/>
        <v>9.9999999999999645E-2</v>
      </c>
      <c r="J39" s="139">
        <f ca="1">SUMIFS('DF Calculation'!$P:$P,'DF Calculation'!$B:$B,'Rate Sheet'!A39,'DF Calculation'!$C:$C,'Rate Sheet'!B39)</f>
        <v>5.14</v>
      </c>
      <c r="K39" s="424" t="str">
        <f ca="1">IF(VLOOKUP($C39,'DF Calculation'!$D$7:$N$77,11,FALSE)-I39,"OK",VLOOKUP($C39,'DF Calculation'!$D$7:$N$77,11,FALSE)-I39)</f>
        <v>OK</v>
      </c>
      <c r="L39" s="59"/>
      <c r="M39" s="59"/>
      <c r="O39" s="120"/>
    </row>
    <row r="40" spans="1:15">
      <c r="A40" s="147">
        <v>36</v>
      </c>
      <c r="B40" s="148" t="s">
        <v>485</v>
      </c>
      <c r="C40" s="148" t="str">
        <f>VLOOKUP(B40,'DF Calculation'!$C$8:$D$71,2,FALSE)</f>
        <v>48 GAL EACH SCHEDULED PICKUP</v>
      </c>
      <c r="D40" s="426">
        <f>SUMIFS('DF Calculation'!L:L,'DF Calculation'!B:B,'Rate Sheet'!$A40,'DF Calculation'!C:C,'Rate Sheet'!$B40)</f>
        <v>5.97</v>
      </c>
      <c r="E40" s="138">
        <f t="shared" ca="1" si="4"/>
        <v>0.12999999999999989</v>
      </c>
      <c r="F40" s="139">
        <f ca="1">SUMIFS('DF Calculation'!$O:$O,'DF Calculation'!$B:$B,'Rate Sheet'!$A40,'DF Calculation'!$C:$C,'Rate Sheet'!$B40)</f>
        <v>6.1</v>
      </c>
      <c r="G40" s="383" t="str">
        <f ca="1">IF(VLOOKUP($C40,'DF Calculation'!$D$7:$N$77,11,FALSE)-E40,"OK",VLOOKUP($C40,'DF Calculation'!$D$7:$N$77,11,FALSE)-E40)</f>
        <v>OK</v>
      </c>
      <c r="H40" s="426">
        <f>SUMIFS('DF Calculation'!M:M,'DF Calculation'!B:B,'Rate Sheet'!A40,'DF Calculation'!C:C,'Rate Sheet'!B40)</f>
        <v>5.95</v>
      </c>
      <c r="I40" s="138">
        <f t="shared" ca="1" si="5"/>
        <v>0.12999999999999989</v>
      </c>
      <c r="J40" s="139">
        <f ca="1">SUMIFS('DF Calculation'!$P:$P,'DF Calculation'!$B:$B,'Rate Sheet'!A40,'DF Calculation'!$C:$C,'Rate Sheet'!B40)</f>
        <v>6.08</v>
      </c>
      <c r="K40" s="424" t="str">
        <f ca="1">IF(VLOOKUP($C40,'DF Calculation'!$D$7:$N$77,11,FALSE)-I40,"OK",VLOOKUP($C40,'DF Calculation'!$D$7:$N$77,11,FALSE)-I40)</f>
        <v>OK</v>
      </c>
      <c r="L40" s="173"/>
      <c r="M40" s="59"/>
      <c r="O40" s="120"/>
    </row>
    <row r="41" spans="1:15">
      <c r="A41" s="147">
        <v>36</v>
      </c>
      <c r="B41" s="148" t="s">
        <v>486</v>
      </c>
      <c r="C41" s="148" t="str">
        <f>VLOOKUP(B41,'DF Calculation'!$C$8:$D$71,2,FALSE)</f>
        <v>48 GAL SPECIAL PICKUP</v>
      </c>
      <c r="D41" s="426">
        <f>SUMIFS('DF Calculation'!L:L,'DF Calculation'!B:B,'Rate Sheet'!$A41,'DF Calculation'!C:C,'Rate Sheet'!$B41)</f>
        <v>16.63</v>
      </c>
      <c r="E41" s="138">
        <f t="shared" ca="1" si="4"/>
        <v>0.13000000000000256</v>
      </c>
      <c r="F41" s="139">
        <f ca="1">SUMIFS('DF Calculation'!$O:$O,'DF Calculation'!$B:$B,'Rate Sheet'!$A41,'DF Calculation'!$C:$C,'Rate Sheet'!$B41)</f>
        <v>16.760000000000002</v>
      </c>
      <c r="G41" s="383" t="str">
        <f ca="1">IF(VLOOKUP($C41,'DF Calculation'!$D$7:$N$77,11,FALSE)-E41,"OK",VLOOKUP($C41,'DF Calculation'!$D$7:$N$77,11,FALSE)-E41)</f>
        <v>OK</v>
      </c>
      <c r="H41" s="426">
        <f>SUMIFS('DF Calculation'!M:M,'DF Calculation'!B:B,'Rate Sheet'!A41,'DF Calculation'!C:C,'Rate Sheet'!B41)</f>
        <v>16.59</v>
      </c>
      <c r="I41" s="138">
        <f t="shared" ca="1" si="5"/>
        <v>0.12999999999999901</v>
      </c>
      <c r="J41" s="139">
        <f ca="1">SUMIFS('DF Calculation'!$P:$P,'DF Calculation'!$B:$B,'Rate Sheet'!A41,'DF Calculation'!$C:$C,'Rate Sheet'!B41)</f>
        <v>16.72</v>
      </c>
      <c r="K41" s="424" t="str">
        <f ca="1">IF(VLOOKUP($C41,'DF Calculation'!$D$7:$N$77,11,FALSE)-I41,"OK",VLOOKUP($C41,'DF Calculation'!$D$7:$N$77,11,FALSE)-I41)</f>
        <v>OK</v>
      </c>
      <c r="L41" s="176"/>
      <c r="M41" s="59"/>
      <c r="O41" s="120"/>
    </row>
    <row r="42" spans="1:15">
      <c r="A42" s="147">
        <v>36</v>
      </c>
      <c r="B42" s="148" t="s">
        <v>487</v>
      </c>
      <c r="C42" s="148" t="str">
        <f>VLOOKUP(B42,'DF Calculation'!$C$8:$D$71,2,FALSE)</f>
        <v>48 GAL TEMP PICKUP</v>
      </c>
      <c r="D42" s="426">
        <f>SUMIFS('DF Calculation'!L:L,'DF Calculation'!B:B,'Rate Sheet'!$A42,'DF Calculation'!C:C,'Rate Sheet'!$B42)</f>
        <v>5.97</v>
      </c>
      <c r="E42" s="138">
        <f t="shared" ca="1" si="4"/>
        <v>0.12999999999999989</v>
      </c>
      <c r="F42" s="139">
        <f ca="1">SUMIFS('DF Calculation'!$O:$O,'DF Calculation'!$B:$B,'Rate Sheet'!$A42,'DF Calculation'!$C:$C,'Rate Sheet'!$B42)</f>
        <v>6.1</v>
      </c>
      <c r="G42" s="383" t="str">
        <f ca="1">IF(VLOOKUP($C42,'DF Calculation'!$D$7:$N$77,11,FALSE)-E42,"OK",VLOOKUP($C42,'DF Calculation'!$D$7:$N$77,11,FALSE)-E42)</f>
        <v>OK</v>
      </c>
      <c r="H42" s="426">
        <f>SUMIFS('DF Calculation'!M:M,'DF Calculation'!B:B,'Rate Sheet'!A42,'DF Calculation'!C:C,'Rate Sheet'!B42)</f>
        <v>5.95</v>
      </c>
      <c r="I42" s="138">
        <f t="shared" ca="1" si="5"/>
        <v>0.12999999999999989</v>
      </c>
      <c r="J42" s="139">
        <f ca="1">SUMIFS('DF Calculation'!$P:$P,'DF Calculation'!$B:$B,'Rate Sheet'!A42,'DF Calculation'!$C:$C,'Rate Sheet'!B42)</f>
        <v>6.08</v>
      </c>
      <c r="K42" s="424" t="str">
        <f ca="1">IF(VLOOKUP($C42,'DF Calculation'!$D$7:$N$77,11,FALSE)-I42,"OK",VLOOKUP($C42,'DF Calculation'!$D$7:$N$77,11,FALSE)-I42)</f>
        <v>OK</v>
      </c>
      <c r="L42" s="176"/>
      <c r="M42" s="59"/>
      <c r="O42" s="120"/>
    </row>
    <row r="43" spans="1:15">
      <c r="A43" s="147">
        <v>36</v>
      </c>
      <c r="B43" s="148" t="s">
        <v>488</v>
      </c>
      <c r="C43" s="148" t="str">
        <f>VLOOKUP(B43,'DF Calculation'!$C$8:$D$71,2,FALSE)</f>
        <v>64 GAL EACH SCHEDULED PICKUP</v>
      </c>
      <c r="D43" s="426">
        <f>SUMIFS('DF Calculation'!L:L,'DF Calculation'!B:B,'Rate Sheet'!$A43,'DF Calculation'!C:C,'Rate Sheet'!$B43)</f>
        <v>7.05</v>
      </c>
      <c r="E43" s="138">
        <f t="shared" ca="1" si="4"/>
        <v>0.14000000000000057</v>
      </c>
      <c r="F43" s="139">
        <f ca="1">SUMIFS('DF Calculation'!$O:$O,'DF Calculation'!$B:$B,'Rate Sheet'!$A43,'DF Calculation'!$C:$C,'Rate Sheet'!$B43)</f>
        <v>7.19</v>
      </c>
      <c r="G43" s="383" t="str">
        <f ca="1">IF(VLOOKUP($C43,'DF Calculation'!$D$7:$N$77,11,FALSE)-E43,"OK",VLOOKUP($C43,'DF Calculation'!$D$7:$N$77,11,FALSE)-E43)</f>
        <v>OK</v>
      </c>
      <c r="H43" s="426">
        <f>SUMIFS('DF Calculation'!M:M,'DF Calculation'!B:B,'Rate Sheet'!A43,'DF Calculation'!C:C,'Rate Sheet'!B43)</f>
        <v>7.03</v>
      </c>
      <c r="I43" s="138">
        <f t="shared" ca="1" si="5"/>
        <v>0.13999999999999968</v>
      </c>
      <c r="J43" s="139">
        <f ca="1">SUMIFS('DF Calculation'!$P:$P,'DF Calculation'!$B:$B,'Rate Sheet'!A43,'DF Calculation'!$C:$C,'Rate Sheet'!B43)</f>
        <v>7.17</v>
      </c>
      <c r="K43" s="424" t="str">
        <f ca="1">IF(VLOOKUP($C43,'DF Calculation'!$D$7:$N$77,11,FALSE)-I43,"OK",VLOOKUP($C43,'DF Calculation'!$D$7:$N$77,11,FALSE)-I43)</f>
        <v>OK</v>
      </c>
      <c r="L43" s="176"/>
      <c r="M43" s="59"/>
      <c r="O43" s="120"/>
    </row>
    <row r="44" spans="1:15">
      <c r="A44" s="147">
        <v>36</v>
      </c>
      <c r="B44" s="148" t="s">
        <v>489</v>
      </c>
      <c r="C44" s="148" t="str">
        <f>VLOOKUP(B44,'DF Calculation'!$C$8:$D$71,2,FALSE)</f>
        <v>64 GAL SPECIAL PICKUP</v>
      </c>
      <c r="D44" s="426">
        <f>SUMIFS('DF Calculation'!L:L,'DF Calculation'!B:B,'Rate Sheet'!$A44,'DF Calculation'!C:C,'Rate Sheet'!$B44)</f>
        <v>17.73</v>
      </c>
      <c r="E44" s="138">
        <f t="shared" ca="1" si="4"/>
        <v>0.14000000000000057</v>
      </c>
      <c r="F44" s="139">
        <f ca="1">SUMIFS('DF Calculation'!$O:$O,'DF Calculation'!$B:$B,'Rate Sheet'!$A44,'DF Calculation'!$C:$C,'Rate Sheet'!$B44)</f>
        <v>17.87</v>
      </c>
      <c r="G44" s="383" t="str">
        <f ca="1">IF(VLOOKUP($C44,'DF Calculation'!$D$7:$N$77,11,FALSE)-E44,"OK",VLOOKUP($C44,'DF Calculation'!$D$7:$N$77,11,FALSE)-E44)</f>
        <v>OK</v>
      </c>
      <c r="H44" s="426">
        <f>SUMIFS('DF Calculation'!M:M,'DF Calculation'!B:B,'Rate Sheet'!A44,'DF Calculation'!C:C,'Rate Sheet'!B44)</f>
        <v>17.68</v>
      </c>
      <c r="I44" s="138">
        <f t="shared" ca="1" si="5"/>
        <v>0.14000000000000057</v>
      </c>
      <c r="J44" s="139">
        <f ca="1">SUMIFS('DF Calculation'!$P:$P,'DF Calculation'!$B:$B,'Rate Sheet'!A44,'DF Calculation'!$C:$C,'Rate Sheet'!B44)</f>
        <v>17.82</v>
      </c>
      <c r="K44" s="424" t="str">
        <f ca="1">IF(VLOOKUP($C44,'DF Calculation'!$D$7:$N$77,11,FALSE)-I44,"OK",VLOOKUP($C44,'DF Calculation'!$D$7:$N$77,11,FALSE)-I44)</f>
        <v>OK</v>
      </c>
      <c r="L44" s="173"/>
      <c r="O44" s="120"/>
    </row>
    <row r="45" spans="1:15">
      <c r="A45" s="147">
        <v>36</v>
      </c>
      <c r="B45" s="148" t="s">
        <v>490</v>
      </c>
      <c r="C45" s="148" t="str">
        <f>VLOOKUP(B45,'DF Calculation'!$C$8:$D$71,2,FALSE)</f>
        <v>64 GAL TEMP PICKUP</v>
      </c>
      <c r="D45" s="426">
        <f>SUMIFS('DF Calculation'!L:L,'DF Calculation'!B:B,'Rate Sheet'!$A45,'DF Calculation'!C:C,'Rate Sheet'!$B45)</f>
        <v>7.05</v>
      </c>
      <c r="E45" s="138">
        <f t="shared" ca="1" si="4"/>
        <v>0.14000000000000057</v>
      </c>
      <c r="F45" s="139">
        <f ca="1">SUMIFS('DF Calculation'!$O:$O,'DF Calculation'!$B:$B,'Rate Sheet'!$A45,'DF Calculation'!$C:$C,'Rate Sheet'!$B45)</f>
        <v>7.19</v>
      </c>
      <c r="G45" s="383" t="str">
        <f ca="1">IF(VLOOKUP($C45,'DF Calculation'!$D$7:$N$77,11,FALSE)-E45,"OK",VLOOKUP($C45,'DF Calculation'!$D$7:$N$77,11,FALSE)-E45)</f>
        <v>OK</v>
      </c>
      <c r="H45" s="426">
        <f>SUMIFS('DF Calculation'!M:M,'DF Calculation'!B:B,'Rate Sheet'!A45,'DF Calculation'!C:C,'Rate Sheet'!B45)</f>
        <v>7.03</v>
      </c>
      <c r="I45" s="138">
        <f t="shared" ca="1" si="5"/>
        <v>0.13999999999999968</v>
      </c>
      <c r="J45" s="139">
        <f ca="1">SUMIFS('DF Calculation'!$P:$P,'DF Calculation'!$B:$B,'Rate Sheet'!A45,'DF Calculation'!$C:$C,'Rate Sheet'!B45)</f>
        <v>7.17</v>
      </c>
      <c r="K45" s="424" t="str">
        <f ca="1">IF(VLOOKUP($C45,'DF Calculation'!$D$7:$N$77,11,FALSE)-I45,"OK",VLOOKUP($C45,'DF Calculation'!$D$7:$N$77,11,FALSE)-I45)</f>
        <v>OK</v>
      </c>
      <c r="L45" s="173"/>
      <c r="O45" s="120"/>
    </row>
    <row r="46" spans="1:15">
      <c r="A46" s="147">
        <v>36</v>
      </c>
      <c r="B46" s="148" t="s">
        <v>491</v>
      </c>
      <c r="C46" s="148" t="str">
        <f>VLOOKUP(B46,'DF Calculation'!$C$8:$D$71,2,FALSE)</f>
        <v>96 GAL EACH SCHEDULED PICKUP</v>
      </c>
      <c r="D46" s="426">
        <f>SUMIFS('DF Calculation'!L:L,'DF Calculation'!B:B,'Rate Sheet'!$A46,'DF Calculation'!C:C,'Rate Sheet'!$B46)</f>
        <v>8.85</v>
      </c>
      <c r="E46" s="138">
        <f t="shared" ca="1" si="4"/>
        <v>0.21000000000000085</v>
      </c>
      <c r="F46" s="139">
        <f ca="1">SUMIFS('DF Calculation'!$O:$O,'DF Calculation'!$B:$B,'Rate Sheet'!$A46,'DF Calculation'!$C:$C,'Rate Sheet'!$B46)</f>
        <v>9.06</v>
      </c>
      <c r="G46" s="383" t="str">
        <f ca="1">IF(VLOOKUP($C46,'DF Calculation'!$D$7:$N$77,11,FALSE)-E46,"OK",VLOOKUP($C46,'DF Calculation'!$D$7:$N$77,11,FALSE)-E46)</f>
        <v>OK</v>
      </c>
      <c r="H46" s="426">
        <f>SUMIFS('DF Calculation'!M:M,'DF Calculation'!B:B,'Rate Sheet'!A46,'DF Calculation'!C:C,'Rate Sheet'!B46)</f>
        <v>8.83</v>
      </c>
      <c r="I46" s="138">
        <f t="shared" ca="1" si="5"/>
        <v>0.20999999999999908</v>
      </c>
      <c r="J46" s="139">
        <f ca="1">SUMIFS('DF Calculation'!$P:$P,'DF Calculation'!$B:$B,'Rate Sheet'!A46,'DF Calculation'!$C:$C,'Rate Sheet'!B46)</f>
        <v>9.0399999999999991</v>
      </c>
      <c r="K46" s="424" t="str">
        <f ca="1">IF(VLOOKUP($C46,'DF Calculation'!$D$7:$N$77,11,FALSE)-I46,"OK",VLOOKUP($C46,'DF Calculation'!$D$7:$N$77,11,FALSE)-I46)</f>
        <v>OK</v>
      </c>
      <c r="L46" s="173"/>
      <c r="O46" s="120"/>
    </row>
    <row r="47" spans="1:15">
      <c r="A47" s="147">
        <v>36</v>
      </c>
      <c r="B47" s="148" t="s">
        <v>492</v>
      </c>
      <c r="C47" s="148" t="str">
        <f>VLOOKUP(B47,'DF Calculation'!$C$8:$D$71,2,FALSE)</f>
        <v>96 GAL SPECIAL PICKUP</v>
      </c>
      <c r="D47" s="426">
        <f>SUMIFS('DF Calculation'!L:L,'DF Calculation'!B:B,'Rate Sheet'!$A47,'DF Calculation'!C:C,'Rate Sheet'!$B47)</f>
        <v>19.52</v>
      </c>
      <c r="E47" s="138">
        <f t="shared" ca="1" si="4"/>
        <v>0.21000000000000085</v>
      </c>
      <c r="F47" s="139">
        <f ca="1">SUMIFS('DF Calculation'!$O:$O,'DF Calculation'!$B:$B,'Rate Sheet'!$A47,'DF Calculation'!$C:$C,'Rate Sheet'!$B47)</f>
        <v>19.73</v>
      </c>
      <c r="G47" s="383" t="str">
        <f ca="1">IF(VLOOKUP($C47,'DF Calculation'!$D$7:$N$77,11,FALSE)-E47,"OK",VLOOKUP($C47,'DF Calculation'!$D$7:$N$77,11,FALSE)-E47)</f>
        <v>OK</v>
      </c>
      <c r="H47" s="426">
        <f>SUMIFS('DF Calculation'!M:M,'DF Calculation'!B:B,'Rate Sheet'!A47,'DF Calculation'!C:C,'Rate Sheet'!B47)</f>
        <v>19.47</v>
      </c>
      <c r="I47" s="138">
        <f t="shared" ca="1" si="5"/>
        <v>0.21000000000000085</v>
      </c>
      <c r="J47" s="139">
        <f ca="1">SUMIFS('DF Calculation'!$P:$P,'DF Calculation'!$B:$B,'Rate Sheet'!A47,'DF Calculation'!$C:$C,'Rate Sheet'!B47)</f>
        <v>19.68</v>
      </c>
      <c r="K47" s="424" t="str">
        <f ca="1">IF(VLOOKUP($C47,'DF Calculation'!$D$7:$N$77,11,FALSE)-I47,"OK",VLOOKUP($C47,'DF Calculation'!$D$7:$N$77,11,FALSE)-I47)</f>
        <v>OK</v>
      </c>
      <c r="L47" s="176"/>
      <c r="O47" s="120"/>
    </row>
    <row r="48" spans="1:15">
      <c r="A48" s="147">
        <v>36</v>
      </c>
      <c r="B48" s="148" t="s">
        <v>493</v>
      </c>
      <c r="C48" s="148" t="str">
        <f>VLOOKUP(B48,'DF Calculation'!$C$8:$D$71,2,FALSE)</f>
        <v>96 GAL TEMP PICKUP</v>
      </c>
      <c r="D48" s="426">
        <f>SUMIFS('DF Calculation'!L:L,'DF Calculation'!B:B,'Rate Sheet'!$A48,'DF Calculation'!C:C,'Rate Sheet'!$B48)</f>
        <v>8.85</v>
      </c>
      <c r="E48" s="138">
        <f t="shared" ca="1" si="4"/>
        <v>0.21000000000000085</v>
      </c>
      <c r="F48" s="139">
        <f ca="1">SUMIFS('DF Calculation'!$O:$O,'DF Calculation'!$B:$B,'Rate Sheet'!$A48,'DF Calculation'!$C:$C,'Rate Sheet'!$B48)</f>
        <v>9.06</v>
      </c>
      <c r="G48" s="383" t="str">
        <f ca="1">IF(VLOOKUP($C48,'DF Calculation'!$D$7:$N$77,11,FALSE)-E48,"OK",VLOOKUP($C48,'DF Calculation'!$D$7:$N$77,11,FALSE)-E48)</f>
        <v>OK</v>
      </c>
      <c r="H48" s="426">
        <f>SUMIFS('DF Calculation'!M:M,'DF Calculation'!B:B,'Rate Sheet'!A48,'DF Calculation'!C:C,'Rate Sheet'!B48)</f>
        <v>8.83</v>
      </c>
      <c r="I48" s="138">
        <f t="shared" ca="1" si="5"/>
        <v>0.20999999999999908</v>
      </c>
      <c r="J48" s="139">
        <f ca="1">SUMIFS('DF Calculation'!$P:$P,'DF Calculation'!$B:$B,'Rate Sheet'!A48,'DF Calculation'!$C:$C,'Rate Sheet'!B48)</f>
        <v>9.0399999999999991</v>
      </c>
      <c r="K48" s="424" t="str">
        <f ca="1">IF(VLOOKUP($C48,'DF Calculation'!$D$7:$N$77,11,FALSE)-I48,"OK",VLOOKUP($C48,'DF Calculation'!$D$7:$N$77,11,FALSE)-I48)</f>
        <v>OK</v>
      </c>
      <c r="L48" s="173"/>
      <c r="O48" s="120"/>
    </row>
    <row r="49" spans="1:15">
      <c r="A49" s="147">
        <v>36</v>
      </c>
      <c r="B49" s="148" t="s">
        <v>509</v>
      </c>
      <c r="C49" s="148" t="str">
        <f>VLOOKUP(B49,'DF Calculation'!$C$8:$D$77,2,FALSE)</f>
        <v>MINIMUM MONTHLY CHARGE</v>
      </c>
      <c r="D49" s="426">
        <f>SUMIFS('DF Calculation'!L:L,'DF Calculation'!B:B,'Rate Sheet'!$A49,'DF Calculation'!C:C,'Rate Sheet'!$B49)</f>
        <v>20.16</v>
      </c>
      <c r="E49" s="138">
        <f t="shared" ref="E49" ca="1" si="8">F49-D49</f>
        <v>0.33999999999999986</v>
      </c>
      <c r="F49" s="139">
        <f ca="1">SUMIFS('DF Calculation'!$O:$O,'DF Calculation'!$B:$B,'Rate Sheet'!$A49,'DF Calculation'!$C:$C,'Rate Sheet'!$B49)</f>
        <v>20.5</v>
      </c>
      <c r="G49" s="383" t="str">
        <f ca="1">IF(VLOOKUP($C49,'DF Calculation'!$D$7:$N$77,11,FALSE)-E49,"OK",VLOOKUP($C49,'DF Calculation'!$D$7:$N$77,11,FALSE)-E49)</f>
        <v>OK</v>
      </c>
      <c r="H49" s="426">
        <f>SUMIFS('DF Calculation'!M:M,'DF Calculation'!B:B,'Rate Sheet'!A49,'DF Calculation'!C:C,'Rate Sheet'!B49)</f>
        <v>20.100000000000001</v>
      </c>
      <c r="I49" s="138">
        <f t="shared" ref="I49" ca="1" si="9">J49-H49</f>
        <v>0.33999999999999986</v>
      </c>
      <c r="J49" s="139">
        <f ca="1">SUMIFS('DF Calculation'!$P:$P,'DF Calculation'!$B:$B,'Rate Sheet'!A49,'DF Calculation'!$C:$C,'Rate Sheet'!B49)</f>
        <v>20.440000000000001</v>
      </c>
      <c r="K49" s="424" t="str">
        <f ca="1">IF(VLOOKUP($C49,'DF Calculation'!$D$7:$N$77,11,FALSE)-I49,"OK",VLOOKUP($C49,'DF Calculation'!$D$7:$N$77,11,FALSE)-I49)</f>
        <v>OK</v>
      </c>
      <c r="L49" s="173"/>
      <c r="O49" s="120"/>
    </row>
    <row r="50" spans="1:15">
      <c r="A50" s="147">
        <v>36</v>
      </c>
      <c r="B50" s="148" t="s">
        <v>510</v>
      </c>
      <c r="C50" s="148" t="str">
        <f>VLOOKUP(B50,'DF Calculation'!$C$8:$D$77,2,FALSE)</f>
        <v>AUTOMATED 35 GAL CART MIN CHARGE</v>
      </c>
      <c r="D50" s="426">
        <f>SUMIFS('DF Calculation'!L:L,'DF Calculation'!B:B,'Rate Sheet'!$A50,'DF Calculation'!C:C,'Rate Sheet'!$B50)</f>
        <v>21.69</v>
      </c>
      <c r="E50" s="138">
        <f t="shared" ref="E50:E53" ca="1" si="10">F50-D50</f>
        <v>0.42999999999999972</v>
      </c>
      <c r="F50" s="139">
        <f ca="1">SUMIFS('DF Calculation'!$O:$O,'DF Calculation'!$B:$B,'Rate Sheet'!$A50,'DF Calculation'!$C:$C,'Rate Sheet'!$B50)</f>
        <v>22.12</v>
      </c>
      <c r="G50" s="383" t="str">
        <f ca="1">IF(VLOOKUP($C50,'DF Calculation'!$D$7:$N$77,11,FALSE)-E50,"OK",VLOOKUP($C50,'DF Calculation'!$D$7:$N$77,11,FALSE)-E50)</f>
        <v>OK</v>
      </c>
      <c r="H50" s="426">
        <f>SUMIFS('DF Calculation'!M:M,'DF Calculation'!B:B,'Rate Sheet'!A50,'DF Calculation'!C:C,'Rate Sheet'!B50)</f>
        <v>21.63</v>
      </c>
      <c r="I50" s="138">
        <f t="shared" ref="I50:I53" ca="1" si="11">J50-H50</f>
        <v>0.42999999999999972</v>
      </c>
      <c r="J50" s="139">
        <f ca="1">SUMIFS('DF Calculation'!$P:$P,'DF Calculation'!$B:$B,'Rate Sheet'!A50,'DF Calculation'!$C:$C,'Rate Sheet'!B50)</f>
        <v>22.06</v>
      </c>
      <c r="K50" s="424" t="str">
        <f ca="1">IF(VLOOKUP($C50,'DF Calculation'!$D$7:$N$77,11,FALSE)-I50,"OK",VLOOKUP($C50,'DF Calculation'!$D$7:$N$77,11,FALSE)-I50)</f>
        <v>OK</v>
      </c>
    </row>
    <row r="51" spans="1:15">
      <c r="A51" s="147">
        <v>36</v>
      </c>
      <c r="B51" s="148" t="s">
        <v>511</v>
      </c>
      <c r="C51" s="148" t="str">
        <f>VLOOKUP(B51,'DF Calculation'!$C$8:$D$77,2,FALSE)</f>
        <v>AUTOMATED 48 GAL CART MIN CHARGE</v>
      </c>
      <c r="D51" s="426">
        <f>SUMIFS('DF Calculation'!L:L,'DF Calculation'!B:B,'Rate Sheet'!$A51,'DF Calculation'!C:C,'Rate Sheet'!$B51)</f>
        <v>25.62</v>
      </c>
      <c r="E51" s="138">
        <f t="shared" ca="1" si="10"/>
        <v>0.55999999999999872</v>
      </c>
      <c r="F51" s="139">
        <f ca="1">SUMIFS('DF Calculation'!$O:$O,'DF Calculation'!$B:$B,'Rate Sheet'!$A51,'DF Calculation'!$C:$C,'Rate Sheet'!$B51)</f>
        <v>26.18</v>
      </c>
      <c r="G51" s="383" t="str">
        <f ca="1">IF(VLOOKUP($C51,'DF Calculation'!$D$7:$N$77,11,FALSE)-E51,"OK",VLOOKUP($C51,'DF Calculation'!$D$7:$N$77,11,FALSE)-E51)</f>
        <v>OK</v>
      </c>
      <c r="H51" s="426">
        <f>SUMIFS('DF Calculation'!M:M,'DF Calculation'!B:B,'Rate Sheet'!A51,'DF Calculation'!C:C,'Rate Sheet'!B51)</f>
        <v>25.55</v>
      </c>
      <c r="I51" s="138">
        <f t="shared" ca="1" si="11"/>
        <v>0.55999999999999872</v>
      </c>
      <c r="J51" s="139">
        <f ca="1">SUMIFS('DF Calculation'!$P:$P,'DF Calculation'!$B:$B,'Rate Sheet'!A51,'DF Calculation'!$C:$C,'Rate Sheet'!B51)</f>
        <v>26.11</v>
      </c>
      <c r="K51" s="424" t="str">
        <f ca="1">IF(VLOOKUP($C51,'DF Calculation'!$D$7:$N$77,11,FALSE)-I51,"OK",VLOOKUP($C51,'DF Calculation'!$D$7:$N$77,11,FALSE)-I51)</f>
        <v>OK</v>
      </c>
    </row>
    <row r="52" spans="1:15">
      <c r="A52" s="147">
        <v>36</v>
      </c>
      <c r="B52" s="148" t="s">
        <v>512</v>
      </c>
      <c r="C52" s="148" t="str">
        <f>VLOOKUP(B52,'DF Calculation'!$C$8:$D$77,2,FALSE)</f>
        <v>AUTOMATED 64 GAL CART MIN CHARGE</v>
      </c>
      <c r="D52" s="426">
        <f>SUMIFS('DF Calculation'!L:L,'DF Calculation'!B:B,'Rate Sheet'!$A52,'DF Calculation'!C:C,'Rate Sheet'!$B52)</f>
        <v>30.22</v>
      </c>
      <c r="E52" s="138">
        <f t="shared" ca="1" si="10"/>
        <v>0.58999999999999986</v>
      </c>
      <c r="F52" s="139">
        <f ca="1">SUMIFS('DF Calculation'!$O:$O,'DF Calculation'!$B:$B,'Rate Sheet'!$A52,'DF Calculation'!$C:$C,'Rate Sheet'!$B52)</f>
        <v>30.81</v>
      </c>
      <c r="G52" s="383" t="str">
        <f ca="1">IF(VLOOKUP($C52,'DF Calculation'!$D$7:$N$77,11,FALSE)-E52,"OK",VLOOKUP($C52,'DF Calculation'!$D$7:$N$77,11,FALSE)-E52)</f>
        <v>OK</v>
      </c>
      <c r="H52" s="426">
        <f>SUMIFS('DF Calculation'!M:M,'DF Calculation'!B:B,'Rate Sheet'!A52,'DF Calculation'!C:C,'Rate Sheet'!B52)</f>
        <v>30.14</v>
      </c>
      <c r="I52" s="138">
        <f t="shared" ca="1" si="11"/>
        <v>0.58999999999999986</v>
      </c>
      <c r="J52" s="139">
        <f ca="1">SUMIFS('DF Calculation'!$P:$P,'DF Calculation'!$B:$B,'Rate Sheet'!A52,'DF Calculation'!$C:$C,'Rate Sheet'!B52)</f>
        <v>30.73</v>
      </c>
      <c r="K52" s="424" t="str">
        <f ca="1">IF(VLOOKUP($C52,'DF Calculation'!$D$7:$N$77,11,FALSE)-I52,"OK",VLOOKUP($C52,'DF Calculation'!$D$7:$N$77,11,FALSE)-I52)</f>
        <v>OK</v>
      </c>
    </row>
    <row r="53" spans="1:15">
      <c r="A53" s="147">
        <v>36</v>
      </c>
      <c r="B53" s="148" t="s">
        <v>513</v>
      </c>
      <c r="C53" s="148" t="str">
        <f>VLOOKUP(B53,'DF Calculation'!$C$8:$D$77,2,FALSE)</f>
        <v>AUTOMATED 96 GAL CART MIN CHARGE</v>
      </c>
      <c r="D53" s="426">
        <f>SUMIFS('DF Calculation'!L:L,'DF Calculation'!B:B,'Rate Sheet'!$A53,'DF Calculation'!C:C,'Rate Sheet'!$B53)</f>
        <v>37.94</v>
      </c>
      <c r="E53" s="138">
        <f t="shared" ca="1" si="10"/>
        <v>0.89000000000000057</v>
      </c>
      <c r="F53" s="139">
        <f ca="1">SUMIFS('DF Calculation'!$O:$O,'DF Calculation'!$B:$B,'Rate Sheet'!$A53,'DF Calculation'!$C:$C,'Rate Sheet'!$B53)</f>
        <v>38.83</v>
      </c>
      <c r="G53" s="383" t="str">
        <f ca="1">IF(VLOOKUP($C53,'DF Calculation'!$D$7:$N$77,11,FALSE)-E53,"OK",VLOOKUP($C53,'DF Calculation'!$D$7:$N$77,11,FALSE)-E53)</f>
        <v>OK</v>
      </c>
      <c r="H53" s="426">
        <f>SUMIFS('DF Calculation'!M:M,'DF Calculation'!B:B,'Rate Sheet'!A53,'DF Calculation'!C:C,'Rate Sheet'!B53)</f>
        <v>37.840000000000003</v>
      </c>
      <c r="I53" s="138">
        <f t="shared" ca="1" si="11"/>
        <v>0.88999999999999346</v>
      </c>
      <c r="J53" s="139">
        <f ca="1">SUMIFS('DF Calculation'!$P:$P,'DF Calculation'!$B:$B,'Rate Sheet'!A53,'DF Calculation'!$C:$C,'Rate Sheet'!B53)</f>
        <v>38.729999999999997</v>
      </c>
      <c r="K53" s="424" t="str">
        <f ca="1">IF(VLOOKUP($C53,'DF Calculation'!$D$7:$N$77,11,FALSE)-I53,"OK",VLOOKUP($C53,'DF Calculation'!$D$7:$N$77,11,FALSE)-I53)</f>
        <v>OK</v>
      </c>
    </row>
    <row r="55" spans="1:15">
      <c r="E55" s="120"/>
    </row>
    <row r="56" spans="1:15">
      <c r="E56" s="120"/>
    </row>
    <row r="57" spans="1:15">
      <c r="E57" s="120"/>
    </row>
    <row r="58" spans="1:15">
      <c r="E58" s="120"/>
    </row>
  </sheetData>
  <pageMargins left="0.2" right="0.2" top="0.5" bottom="0.5" header="0.3" footer="0.3"/>
  <pageSetup scale="75" fitToHeight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F1D3148848E94FBEF933BDF4A6BAAE" ma:contentTypeVersion="36" ma:contentTypeDescription="" ma:contentTypeScope="" ma:versionID="afe74c14dd1d41a7159bef03584322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2021-12-14T08:00:00+00:00</OpenedDate>
    <Date1 xmlns="dc463f71-b30c-4ab2-9473-d307f9d35888">2021-12-14T08:00:00+00:00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DocketNumber xmlns="dc463f71-b30c-4ab2-9473-d307f9d35888">210965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5B6C79-F2E0-4DDA-A53D-21C65A8F4537}"/>
</file>

<file path=customXml/itemProps3.xml><?xml version="1.0" encoding="utf-8"?>
<ds:datastoreItem xmlns:ds="http://schemas.openxmlformats.org/officeDocument/2006/customXml" ds:itemID="{DCE84852-5B37-4380-8EB6-C7EE6EC8483E}"/>
</file>

<file path=customXml/itemProps4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c463f71-b30c-4ab2-9473-d307f9d3588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References</vt:lpstr>
      <vt:lpstr>DF Calculation</vt:lpstr>
      <vt:lpstr>Mapping</vt:lpstr>
      <vt:lpstr>Disposal Schedule</vt:lpstr>
      <vt:lpstr>Mason Co. Regulated - Price Out</vt:lpstr>
      <vt:lpstr>Kitsap Regulated - Price Out</vt:lpstr>
      <vt:lpstr>Rate Sheet</vt:lpstr>
      <vt:lpstr>'DF Calculation'!Print_Area</vt:lpstr>
      <vt:lpstr>'Kitsap Regulated - Price Out'!Print_Area</vt:lpstr>
      <vt:lpstr>Mapping!Print_Area</vt:lpstr>
      <vt:lpstr>'Mason Co. Regulated - Price Out'!Print_Area</vt:lpstr>
      <vt:lpstr>'Rate Sheet'!Print_Area</vt:lpstr>
      <vt:lpstr>References!Print_Area</vt:lpstr>
      <vt:lpstr>'DF Calculation'!Print_Titles</vt:lpstr>
      <vt:lpstr>'Kitsap Regulated - Price Out'!Print_Titles</vt:lpstr>
      <vt:lpstr>Mapping!Print_Titles</vt:lpstr>
      <vt:lpstr>'Mason Co. Regulated - Price Out'!Print_Titles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2021-12-14T21:33:49Z</cp:lastPrinted>
  <dcterms:created xsi:type="dcterms:W3CDTF">2013-10-29T22:33:54Z</dcterms:created>
  <dcterms:modified xsi:type="dcterms:W3CDTF">2021-12-14T21:34:14Z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0x0101006E56B4D1795A2E4DB2F0B01679ED314A00A8F1D3148848E94FBEF933BDF4A6BAAE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