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omments8.xml" ContentType="application/vnd.openxmlformats-officedocument.spreadsheetml.comments+xml"/>
  <Override PartName="/xl/comments5.xml" ContentType="application/vnd.openxmlformats-officedocument.spreadsheetml.comments+xml"/>
  <Override PartName="/xl/comments9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G:\Dept\Rates\WEAF Advisory Committee\2021-2022\WEAF Tariff Update 09-30-21\"/>
    </mc:Choice>
  </mc:AlternateContent>
  <xr:revisionPtr revIDLastSave="0" documentId="13_ncr:1_{F9571466-B6A9-454F-A434-965BCF8DC164}" xr6:coauthVersionLast="45" xr6:coauthVersionMax="45" xr10:uidLastSave="{00000000-0000-0000-0000-000000000000}"/>
  <bookViews>
    <workbookView xWindow="420" yWindow="795" windowWidth="27255" windowHeight="14250" xr2:uid="{00000000-000D-0000-FFFF-FFFF00000000}"/>
  </bookViews>
  <sheets>
    <sheet name="WA 2020-21 Plan Year" sheetId="17" r:id="rId1"/>
    <sheet name="WA 2019-20 Plan Year" sheetId="16" r:id="rId2"/>
    <sheet name="WA 2018-19 Plan Year" sheetId="15" r:id="rId3"/>
    <sheet name="WA 2017-18 Plan Year" sheetId="14" r:id="rId4"/>
    <sheet name="WA 2016-17 Plan Year" sheetId="13" r:id="rId5"/>
    <sheet name="WA 2016-Pre Revision" sheetId="12" r:id="rId6"/>
    <sheet name="WA 2015" sheetId="11" r:id="rId7"/>
    <sheet name="WA 2014" sheetId="10" r:id="rId8"/>
    <sheet name="WA 2013" sheetId="9" r:id="rId9"/>
    <sheet name="WA 2012" sheetId="8" r:id="rId10"/>
    <sheet name="WA 2011" sheetId="7" r:id="rId11"/>
    <sheet name="WA CY2010" sheetId="6" r:id="rId12"/>
    <sheet name="WA CY2009" sheetId="5" r:id="rId13"/>
    <sheet name="WA CY2008" sheetId="4" r:id="rId14"/>
    <sheet name="WA FY2007" sheetId="1" r:id="rId15"/>
    <sheet name="PUT CR Appl" sheetId="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8" i="17" l="1"/>
  <c r="O29" i="17"/>
  <c r="O24" i="17"/>
  <c r="O25" i="17"/>
  <c r="O26" i="17"/>
  <c r="M29" i="17" l="1"/>
  <c r="M28" i="17"/>
  <c r="M26" i="17"/>
  <c r="L25" i="17" l="1"/>
  <c r="L29" i="17"/>
  <c r="L28" i="17"/>
  <c r="L38" i="16" l="1"/>
  <c r="K28" i="17" l="1"/>
  <c r="J28" i="17" l="1"/>
  <c r="J29" i="17"/>
  <c r="I28" i="17" l="1"/>
  <c r="I29" i="17"/>
  <c r="H25" i="17" l="1"/>
  <c r="H28" i="17"/>
  <c r="H29" i="17"/>
  <c r="G28" i="17" l="1"/>
  <c r="G29" i="17"/>
  <c r="F28" i="17" l="1"/>
  <c r="F29" i="17"/>
  <c r="E28" i="17" l="1"/>
  <c r="E29" i="17"/>
  <c r="D28" i="17" l="1"/>
  <c r="O27" i="17"/>
  <c r="N27" i="17"/>
  <c r="M27" i="17"/>
  <c r="L27" i="17"/>
  <c r="K27" i="17"/>
  <c r="J27" i="17"/>
  <c r="I27" i="17"/>
  <c r="H27" i="17"/>
  <c r="G27" i="17"/>
  <c r="F27" i="17"/>
  <c r="E27" i="17"/>
  <c r="D27" i="17"/>
  <c r="C33" i="17" l="1"/>
  <c r="Q30" i="17"/>
  <c r="Q29" i="17"/>
  <c r="Q28" i="17"/>
  <c r="Q26" i="17"/>
  <c r="Q24" i="17"/>
  <c r="D23" i="17"/>
  <c r="D31" i="17" s="1"/>
  <c r="D22" i="17"/>
  <c r="E22" i="17" s="1"/>
  <c r="F22" i="17" s="1"/>
  <c r="G22" i="17" s="1"/>
  <c r="H22" i="17" s="1"/>
  <c r="I22" i="17" s="1"/>
  <c r="J22" i="17" s="1"/>
  <c r="K22" i="17" s="1"/>
  <c r="L22" i="17" s="1"/>
  <c r="M22" i="17" s="1"/>
  <c r="N22" i="17" s="1"/>
  <c r="D33" i="17" l="1"/>
  <c r="E23" i="17"/>
  <c r="E31" i="17" s="1"/>
  <c r="Q23" i="17"/>
  <c r="Q27" i="17"/>
  <c r="Q25" i="17"/>
  <c r="O28" i="16"/>
  <c r="Q31" i="17" l="1"/>
  <c r="E33" i="17"/>
  <c r="F23" i="17"/>
  <c r="F31" i="17" s="1"/>
  <c r="N28" i="16"/>
  <c r="N29" i="16"/>
  <c r="F33" i="17" l="1"/>
  <c r="G23" i="17"/>
  <c r="G31" i="17" s="1"/>
  <c r="M29" i="16"/>
  <c r="M28" i="16"/>
  <c r="G33" i="17" l="1"/>
  <c r="H23" i="17"/>
  <c r="H31" i="17" s="1"/>
  <c r="L28" i="16"/>
  <c r="H33" i="17" l="1"/>
  <c r="I23" i="17"/>
  <c r="I31" i="17" s="1"/>
  <c r="K28" i="16"/>
  <c r="I33" i="17" l="1"/>
  <c r="J23" i="17"/>
  <c r="J31" i="17" s="1"/>
  <c r="J28" i="16"/>
  <c r="J29" i="16"/>
  <c r="J33" i="17" l="1"/>
  <c r="K23" i="17"/>
  <c r="K31" i="17" s="1"/>
  <c r="I29" i="16"/>
  <c r="K33" i="17" l="1"/>
  <c r="L23" i="17"/>
  <c r="L31" i="17" s="1"/>
  <c r="H28" i="16"/>
  <c r="H29" i="16"/>
  <c r="H25" i="16"/>
  <c r="L33" i="17" l="1"/>
  <c r="M23" i="17"/>
  <c r="M31" i="17" s="1"/>
  <c r="G28" i="16"/>
  <c r="M33" i="17" l="1"/>
  <c r="N23" i="17"/>
  <c r="N31" i="17" s="1"/>
  <c r="N32" i="17" s="1"/>
  <c r="F28" i="16"/>
  <c r="F29" i="16"/>
  <c r="N33" i="17" l="1"/>
  <c r="O23" i="17"/>
  <c r="O31" i="17" s="1"/>
  <c r="E24" i="16"/>
  <c r="E25" i="16"/>
  <c r="F38" i="16" s="1"/>
  <c r="F42" i="16" s="1"/>
  <c r="E29" i="16"/>
  <c r="E28" i="16"/>
  <c r="E26" i="16"/>
  <c r="O32" i="17" l="1"/>
  <c r="O33" i="17" s="1"/>
  <c r="D29" i="16"/>
  <c r="D28" i="16"/>
  <c r="D22" i="16" l="1"/>
  <c r="E22" i="16" s="1"/>
  <c r="F22" i="16" s="1"/>
  <c r="G22" i="16" s="1"/>
  <c r="H22" i="16" s="1"/>
  <c r="C33" i="16"/>
  <c r="Q30" i="16"/>
  <c r="Q29" i="16"/>
  <c r="Q28" i="16"/>
  <c r="O27" i="16"/>
  <c r="N27" i="16"/>
  <c r="M27" i="16"/>
  <c r="L27" i="16"/>
  <c r="K27" i="16"/>
  <c r="J27" i="16"/>
  <c r="I27" i="16"/>
  <c r="H27" i="16"/>
  <c r="F27" i="16"/>
  <c r="E27" i="16"/>
  <c r="D27" i="16"/>
  <c r="G27" i="16"/>
  <c r="Q25" i="16"/>
  <c r="Q24" i="16"/>
  <c r="D23" i="16"/>
  <c r="Q23" i="16" s="1"/>
  <c r="I22" i="16" l="1"/>
  <c r="J22" i="16" s="1"/>
  <c r="K22" i="16" s="1"/>
  <c r="D31" i="16"/>
  <c r="D33" i="16" s="1"/>
  <c r="Q27" i="16"/>
  <c r="Q26" i="16"/>
  <c r="O29" i="15"/>
  <c r="O28" i="15"/>
  <c r="L22" i="16" l="1"/>
  <c r="M22" i="16" s="1"/>
  <c r="N22" i="16" s="1"/>
  <c r="O22" i="16" s="1"/>
  <c r="Q31" i="16"/>
  <c r="E23" i="16"/>
  <c r="E31" i="16" s="1"/>
  <c r="F23" i="16" s="1"/>
  <c r="F31" i="16" s="1"/>
  <c r="N25" i="15"/>
  <c r="L38" i="15" s="1"/>
  <c r="N32" i="15"/>
  <c r="N28" i="15"/>
  <c r="E33" i="16" l="1"/>
  <c r="G23" i="16"/>
  <c r="G31" i="16" s="1"/>
  <c r="F33" i="16"/>
  <c r="M28" i="15"/>
  <c r="G33" i="16" l="1"/>
  <c r="H23" i="16"/>
  <c r="H31" i="16" s="1"/>
  <c r="L32" i="15"/>
  <c r="L28" i="15"/>
  <c r="I23" i="16" l="1"/>
  <c r="I31" i="16" s="1"/>
  <c r="H33" i="16"/>
  <c r="K26" i="15"/>
  <c r="K28" i="15"/>
  <c r="K29" i="15"/>
  <c r="J23" i="16" l="1"/>
  <c r="J31" i="16" s="1"/>
  <c r="I33" i="16"/>
  <c r="J25" i="15"/>
  <c r="J28" i="15"/>
  <c r="J29" i="15"/>
  <c r="J33" i="16" l="1"/>
  <c r="K23" i="16"/>
  <c r="K31" i="16" s="1"/>
  <c r="I25" i="15"/>
  <c r="I28" i="15"/>
  <c r="I29" i="15"/>
  <c r="K33" i="16" l="1"/>
  <c r="L23" i="16"/>
  <c r="L31" i="16" s="1"/>
  <c r="H29" i="15"/>
  <c r="H28" i="15"/>
  <c r="M23" i="16" l="1"/>
  <c r="M31" i="16" s="1"/>
  <c r="L33" i="16"/>
  <c r="G24" i="15"/>
  <c r="N23" i="16" l="1"/>
  <c r="N31" i="16" s="1"/>
  <c r="M33" i="16"/>
  <c r="F26" i="15"/>
  <c r="G28" i="15"/>
  <c r="G29" i="15"/>
  <c r="O23" i="16" l="1"/>
  <c r="O31" i="16" s="1"/>
  <c r="O33" i="16" s="1"/>
  <c r="N33" i="16"/>
  <c r="F28" i="15"/>
  <c r="E29" i="15" l="1"/>
  <c r="E25" i="15"/>
  <c r="E28" i="15"/>
  <c r="D28" i="15" l="1"/>
  <c r="C31" i="15"/>
  <c r="C33" i="15" s="1"/>
  <c r="Q30" i="15"/>
  <c r="Q29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Q26" i="15"/>
  <c r="Q25" i="15"/>
  <c r="Q24" i="15"/>
  <c r="D22" i="15"/>
  <c r="E22" i="15" s="1"/>
  <c r="F22" i="15" s="1"/>
  <c r="G22" i="15" s="1"/>
  <c r="H22" i="15" s="1"/>
  <c r="I22" i="15" s="1"/>
  <c r="J22" i="15" s="1"/>
  <c r="K22" i="15" s="1"/>
  <c r="L22" i="15" s="1"/>
  <c r="M22" i="15" s="1"/>
  <c r="N22" i="15" s="1"/>
  <c r="O22" i="15" s="1"/>
  <c r="D23" i="15" l="1"/>
  <c r="Q23" i="15" s="1"/>
  <c r="Q27" i="15"/>
  <c r="D31" i="15"/>
  <c r="D33" i="15" s="1"/>
  <c r="Q28" i="15"/>
  <c r="N25" i="14"/>
  <c r="O25" i="14"/>
  <c r="O28" i="14"/>
  <c r="Q31" i="15" l="1"/>
  <c r="E23" i="15"/>
  <c r="E31" i="15" s="1"/>
  <c r="F23" i="15" s="1"/>
  <c r="F31" i="15" s="1"/>
  <c r="N28" i="14"/>
  <c r="E33" i="15" l="1"/>
  <c r="F33" i="15"/>
  <c r="G23" i="15"/>
  <c r="G31" i="15" s="1"/>
  <c r="M24" i="14"/>
  <c r="M28" i="14"/>
  <c r="G33" i="15" l="1"/>
  <c r="H23" i="15"/>
  <c r="H31" i="15" s="1"/>
  <c r="L28" i="14"/>
  <c r="L24" i="14"/>
  <c r="H33" i="15" l="1"/>
  <c r="I23" i="15"/>
  <c r="I31" i="15" s="1"/>
  <c r="K24" i="14"/>
  <c r="K28" i="14"/>
  <c r="K29" i="14"/>
  <c r="I33" i="15" l="1"/>
  <c r="J23" i="15"/>
  <c r="J31" i="15" s="1"/>
  <c r="J24" i="14"/>
  <c r="J28" i="14"/>
  <c r="J29" i="14"/>
  <c r="J33" i="15" l="1"/>
  <c r="K23" i="15"/>
  <c r="K31" i="15" s="1"/>
  <c r="I24" i="14"/>
  <c r="I28" i="14"/>
  <c r="I29" i="14"/>
  <c r="K33" i="15" l="1"/>
  <c r="L23" i="15"/>
  <c r="L31" i="15" s="1"/>
  <c r="H24" i="14"/>
  <c r="L33" i="15" l="1"/>
  <c r="M23" i="15"/>
  <c r="M31" i="15" s="1"/>
  <c r="H28" i="14"/>
  <c r="H29" i="14"/>
  <c r="M33" i="15" l="1"/>
  <c r="N23" i="15"/>
  <c r="N31" i="15" s="1"/>
  <c r="E28" i="14"/>
  <c r="N33" i="15" l="1"/>
  <c r="O23" i="15"/>
  <c r="O31" i="15" s="1"/>
  <c r="O33" i="15" s="1"/>
  <c r="G24" i="14"/>
  <c r="G28" i="14" l="1"/>
  <c r="F32" i="14" l="1"/>
  <c r="F28" i="14"/>
  <c r="F24" i="14"/>
  <c r="E24" i="14" l="1"/>
  <c r="D25" i="14" l="1"/>
  <c r="D24" i="14" l="1"/>
  <c r="Q24" i="14" s="1"/>
  <c r="Q25" i="14"/>
  <c r="D28" i="14"/>
  <c r="Q28" i="14" s="1"/>
  <c r="C31" i="14"/>
  <c r="Q30" i="14"/>
  <c r="Q29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Q26" i="14"/>
  <c r="D22" i="14"/>
  <c r="E22" i="14" s="1"/>
  <c r="F22" i="14" s="1"/>
  <c r="G22" i="14" s="1"/>
  <c r="H22" i="14" s="1"/>
  <c r="I22" i="14" s="1"/>
  <c r="J22" i="14" s="1"/>
  <c r="K22" i="14" s="1"/>
  <c r="L22" i="14" s="1"/>
  <c r="M22" i="14" s="1"/>
  <c r="N22" i="14" s="1"/>
  <c r="O22" i="14" s="1"/>
  <c r="Q27" i="14" l="1"/>
  <c r="D23" i="14"/>
  <c r="C33" i="14"/>
  <c r="M28" i="13"/>
  <c r="M29" i="13"/>
  <c r="Q23" i="14" l="1"/>
  <c r="Q31" i="14" s="1"/>
  <c r="D31" i="14"/>
  <c r="O28" i="13"/>
  <c r="O24" i="13"/>
  <c r="E23" i="14" l="1"/>
  <c r="E31" i="14" s="1"/>
  <c r="D33" i="14"/>
  <c r="N24" i="13"/>
  <c r="N28" i="13"/>
  <c r="E33" i="14" l="1"/>
  <c r="F23" i="14"/>
  <c r="F31" i="14" s="1"/>
  <c r="M24" i="13"/>
  <c r="G23" i="14" l="1"/>
  <c r="G31" i="14" s="1"/>
  <c r="F33" i="14"/>
  <c r="L24" i="13"/>
  <c r="L28" i="13"/>
  <c r="H23" i="14" l="1"/>
  <c r="H31" i="14" s="1"/>
  <c r="G33" i="14"/>
  <c r="K28" i="13"/>
  <c r="K24" i="13"/>
  <c r="I23" i="14" l="1"/>
  <c r="I31" i="14" s="1"/>
  <c r="H33" i="14"/>
  <c r="J28" i="13"/>
  <c r="J24" i="13"/>
  <c r="I33" i="14" l="1"/>
  <c r="J23" i="14"/>
  <c r="J31" i="14" s="1"/>
  <c r="I28" i="13"/>
  <c r="I24" i="13"/>
  <c r="K23" i="14" l="1"/>
  <c r="K31" i="14" s="1"/>
  <c r="J33" i="14"/>
  <c r="Q26" i="13"/>
  <c r="H28" i="13"/>
  <c r="H24" i="13"/>
  <c r="L23" i="14" l="1"/>
  <c r="L31" i="14" s="1"/>
  <c r="K33" i="14"/>
  <c r="G24" i="13"/>
  <c r="G28" i="13"/>
  <c r="M23" i="14" l="1"/>
  <c r="M31" i="14" s="1"/>
  <c r="L33" i="14"/>
  <c r="F28" i="13"/>
  <c r="F24" i="13"/>
  <c r="M33" i="14" l="1"/>
  <c r="N23" i="14"/>
  <c r="N31" i="14" s="1"/>
  <c r="E25" i="13"/>
  <c r="E24" i="13"/>
  <c r="O23" i="14" l="1"/>
  <c r="O31" i="14" s="1"/>
  <c r="O33" i="14" s="1"/>
  <c r="N33" i="14"/>
  <c r="E28" i="13"/>
  <c r="D25" i="13" l="1"/>
  <c r="D24" i="13" l="1"/>
  <c r="D28" i="13"/>
  <c r="O27" i="13" l="1"/>
  <c r="N27" i="13"/>
  <c r="M27" i="13"/>
  <c r="L27" i="13"/>
  <c r="K27" i="13"/>
  <c r="J27" i="13"/>
  <c r="I27" i="13"/>
  <c r="H27" i="13"/>
  <c r="G27" i="13"/>
  <c r="F27" i="13"/>
  <c r="E27" i="13"/>
  <c r="D27" i="13"/>
  <c r="Q27" i="13" l="1"/>
  <c r="C28" i="13"/>
  <c r="C24" i="13"/>
  <c r="J29" i="12" l="1"/>
  <c r="F21" i="12" l="1"/>
  <c r="Q30" i="13" l="1"/>
  <c r="Q29" i="13"/>
  <c r="Q28" i="13"/>
  <c r="Q25" i="13"/>
  <c r="Q24" i="13"/>
  <c r="C31" i="13"/>
  <c r="D23" i="13" s="1"/>
  <c r="Q23" i="13" s="1"/>
  <c r="D22" i="13"/>
  <c r="E22" i="13" s="1"/>
  <c r="F22" i="13" s="1"/>
  <c r="G22" i="13" s="1"/>
  <c r="H22" i="13" s="1"/>
  <c r="I22" i="13" s="1"/>
  <c r="J22" i="13" s="1"/>
  <c r="K22" i="13" s="1"/>
  <c r="L22" i="13" s="1"/>
  <c r="M22" i="13" s="1"/>
  <c r="N22" i="13" s="1"/>
  <c r="O22" i="13" s="1"/>
  <c r="Q31" i="13" l="1"/>
  <c r="D31" i="13"/>
  <c r="E23" i="13" s="1"/>
  <c r="E31" i="13" s="1"/>
  <c r="C33" i="13"/>
  <c r="I29" i="12"/>
  <c r="D33" i="13" l="1"/>
  <c r="E33" i="13"/>
  <c r="F23" i="13"/>
  <c r="F31" i="13" s="1"/>
  <c r="G23" i="13" l="1"/>
  <c r="G31" i="13" s="1"/>
  <c r="F33" i="13"/>
  <c r="H29" i="12"/>
  <c r="H23" i="13" l="1"/>
  <c r="H31" i="13" s="1"/>
  <c r="G33" i="13"/>
  <c r="G29" i="12"/>
  <c r="I23" i="13" l="1"/>
  <c r="I31" i="13" s="1"/>
  <c r="H33" i="13"/>
  <c r="F29" i="12"/>
  <c r="I33" i="13" l="1"/>
  <c r="J23" i="13"/>
  <c r="J31" i="13" s="1"/>
  <c r="E29" i="12"/>
  <c r="K23" i="13" l="1"/>
  <c r="K31" i="13" s="1"/>
  <c r="J33" i="13"/>
  <c r="D29" i="12"/>
  <c r="L23" i="13" l="1"/>
  <c r="L31" i="13" s="1"/>
  <c r="K33" i="13"/>
  <c r="C29" i="12"/>
  <c r="M23" i="13" l="1"/>
  <c r="M31" i="13" s="1"/>
  <c r="L33" i="13"/>
  <c r="F21" i="11"/>
  <c r="M33" i="13" l="1"/>
  <c r="N23" i="13"/>
  <c r="N31" i="13" s="1"/>
  <c r="B51" i="12"/>
  <c r="P31" i="12"/>
  <c r="P30" i="12"/>
  <c r="P29" i="12"/>
  <c r="C32" i="12"/>
  <c r="P28" i="12"/>
  <c r="D26" i="12"/>
  <c r="E26" i="12" s="1"/>
  <c r="F26" i="12" s="1"/>
  <c r="G26" i="12" s="1"/>
  <c r="H26" i="12" s="1"/>
  <c r="I26" i="12" s="1"/>
  <c r="J26" i="12" s="1"/>
  <c r="K26" i="12" s="1"/>
  <c r="L26" i="12" s="1"/>
  <c r="M26" i="12" s="1"/>
  <c r="N26" i="12" s="1"/>
  <c r="G22" i="12"/>
  <c r="N33" i="13" l="1"/>
  <c r="O23" i="13"/>
  <c r="O31" i="13" s="1"/>
  <c r="O33" i="13" s="1"/>
  <c r="P32" i="12"/>
  <c r="D27" i="12"/>
  <c r="D32" i="12" s="1"/>
  <c r="C34" i="12"/>
  <c r="M29" i="11"/>
  <c r="E27" i="12" l="1"/>
  <c r="E32" i="12" s="1"/>
  <c r="D34" i="12"/>
  <c r="F27" i="12" l="1"/>
  <c r="F32" i="12" s="1"/>
  <c r="E34" i="12"/>
  <c r="L29" i="11"/>
  <c r="F34" i="12" l="1"/>
  <c r="G27" i="12"/>
  <c r="G32" i="12" s="1"/>
  <c r="K29" i="11"/>
  <c r="H27" i="12" l="1"/>
  <c r="H32" i="12" s="1"/>
  <c r="G34" i="12"/>
  <c r="J29" i="11"/>
  <c r="I27" i="12" l="1"/>
  <c r="I32" i="12" s="1"/>
  <c r="H34" i="12"/>
  <c r="I29" i="11"/>
  <c r="J27" i="12" l="1"/>
  <c r="J32" i="12" s="1"/>
  <c r="I34" i="12"/>
  <c r="H29" i="11"/>
  <c r="J34" i="12" l="1"/>
  <c r="K27" i="12"/>
  <c r="K32" i="12" s="1"/>
  <c r="G29" i="11"/>
  <c r="L27" i="12" l="1"/>
  <c r="L32" i="12" s="1"/>
  <c r="K34" i="12"/>
  <c r="F29" i="11"/>
  <c r="M27" i="12" l="1"/>
  <c r="M32" i="12" s="1"/>
  <c r="L34" i="12"/>
  <c r="E29" i="11"/>
  <c r="N27" i="12" l="1"/>
  <c r="N32" i="12" s="1"/>
  <c r="N34" i="12" s="1"/>
  <c r="M34" i="12"/>
  <c r="D29" i="11"/>
  <c r="C29" i="11" l="1"/>
  <c r="N29" i="10" l="1"/>
  <c r="G22" i="11" l="1"/>
  <c r="B52" i="11"/>
  <c r="C32" i="11"/>
  <c r="C34" i="11" s="1"/>
  <c r="P31" i="11"/>
  <c r="P30" i="11"/>
  <c r="P29" i="11"/>
  <c r="P28" i="11"/>
  <c r="D26" i="11"/>
  <c r="E26" i="11" s="1"/>
  <c r="F26" i="11" s="1"/>
  <c r="G26" i="11" s="1"/>
  <c r="H26" i="11" s="1"/>
  <c r="I26" i="11" s="1"/>
  <c r="J26" i="11" s="1"/>
  <c r="K26" i="11" s="1"/>
  <c r="L26" i="11" s="1"/>
  <c r="M26" i="11" s="1"/>
  <c r="N26" i="11" s="1"/>
  <c r="D27" i="11" l="1"/>
  <c r="D32" i="11" s="1"/>
  <c r="E27" i="11" s="1"/>
  <c r="E32" i="11" s="1"/>
  <c r="P32" i="11"/>
  <c r="F21" i="10"/>
  <c r="D34" i="11" l="1"/>
  <c r="E34" i="11"/>
  <c r="F27" i="11"/>
  <c r="F32" i="11" s="1"/>
  <c r="M29" i="10"/>
  <c r="F34" i="11" l="1"/>
  <c r="G27" i="11"/>
  <c r="G32" i="11" s="1"/>
  <c r="K29" i="10"/>
  <c r="H27" i="11" l="1"/>
  <c r="H32" i="11" s="1"/>
  <c r="G34" i="11"/>
  <c r="J29" i="10"/>
  <c r="P31" i="10"/>
  <c r="P30" i="10"/>
  <c r="P29" i="9"/>
  <c r="P28" i="9"/>
  <c r="P27" i="9"/>
  <c r="P28" i="8"/>
  <c r="P27" i="8"/>
  <c r="P29" i="7"/>
  <c r="P27" i="6"/>
  <c r="P33" i="5"/>
  <c r="P29" i="5"/>
  <c r="P28" i="4"/>
  <c r="I27" i="11" l="1"/>
  <c r="I32" i="11" s="1"/>
  <c r="H34" i="11"/>
  <c r="I29" i="10"/>
  <c r="J27" i="11" l="1"/>
  <c r="J32" i="11" s="1"/>
  <c r="I34" i="11"/>
  <c r="H29" i="10"/>
  <c r="P29" i="10" s="1"/>
  <c r="J34" i="11" l="1"/>
  <c r="K27" i="11"/>
  <c r="K32" i="11" s="1"/>
  <c r="P28" i="10"/>
  <c r="P32" i="10" s="1"/>
  <c r="L27" i="11" l="1"/>
  <c r="L32" i="11" s="1"/>
  <c r="K34" i="11"/>
  <c r="E33" i="10"/>
  <c r="M27" i="11" l="1"/>
  <c r="M32" i="11" s="1"/>
  <c r="L34" i="11"/>
  <c r="F19" i="9"/>
  <c r="B51" i="10"/>
  <c r="C32" i="10"/>
  <c r="C34" i="10" s="1"/>
  <c r="D26" i="10"/>
  <c r="E26" i="10" s="1"/>
  <c r="F26" i="10" s="1"/>
  <c r="G26" i="10" s="1"/>
  <c r="H26" i="10" s="1"/>
  <c r="I26" i="10" s="1"/>
  <c r="J26" i="10" s="1"/>
  <c r="K26" i="10" s="1"/>
  <c r="L26" i="10" s="1"/>
  <c r="M26" i="10" s="1"/>
  <c r="N26" i="10" s="1"/>
  <c r="G22" i="10"/>
  <c r="M34" i="11" l="1"/>
  <c r="N27" i="11"/>
  <c r="N32" i="11" s="1"/>
  <c r="N34" i="11" s="1"/>
  <c r="D27" i="10"/>
  <c r="D32" i="10" s="1"/>
  <c r="D34" i="10" s="1"/>
  <c r="P26" i="9"/>
  <c r="P30" i="9" s="1"/>
  <c r="E27" i="10" l="1"/>
  <c r="E32" i="10" s="1"/>
  <c r="E34" i="10" s="1"/>
  <c r="F27" i="10" l="1"/>
  <c r="F32" i="10" s="1"/>
  <c r="F34" i="10" s="1"/>
  <c r="G20" i="9"/>
  <c r="G27" i="10" l="1"/>
  <c r="G32" i="10" s="1"/>
  <c r="H27" i="10" s="1"/>
  <c r="H32" i="10" s="1"/>
  <c r="K26" i="8"/>
  <c r="C25" i="9"/>
  <c r="C30" i="9" s="1"/>
  <c r="B49" i="9"/>
  <c r="D24" i="9"/>
  <c r="E24" i="9" s="1"/>
  <c r="F24" i="9" s="1"/>
  <c r="G24" i="9" s="1"/>
  <c r="H24" i="9" s="1"/>
  <c r="I24" i="9" s="1"/>
  <c r="J24" i="9" s="1"/>
  <c r="K24" i="9" s="1"/>
  <c r="L24" i="9" s="1"/>
  <c r="M24" i="9" s="1"/>
  <c r="N24" i="9" s="1"/>
  <c r="P26" i="8"/>
  <c r="P30" i="8" s="1"/>
  <c r="D24" i="8"/>
  <c r="E24" i="8" s="1"/>
  <c r="F24" i="8" s="1"/>
  <c r="G24" i="8" s="1"/>
  <c r="H24" i="8" s="1"/>
  <c r="I24" i="8" s="1"/>
  <c r="J24" i="8" s="1"/>
  <c r="K24" i="8" s="1"/>
  <c r="L24" i="8" s="1"/>
  <c r="B48" i="8"/>
  <c r="G20" i="8"/>
  <c r="K27" i="7"/>
  <c r="P27" i="7" s="1"/>
  <c r="G34" i="10" l="1"/>
  <c r="H34" i="10"/>
  <c r="I27" i="10"/>
  <c r="I32" i="10" s="1"/>
  <c r="M24" i="8"/>
  <c r="N24" i="8" s="1"/>
  <c r="D25" i="9"/>
  <c r="D30" i="9" s="1"/>
  <c r="C32" i="9"/>
  <c r="J28" i="7"/>
  <c r="P28" i="7" s="1"/>
  <c r="P31" i="7" s="1"/>
  <c r="I34" i="10" l="1"/>
  <c r="J27" i="10"/>
  <c r="J32" i="10" s="1"/>
  <c r="D32" i="9"/>
  <c r="E25" i="9"/>
  <c r="E30" i="9" s="1"/>
  <c r="B49" i="7"/>
  <c r="C31" i="7"/>
  <c r="G20" i="7"/>
  <c r="H28" i="6"/>
  <c r="F28" i="6"/>
  <c r="F29" i="6"/>
  <c r="E29" i="6"/>
  <c r="E28" i="6"/>
  <c r="D28" i="6"/>
  <c r="B36" i="6"/>
  <c r="C31" i="6"/>
  <c r="C34" i="6" s="1"/>
  <c r="G20" i="6"/>
  <c r="L31" i="5"/>
  <c r="P31" i="5" s="1"/>
  <c r="I27" i="5"/>
  <c r="P27" i="5" s="1"/>
  <c r="F46" i="3"/>
  <c r="F45" i="3"/>
  <c r="C34" i="3"/>
  <c r="C42" i="3" s="1"/>
  <c r="D34" i="3" s="1"/>
  <c r="D42" i="3" s="1"/>
  <c r="E34" i="3" s="1"/>
  <c r="E36" i="3"/>
  <c r="C30" i="3"/>
  <c r="D22" i="3" s="1"/>
  <c r="D30" i="3" s="1"/>
  <c r="E22" i="3" s="1"/>
  <c r="E30" i="3" s="1"/>
  <c r="F22" i="3" s="1"/>
  <c r="F30" i="3" s="1"/>
  <c r="G22" i="3" s="1"/>
  <c r="G30" i="3" s="1"/>
  <c r="H22" i="3" s="1"/>
  <c r="H30" i="3" s="1"/>
  <c r="I22" i="3" s="1"/>
  <c r="I30" i="3" s="1"/>
  <c r="J22" i="3" s="1"/>
  <c r="J30" i="3" s="1"/>
  <c r="K22" i="3" s="1"/>
  <c r="K30" i="3" s="1"/>
  <c r="L22" i="3" s="1"/>
  <c r="L30" i="3" s="1"/>
  <c r="M22" i="3" s="1"/>
  <c r="M30" i="3" s="1"/>
  <c r="N22" i="3" s="1"/>
  <c r="N30" i="3" s="1"/>
  <c r="G16" i="3"/>
  <c r="G19" i="5"/>
  <c r="C35" i="5"/>
  <c r="D25" i="5" s="1"/>
  <c r="D35" i="5" s="1"/>
  <c r="E25" i="5" s="1"/>
  <c r="E35" i="5" s="1"/>
  <c r="F25" i="5" s="1"/>
  <c r="F35" i="5" s="1"/>
  <c r="G25" i="5" s="1"/>
  <c r="G35" i="5" s="1"/>
  <c r="H25" i="5" s="1"/>
  <c r="H35" i="5" s="1"/>
  <c r="I25" i="5" s="1"/>
  <c r="A39" i="5"/>
  <c r="K24" i="4"/>
  <c r="P24" i="4" s="1"/>
  <c r="F26" i="4"/>
  <c r="E26" i="4"/>
  <c r="A34" i="4"/>
  <c r="D26" i="4"/>
  <c r="C30" i="4"/>
  <c r="D22" i="4" s="1"/>
  <c r="C30" i="1"/>
  <c r="D22" i="1" s="1"/>
  <c r="D30" i="1" s="1"/>
  <c r="E22" i="1" s="1"/>
  <c r="E30" i="1" s="1"/>
  <c r="F22" i="1" s="1"/>
  <c r="F26" i="1"/>
  <c r="H28" i="1"/>
  <c r="P28" i="1" s="1"/>
  <c r="I26" i="1"/>
  <c r="J24" i="1"/>
  <c r="P24" i="1" s="1"/>
  <c r="J26" i="1"/>
  <c r="G16" i="1"/>
  <c r="F15" i="1"/>
  <c r="P29" i="6" l="1"/>
  <c r="D30" i="4"/>
  <c r="E22" i="4" s="1"/>
  <c r="E30" i="4" s="1"/>
  <c r="F22" i="4" s="1"/>
  <c r="F30" i="4" s="1"/>
  <c r="G22" i="4" s="1"/>
  <c r="G30" i="4" s="1"/>
  <c r="H22" i="4" s="1"/>
  <c r="H30" i="4" s="1"/>
  <c r="I22" i="4" s="1"/>
  <c r="I30" i="4" s="1"/>
  <c r="J22" i="4" s="1"/>
  <c r="J30" i="4" s="1"/>
  <c r="K22" i="4" s="1"/>
  <c r="K30" i="4" s="1"/>
  <c r="L22" i="4" s="1"/>
  <c r="L30" i="4" s="1"/>
  <c r="M22" i="4" s="1"/>
  <c r="M30" i="4" s="1"/>
  <c r="N22" i="4" s="1"/>
  <c r="N30" i="4" s="1"/>
  <c r="P35" i="5"/>
  <c r="F47" i="3"/>
  <c r="F50" i="3" s="1"/>
  <c r="F30" i="1"/>
  <c r="G22" i="1" s="1"/>
  <c r="G30" i="1" s="1"/>
  <c r="H22" i="1" s="1"/>
  <c r="H30" i="1" s="1"/>
  <c r="I22" i="1" s="1"/>
  <c r="I30" i="1" s="1"/>
  <c r="J22" i="1" s="1"/>
  <c r="J30" i="1" s="1"/>
  <c r="K22" i="1" s="1"/>
  <c r="K30" i="1" s="1"/>
  <c r="L22" i="1" s="1"/>
  <c r="L30" i="1" s="1"/>
  <c r="M22" i="1" s="1"/>
  <c r="M30" i="1" s="1"/>
  <c r="N22" i="1" s="1"/>
  <c r="N30" i="1" s="1"/>
  <c r="P26" i="1"/>
  <c r="P30" i="1" s="1"/>
  <c r="P26" i="4"/>
  <c r="P30" i="4" s="1"/>
  <c r="E42" i="3"/>
  <c r="F34" i="3" s="1"/>
  <c r="F42" i="3" s="1"/>
  <c r="G34" i="3" s="1"/>
  <c r="G42" i="3" s="1"/>
  <c r="H34" i="3" s="1"/>
  <c r="H42" i="3" s="1"/>
  <c r="I35" i="5"/>
  <c r="J25" i="5" s="1"/>
  <c r="J35" i="5" s="1"/>
  <c r="K25" i="5" s="1"/>
  <c r="K35" i="5" s="1"/>
  <c r="L25" i="5" s="1"/>
  <c r="L35" i="5" s="1"/>
  <c r="M25" i="5" s="1"/>
  <c r="M35" i="5" s="1"/>
  <c r="N25" i="5" s="1"/>
  <c r="N35" i="5" s="1"/>
  <c r="D31" i="6"/>
  <c r="P28" i="6"/>
  <c r="P31" i="6" s="1"/>
  <c r="J34" i="10"/>
  <c r="K27" i="10"/>
  <c r="K32" i="10" s="1"/>
  <c r="F25" i="9"/>
  <c r="F30" i="9" s="1"/>
  <c r="E32" i="9"/>
  <c r="C33" i="7"/>
  <c r="D26" i="7"/>
  <c r="D31" i="7" s="1"/>
  <c r="E26" i="6" l="1"/>
  <c r="E31" i="6" s="1"/>
  <c r="D34" i="6"/>
  <c r="K34" i="10"/>
  <c r="L27" i="10"/>
  <c r="L32" i="10" s="1"/>
  <c r="F32" i="9"/>
  <c r="G25" i="9"/>
  <c r="G30" i="9" s="1"/>
  <c r="E26" i="7"/>
  <c r="E31" i="7" s="1"/>
  <c r="F26" i="7" s="1"/>
  <c r="F31" i="7" s="1"/>
  <c r="G26" i="7" s="1"/>
  <c r="D33" i="7"/>
  <c r="F26" i="6" l="1"/>
  <c r="F31" i="6" s="1"/>
  <c r="E34" i="6"/>
  <c r="L34" i="10"/>
  <c r="M27" i="10"/>
  <c r="M32" i="10" s="1"/>
  <c r="H25" i="9"/>
  <c r="H30" i="9" s="1"/>
  <c r="G32" i="9"/>
  <c r="E33" i="7"/>
  <c r="F33" i="7"/>
  <c r="G31" i="7"/>
  <c r="H26" i="7" s="1"/>
  <c r="F34" i="6" l="1"/>
  <c r="G26" i="6"/>
  <c r="G31" i="6" s="1"/>
  <c r="M34" i="10"/>
  <c r="N27" i="10"/>
  <c r="N32" i="10" s="1"/>
  <c r="N34" i="10" s="1"/>
  <c r="H32" i="9"/>
  <c r="I25" i="9"/>
  <c r="I30" i="9" s="1"/>
  <c r="H31" i="7"/>
  <c r="G33" i="7"/>
  <c r="G34" i="6" l="1"/>
  <c r="H26" i="6"/>
  <c r="H31" i="6" s="1"/>
  <c r="J25" i="9"/>
  <c r="J30" i="9" s="1"/>
  <c r="I32" i="9"/>
  <c r="H33" i="7"/>
  <c r="I26" i="7"/>
  <c r="I31" i="7" s="1"/>
  <c r="I26" i="6" l="1"/>
  <c r="I31" i="6" s="1"/>
  <c r="H34" i="6"/>
  <c r="J32" i="9"/>
  <c r="K25" i="9"/>
  <c r="K30" i="9" s="1"/>
  <c r="J26" i="7"/>
  <c r="J31" i="7" s="1"/>
  <c r="I33" i="7"/>
  <c r="J26" i="6" l="1"/>
  <c r="J31" i="6" s="1"/>
  <c r="I34" i="6"/>
  <c r="L25" i="9"/>
  <c r="L30" i="9" s="1"/>
  <c r="K32" i="9"/>
  <c r="J33" i="7"/>
  <c r="K26" i="7"/>
  <c r="K31" i="7" s="1"/>
  <c r="K26" i="6" l="1"/>
  <c r="K31" i="6" s="1"/>
  <c r="J34" i="6"/>
  <c r="L32" i="9"/>
  <c r="M25" i="9"/>
  <c r="M30" i="9" s="1"/>
  <c r="L26" i="7"/>
  <c r="L31" i="7" s="1"/>
  <c r="K33" i="7"/>
  <c r="K34" i="6" l="1"/>
  <c r="L26" i="6"/>
  <c r="L31" i="6" s="1"/>
  <c r="N25" i="9"/>
  <c r="N30" i="9" s="1"/>
  <c r="N32" i="9" s="1"/>
  <c r="M32" i="9"/>
  <c r="L33" i="7"/>
  <c r="M26" i="7"/>
  <c r="M31" i="7" s="1"/>
  <c r="L34" i="6" l="1"/>
  <c r="M26" i="6"/>
  <c r="M31" i="6" s="1"/>
  <c r="N26" i="7"/>
  <c r="N31" i="7" s="1"/>
  <c r="C25" i="8" s="1"/>
  <c r="M33" i="7"/>
  <c r="N26" i="6" l="1"/>
  <c r="N31" i="6" s="1"/>
  <c r="N34" i="6" s="1"/>
  <c r="M34" i="6"/>
  <c r="N33" i="7"/>
  <c r="C30" i="8"/>
  <c r="D25" i="8" l="1"/>
  <c r="D30" i="8" s="1"/>
  <c r="C32" i="8"/>
  <c r="D32" i="8" l="1"/>
  <c r="E25" i="8"/>
  <c r="E30" i="8" s="1"/>
  <c r="F25" i="8" l="1"/>
  <c r="F30" i="8" s="1"/>
  <c r="E32" i="8"/>
  <c r="F32" i="8" l="1"/>
  <c r="G25" i="8"/>
  <c r="G30" i="8" s="1"/>
  <c r="H25" i="8" l="1"/>
  <c r="H30" i="8" s="1"/>
  <c r="G32" i="8"/>
  <c r="H32" i="8" l="1"/>
  <c r="I25" i="8"/>
  <c r="I30" i="8" s="1"/>
  <c r="J25" i="8" l="1"/>
  <c r="J30" i="8" s="1"/>
  <c r="I32" i="8"/>
  <c r="K25" i="8" l="1"/>
  <c r="K30" i="8" s="1"/>
  <c r="J32" i="8"/>
  <c r="K32" i="8" l="1"/>
  <c r="L25" i="8"/>
  <c r="L30" i="8" s="1"/>
  <c r="L32" i="8" l="1"/>
  <c r="M25" i="8"/>
  <c r="M30" i="8" s="1"/>
  <c r="M32" i="8" l="1"/>
  <c r="N25" i="8"/>
  <c r="N30" i="8" s="1"/>
  <c r="N3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Alesa Cullens</author>
  </authors>
  <commentList>
    <comment ref="C24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Alesa Cullens:</t>
        </r>
        <r>
          <rPr>
            <sz val="8"/>
            <color indexed="81"/>
            <rFont val="Tahoma"/>
            <family val="2"/>
          </rPr>
          <t xml:space="preserve">
Partial accrual, program began 1/19/07, 13/31 days in January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</authors>
  <commentList>
    <comment ref="E36" authorId="0" shapeId="0" xr:uid="{00000000-0006-0000-0F00-000001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includes $85,312.17 in low income credit from WA state
</t>
        </r>
      </text>
    </comment>
    <comment ref="H36" authorId="0" shapeId="0" xr:uid="{00000000-0006-0000-0F00-000002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Dec's accrual needs to be reduced so the total YTD accrual will not exceed $800K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6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6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26" authorId="0" shapeId="0" xr:uid="{00000000-0006-0000-0900-000001000000}">
      <text>
        <r>
          <rPr>
            <sz val="11"/>
            <color indexed="81"/>
            <rFont val="Tahoma"/>
            <family val="2"/>
          </rPr>
          <t xml:space="preserve">
Brian Hoyle:
$49,904.47 CREDIT received from WA state for LIHEAP (credit will be deducted From Excise tax return paid in Sep).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</authors>
  <commentList>
    <comment ref="K27" authorId="0" shapeId="0" xr:uid="{00000000-0006-0000-0A00-000001000000}">
      <text>
        <r>
          <rPr>
            <b/>
            <sz val="11"/>
            <color indexed="81"/>
            <rFont val="Tahoma"/>
            <family val="2"/>
          </rPr>
          <t>Brian Hoyle:</t>
        </r>
        <r>
          <rPr>
            <sz val="10"/>
            <color indexed="81"/>
            <rFont val="Tahoma"/>
            <family val="2"/>
          </rPr>
          <t xml:space="preserve">
$78,908.95</t>
        </r>
        <r>
          <rPr>
            <b/>
            <sz val="11"/>
            <color indexed="12"/>
            <rFont val="Tahoma"/>
            <family val="2"/>
          </rPr>
          <t xml:space="preserve"> CREDIT received from WA state for LIHEAP (credit will be deducted From Excise tax return paid in Sep)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  <author>alesa.cullens</author>
  </authors>
  <commentList>
    <comment ref="J27" authorId="0" shapeId="0" xr:uid="{00000000-0006-0000-0B00-000001000000}">
      <text>
        <r>
          <rPr>
            <b/>
            <sz val="11"/>
            <color indexed="81"/>
            <rFont val="Tahoma"/>
            <family val="2"/>
          </rPr>
          <t>Brian Hoyle: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$74,863.79</t>
        </r>
        <r>
          <rPr>
            <b/>
            <sz val="11"/>
            <color indexed="12"/>
            <rFont val="Tahoma"/>
            <family val="2"/>
          </rPr>
          <t xml:space="preserve"> CREDIT received from WA state for LIHEAP (credit will be deducted From Excise tax return paid in Aug)</t>
        </r>
      </text>
    </comment>
    <comment ref="F28" authorId="1" shapeId="0" xr:uid="{00000000-0006-0000-0B00-000002000000}">
      <text>
        <r>
          <rPr>
            <b/>
            <sz val="8"/>
            <color indexed="81"/>
            <rFont val="Tahoma"/>
            <family val="2"/>
          </rPr>
          <t>alesa.cullens:</t>
        </r>
        <r>
          <rPr>
            <sz val="8"/>
            <color indexed="81"/>
            <rFont val="Tahoma"/>
            <family val="2"/>
          </rPr>
          <t xml:space="preserve">
Reduced by $423.48 double payment, one should have been voided in GL, watch for this to happen in May.</t>
        </r>
      </text>
    </comment>
    <comment ref="G28" authorId="1" shapeId="0" xr:uid="{00000000-0006-0000-0B00-000003000000}">
      <text>
        <r>
          <rPr>
            <b/>
            <sz val="8"/>
            <color indexed="81"/>
            <rFont val="Tahoma"/>
            <family val="2"/>
          </rPr>
          <t>alesa.cullens:</t>
        </r>
        <r>
          <rPr>
            <sz val="8"/>
            <color indexed="81"/>
            <rFont val="Tahoma"/>
            <family val="2"/>
          </rPr>
          <t xml:space="preserve">
Additional payment of $423.48 to OIC of WA - Moses Lake, monthly 20% allocation fee should be voided in May, but already subtracted out of April since it was reissued in April.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  <author>carla.miller</author>
  </authors>
  <commentList>
    <comment ref="I27" authorId="0" shapeId="0" xr:uid="{00000000-0006-0000-0C00-000001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1"/>
            <color indexed="12"/>
            <rFont val="Tahoma"/>
            <family val="2"/>
          </rPr>
          <t>July's accrual includes $95,854.34 (non-cash) CREDIT received from WA state for LIHEAP (credit will be deducted From Excise tax return paid in Aug)</t>
        </r>
      </text>
    </comment>
    <comment ref="N27" authorId="1" shapeId="0" xr:uid="{00000000-0006-0000-0C00-000002000000}">
      <text>
        <r>
          <rPr>
            <b/>
            <sz val="10"/>
            <color indexed="81"/>
            <rFont val="Tahoma"/>
            <family val="2"/>
          </rPr>
          <t>carla.miller:</t>
        </r>
        <r>
          <rPr>
            <sz val="10"/>
            <color indexed="81"/>
            <rFont val="Tahoma"/>
            <family val="2"/>
          </rPr>
          <t xml:space="preserve">
Dec 2009's accrual was reduced by 4 cents in order to keep the annual contribution correct ($800K per year)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</authors>
  <commentList>
    <comment ref="K24" authorId="0" shapeId="0" xr:uid="{00000000-0006-0000-0D00-000001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includes $85,312.17 in low income credit from WA state
</t>
        </r>
      </text>
    </comment>
    <comment ref="N24" authorId="0" shapeId="0" xr:uid="{00000000-0006-0000-0D00-000002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Dec's accrual needs to be reduced so the total YTD accrual will not exceed $800K</t>
        </r>
      </text>
    </comment>
  </commentList>
</comments>
</file>

<file path=xl/sharedStrings.xml><?xml version="1.0" encoding="utf-8"?>
<sst xmlns="http://schemas.openxmlformats.org/spreadsheetml/2006/main" count="584" uniqueCount="138">
  <si>
    <t>CNGC agreed to pay $800,000/year to WA low income programs</t>
  </si>
  <si>
    <t>Per Kathie Barnard &amp; Debbie Banry, these payments will be made 2 ways:</t>
  </si>
  <si>
    <t>1) Payments made to assistance agencies, processed thru the AP system</t>
  </si>
  <si>
    <t>to be charged to accrual account 24208504-WL01</t>
  </si>
  <si>
    <t>2) Payments made directly to customer accounts as directed by the agencies.</t>
  </si>
  <si>
    <t>These payments will be processed in the customer accounting department and</t>
  </si>
  <si>
    <t>charged to 24208504-WL01 thru the monthly Customer adjustments JE</t>
  </si>
  <si>
    <t>Each month, Corporate accounting will accrue 1/12 of the $800K as follows:</t>
  </si>
  <si>
    <t>DR S003-115-9080-00000-665042</t>
  </si>
  <si>
    <t>CR 24208504-WL01</t>
  </si>
  <si>
    <t>WA Low Inc Bill Assist Expense</t>
  </si>
  <si>
    <t>WA Low Inc Program Liability</t>
  </si>
  <si>
    <t>Each month, Corporate accounting will send the following account reconciliation to Debbie Banry</t>
  </si>
  <si>
    <t>and Kathie Barnard to assist them in monitoring the funds distributed</t>
  </si>
  <si>
    <t>Jan. 07</t>
  </si>
  <si>
    <t>Feb. 07</t>
  </si>
  <si>
    <t>March 07</t>
  </si>
  <si>
    <t>April 07</t>
  </si>
  <si>
    <t>May 07</t>
  </si>
  <si>
    <t>June 07</t>
  </si>
  <si>
    <t>July 07</t>
  </si>
  <si>
    <t>Aug 07</t>
  </si>
  <si>
    <t>Sept 07</t>
  </si>
  <si>
    <t>Beg GL Balance</t>
  </si>
  <si>
    <t>Monthly accrual for Bill Assistance</t>
  </si>
  <si>
    <t>Payments to agencies thru AP</t>
  </si>
  <si>
    <t>Payments to Customer accounts processed in Cust Acctg</t>
  </si>
  <si>
    <t>Ending Balance</t>
  </si>
  <si>
    <t>Per agreement made in Jan 07 in connection with settling the WA 2005 Rate Case</t>
  </si>
  <si>
    <t>Accrual for WA Low Income Bill Assistance - 24208504-WL01</t>
  </si>
  <si>
    <t>Oct 07</t>
  </si>
  <si>
    <t>Nov 07</t>
  </si>
  <si>
    <t>Dec 07</t>
  </si>
  <si>
    <t>CY 2008</t>
  </si>
  <si>
    <t>Distribution List:</t>
  </si>
  <si>
    <t>Kathie Barnard</t>
  </si>
  <si>
    <t>Allison Spector</t>
  </si>
  <si>
    <t>Debbie Banry</t>
  </si>
  <si>
    <t>Holly Mulvenon</t>
  </si>
  <si>
    <t>email monthly</t>
  </si>
  <si>
    <t>Dec 08 reounding difference adjusted</t>
  </si>
  <si>
    <t>CY 2009</t>
  </si>
  <si>
    <t>Jim Abrahamson</t>
  </si>
  <si>
    <t>monthly</t>
  </si>
  <si>
    <t>email</t>
  </si>
  <si>
    <t>DR 47601WA.5981.29080</t>
  </si>
  <si>
    <t xml:space="preserve">   CR 47WA.2429.02</t>
  </si>
  <si>
    <t>July - Dec 2008</t>
  </si>
  <si>
    <t>Jan - May 2009</t>
  </si>
  <si>
    <t>Winter Help - Corporate Contributions</t>
  </si>
  <si>
    <t>Total Contributions for 2009 L/I Credit Appl</t>
  </si>
  <si>
    <t>June 2009 data not available in time to include in credit application - cjm</t>
  </si>
  <si>
    <t>to be charged to accrual account 47WA.2429.02</t>
  </si>
  <si>
    <t>charged to 47WA.2429.02 thru the monthly Customer adjustments JE</t>
  </si>
  <si>
    <t>Accrual for WA Low Income Bill Assistance - 47WA.2429.02</t>
  </si>
  <si>
    <t>Customer Contrib - Per Holly</t>
  </si>
  <si>
    <t>Prepared By:  Carla Miller</t>
  </si>
  <si>
    <t>Reconciliation Date:</t>
  </si>
  <si>
    <t>CY 2010</t>
  </si>
  <si>
    <t>GL Balance</t>
  </si>
  <si>
    <t>Difference</t>
  </si>
  <si>
    <t>Crystal Anderton</t>
  </si>
  <si>
    <t>Del Herner</t>
  </si>
  <si>
    <t>Lucinda Meeds</t>
  </si>
  <si>
    <t>Brian Hoyle</t>
  </si>
  <si>
    <t xml:space="preserve">Prepared By:  </t>
  </si>
  <si>
    <r>
      <rPr>
        <b/>
        <sz val="11"/>
        <rFont val="Arial"/>
        <family val="2"/>
      </rPr>
      <t xml:space="preserve">1) </t>
    </r>
    <r>
      <rPr>
        <sz val="11"/>
        <rFont val="Arial"/>
        <family val="2"/>
      </rPr>
      <t>Payments made to assistance agencies, processed thru the AP system</t>
    </r>
  </si>
  <si>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Payments made directly to customer accounts as directed by the agencies.</t>
    </r>
  </si>
  <si>
    <t xml:space="preserve">Accrual for WA Low Income Bill Assistance </t>
  </si>
  <si>
    <t>47WA.2429.02</t>
  </si>
  <si>
    <t>Chris Rivas</t>
  </si>
  <si>
    <t>Email Monthly</t>
  </si>
  <si>
    <t xml:space="preserve">     to be charged to accrual account 24208504-WL01</t>
  </si>
  <si>
    <t xml:space="preserve">     These payments will be processed in the customer accounting department and</t>
  </si>
  <si>
    <t xml:space="preserve">     charged to 24208504-WL01 thru the monthly Customer adjustments JE</t>
  </si>
  <si>
    <t>CY 2011</t>
  </si>
  <si>
    <t>Tammy Nygard</t>
  </si>
  <si>
    <t>Mike Parvinen</t>
  </si>
  <si>
    <t>CY 2012</t>
  </si>
  <si>
    <t>Per Mike Parvinen, these payments will be made 2 ways:</t>
  </si>
  <si>
    <t>Jenifer Moffett</t>
  </si>
  <si>
    <t>Jacqueline Schaible</t>
  </si>
  <si>
    <t>Department of Revenue-WA</t>
  </si>
  <si>
    <t>Tony Durado</t>
  </si>
  <si>
    <t>DR   47601WA.5981.29080</t>
  </si>
  <si>
    <t xml:space="preserve">   CR   47WA.2429.02</t>
  </si>
  <si>
    <t>Annual WA Dept of Revenue LIHEAP Tax Credit is added to $800K base.</t>
  </si>
  <si>
    <t>WA Dept of Revenue (LIHEAP Tax Credit)</t>
  </si>
  <si>
    <t xml:space="preserve">     to be charged to accrual account 47WA.2429.02</t>
  </si>
  <si>
    <t xml:space="preserve">     charged to 47WA.2429.02 thru the monthly Customer adjustments JE</t>
  </si>
  <si>
    <t>Per agreement made in Jan 07 (Docket # UG-060256) in connection with settling the WA 2005 Rate Case</t>
  </si>
  <si>
    <t>CNGC agreed to pay $800,000/year to WA Low Income Assistance Programs.  Per same agreement</t>
  </si>
  <si>
    <t>Per Jennifer Moffet - On 10/1 we switched from a flat rate payment to a fee for service ($/applicaion or % of assistance)</t>
  </si>
  <si>
    <t xml:space="preserve">                              Thus Oct 14' has no agency payments issued.  They will be calculated and paid in Nov 14' based upon October's activity level.</t>
  </si>
  <si>
    <t>Shannon Steed</t>
  </si>
  <si>
    <t>Per Jennifer Moffet - On 10/1/14 we switched from a flat rate payment to a fee for service ($/applicaion or % of assistance)</t>
  </si>
  <si>
    <t>Payments to Customer Accounts (CC&amp;B Interface)</t>
  </si>
  <si>
    <t>Jennifer Gross</t>
  </si>
  <si>
    <t>Payments to Customer Accounts (CC&amp;B Interface) (CC&amp;B CI1573)</t>
  </si>
  <si>
    <t xml:space="preserve"> WA Energy Assistance Fund (Low Income Bill Assistance) </t>
  </si>
  <si>
    <t>CNGC will bill WA customers in rate schedules 502, 503, 504, 505, 511, 512, 570, 577, &amp; 663 a rate (adjusted annually) to be used for WEAF.</t>
  </si>
  <si>
    <t>Collected funds will be used in 3 ways:</t>
  </si>
  <si>
    <t xml:space="preserve">    system and charged to the accrual account 47WA.2429.02.</t>
  </si>
  <si>
    <t xml:space="preserve">      to be charged to accrual account 47WA.2429.02</t>
  </si>
  <si>
    <t>Annual WA Dept of Revenue LIHEAP Tax Credits are to be added to collected amounts for program expense availabity.</t>
  </si>
  <si>
    <t xml:space="preserve">     charged to 47WA.2429.02 thru the monthly Customer Billing Interface JE</t>
  </si>
  <si>
    <t xml:space="preserve">     connecting customers with needs to appropriate resources:  Payments to be made thru the AP</t>
  </si>
  <si>
    <t>Other Program Costs</t>
  </si>
  <si>
    <r>
      <rPr>
        <b/>
        <sz val="11"/>
        <rFont val="Arial"/>
        <family val="2"/>
      </rPr>
      <t>3)</t>
    </r>
    <r>
      <rPr>
        <sz val="11"/>
        <rFont val="Arial"/>
        <family val="2"/>
      </rPr>
      <t xml:space="preserve"> Other Program Costs, such as conducting needs studies and targeted marketing costs,</t>
    </r>
  </si>
  <si>
    <t>16'-17'
Program Yr *</t>
  </si>
  <si>
    <t>16'-17' Program Year does not include September 2016.</t>
  </si>
  <si>
    <t>*</t>
  </si>
  <si>
    <t>2016-2017 Program Year</t>
  </si>
  <si>
    <t>Customer Billings (CC&amp;B CI1573)</t>
  </si>
  <si>
    <t>Payments to Customer Accounts (CC&amp;B CI1573)</t>
  </si>
  <si>
    <t>WEAF Accrual on Unbilled Revenues</t>
  </si>
  <si>
    <t>Reversal of Prior month Accrual</t>
  </si>
  <si>
    <t>Per agreement effective 9-1-16 (Docket # UG-152286) in connection with settling the WA 2016 Rate Case</t>
  </si>
  <si>
    <t>17'-18'
Program Yr *</t>
  </si>
  <si>
    <t>17'-18' Program Year does not include September 2017.</t>
  </si>
  <si>
    <t>Customer Billings (WEAF Cost Recovery AJE +/- CI1573 Adj)</t>
  </si>
  <si>
    <t>Isaac Myhrum</t>
  </si>
  <si>
    <t>2018-2019 Program Year</t>
  </si>
  <si>
    <t>'18-'19
Program Yr *</t>
  </si>
  <si>
    <t>'18-'19 Program Year does not include September 2018.</t>
  </si>
  <si>
    <t>Dan Tillis</t>
  </si>
  <si>
    <t>2019-2020 Program Year</t>
  </si>
  <si>
    <t>'19-'20
Program Yr *</t>
  </si>
  <si>
    <t>'19-'20 Program Year does not include September 2019.</t>
  </si>
  <si>
    <t>Alyn Spector</t>
  </si>
  <si>
    <t>Chris Mickelson</t>
  </si>
  <si>
    <t>Jun-Aug 2019</t>
  </si>
  <si>
    <t>Sep 2019-May2020</t>
  </si>
  <si>
    <t>Total</t>
  </si>
  <si>
    <t>2020-2021 Program Year</t>
  </si>
  <si>
    <t>'20-'21
Program Yr *</t>
  </si>
  <si>
    <t>Jun-Aug 2020</t>
  </si>
  <si>
    <t>Sep-21 -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</si>
</sst>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d\-mmm\-yy;@"/>
    <numFmt numFmtId="165" formatCode="m/d/yy;@"/>
    <numFmt numFmtId="166" formatCode="[$-409]mmmm\ d\,\ yyyy;@"/>
    <numFmt numFmtId="167" formatCode="_(* #,##0_);_(* \(#,##0\);_(* &quot;-&quot;??_);_(@_)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indexed="10"/>
      <name val="Arial"/>
      <family val="2"/>
    </font>
    <font>
      <u val="singleAccounting"/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1"/>
      <color indexed="12"/>
      <name val="Tahoma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b/>
      <sz val="11"/>
      <color rgb="FF006100"/>
      <name val="Arial"/>
      <family val="2"/>
    </font>
    <font>
      <b/>
      <sz val="12"/>
      <color rgb="FFC00000"/>
      <name val="Arial"/>
      <family val="2"/>
    </font>
    <font>
      <b/>
      <sz val="11.5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name val="Arial"/>
      <family val="2"/>
    </font>
    <font>
      <b/>
      <sz val="16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</cellStyleXfs>
  <cellXfs count="148">
    <xf numFmtId="0" fontId="0" fillId="0" borderId="0" xfId="0"/>
    <xf numFmtId="0" fontId="2" fillId="0" borderId="0" xfId="0" applyFont="1"/>
    <xf numFmtId="43" fontId="0" fillId="0" borderId="0" xfId="0" applyNumberFormat="1"/>
    <xf numFmtId="0" fontId="2" fillId="0" borderId="1" xfId="0" applyFont="1" applyBorder="1" applyAlignment="1">
      <alignment horizontal="center"/>
    </xf>
    <xf numFmtId="16" fontId="2" fillId="0" borderId="1" xfId="0" quotePrefix="1" applyNumberFormat="1" applyFont="1" applyBorder="1" applyAlignment="1">
      <alignment horizontal="center"/>
    </xf>
    <xf numFmtId="43" fontId="2" fillId="0" borderId="1" xfId="1" quotePrefix="1" applyFont="1" applyBorder="1" applyAlignment="1">
      <alignment horizontal="center"/>
    </xf>
    <xf numFmtId="0" fontId="0" fillId="0" borderId="0" xfId="0" applyAlignment="1">
      <alignment wrapText="1"/>
    </xf>
    <xf numFmtId="43" fontId="0" fillId="0" borderId="2" xfId="0" applyNumberFormat="1" applyBorder="1"/>
    <xf numFmtId="17" fontId="2" fillId="0" borderId="1" xfId="0" applyNumberFormat="1" applyFont="1" applyBorder="1" applyAlignment="1">
      <alignment horizontal="center"/>
    </xf>
    <xf numFmtId="43" fontId="0" fillId="0" borderId="0" xfId="1" applyFont="1"/>
    <xf numFmtId="0" fontId="5" fillId="0" borderId="3" xfId="0" applyFont="1" applyBorder="1" applyAlignment="1">
      <alignment horizontal="center"/>
    </xf>
    <xf numFmtId="43" fontId="6" fillId="2" borderId="4" xfId="0" applyNumberFormat="1" applyFont="1" applyFill="1" applyBorder="1"/>
    <xf numFmtId="43" fontId="0" fillId="2" borderId="5" xfId="0" applyNumberFormat="1" applyFill="1" applyBorder="1"/>
    <xf numFmtId="43" fontId="0" fillId="2" borderId="6" xfId="0" applyNumberFormat="1" applyFill="1" applyBorder="1"/>
    <xf numFmtId="43" fontId="0" fillId="2" borderId="7" xfId="0" applyNumberFormat="1" applyFill="1" applyBorder="1"/>
    <xf numFmtId="43" fontId="0" fillId="2" borderId="7" xfId="0" applyNumberFormat="1" applyFill="1" applyBorder="1" applyAlignment="1">
      <alignment horizontal="right"/>
    </xf>
    <xf numFmtId="43" fontId="0" fillId="2" borderId="8" xfId="0" applyNumberFormat="1" applyFill="1" applyBorder="1"/>
    <xf numFmtId="43" fontId="0" fillId="2" borderId="9" xfId="0" applyNumberFormat="1" applyFill="1" applyBorder="1"/>
    <xf numFmtId="43" fontId="1" fillId="0" borderId="0" xfId="1"/>
    <xf numFmtId="0" fontId="9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horizontal="right"/>
    </xf>
    <xf numFmtId="43" fontId="0" fillId="2" borderId="0" xfId="0" applyNumberFormat="1" applyFill="1"/>
    <xf numFmtId="43" fontId="0" fillId="0" borderId="3" xfId="0" applyNumberFormat="1" applyBorder="1"/>
    <xf numFmtId="43" fontId="2" fillId="0" borderId="0" xfId="0" applyNumberFormat="1" applyFont="1" applyAlignment="1">
      <alignment horizontal="center"/>
    </xf>
    <xf numFmtId="0" fontId="10" fillId="0" borderId="0" xfId="0" applyFont="1"/>
    <xf numFmtId="0" fontId="12" fillId="0" borderId="0" xfId="0" applyFont="1"/>
    <xf numFmtId="164" fontId="13" fillId="0" borderId="0" xfId="0" applyNumberFormat="1" applyFont="1"/>
    <xf numFmtId="43" fontId="16" fillId="0" borderId="0" xfId="0" applyNumberFormat="1" applyFont="1"/>
    <xf numFmtId="0" fontId="16" fillId="0" borderId="0" xfId="0" applyFont="1"/>
    <xf numFmtId="43" fontId="14" fillId="2" borderId="0" xfId="0" applyNumberFormat="1" applyFont="1" applyFill="1"/>
    <xf numFmtId="0" fontId="12" fillId="5" borderId="0" xfId="0" applyFont="1" applyFill="1"/>
    <xf numFmtId="43" fontId="14" fillId="2" borderId="0" xfId="0" applyNumberFormat="1" applyFont="1" applyFill="1" applyAlignment="1">
      <alignment horizontal="left"/>
    </xf>
    <xf numFmtId="43" fontId="0" fillId="2" borderId="0" xfId="0" applyNumberFormat="1" applyFill="1" applyAlignment="1">
      <alignment horizontal="left"/>
    </xf>
    <xf numFmtId="43" fontId="16" fillId="6" borderId="0" xfId="0" applyNumberFormat="1" applyFont="1" applyFill="1"/>
    <xf numFmtId="164" fontId="12" fillId="5" borderId="0" xfId="0" applyNumberFormat="1" applyFont="1" applyFill="1" applyAlignment="1">
      <alignment horizontal="left"/>
    </xf>
    <xf numFmtId="43" fontId="21" fillId="3" borderId="11" xfId="2" applyNumberFormat="1" applyFont="1" applyBorder="1"/>
    <xf numFmtId="43" fontId="22" fillId="4" borderId="12" xfId="3" applyNumberFormat="1" applyFont="1" applyBorder="1"/>
    <xf numFmtId="43" fontId="22" fillId="4" borderId="13" xfId="3" applyNumberFormat="1" applyFont="1" applyBorder="1"/>
    <xf numFmtId="43" fontId="16" fillId="7" borderId="14" xfId="0" applyNumberFormat="1" applyFont="1" applyFill="1" applyBorder="1"/>
    <xf numFmtId="43" fontId="16" fillId="7" borderId="15" xfId="0" applyNumberFormat="1" applyFont="1" applyFill="1" applyBorder="1"/>
    <xf numFmtId="43" fontId="16" fillId="7" borderId="13" xfId="0" applyNumberFormat="1" applyFont="1" applyFill="1" applyBorder="1"/>
    <xf numFmtId="43" fontId="23" fillId="3" borderId="16" xfId="2" applyNumberFormat="1" applyFont="1" applyBorder="1"/>
    <xf numFmtId="43" fontId="16" fillId="7" borderId="17" xfId="0" applyNumberFormat="1" applyFont="1" applyFill="1" applyBorder="1"/>
    <xf numFmtId="43" fontId="16" fillId="7" borderId="18" xfId="0" applyNumberFormat="1" applyFont="1" applyFill="1" applyBorder="1"/>
    <xf numFmtId="43" fontId="16" fillId="7" borderId="12" xfId="0" applyNumberFormat="1" applyFont="1" applyFill="1" applyBorder="1"/>
    <xf numFmtId="43" fontId="21" fillId="3" borderId="19" xfId="2" applyNumberFormat="1" applyFont="1" applyBorder="1"/>
    <xf numFmtId="43" fontId="16" fillId="7" borderId="20" xfId="0" applyNumberFormat="1" applyFont="1" applyFill="1" applyBorder="1"/>
    <xf numFmtId="43" fontId="16" fillId="7" borderId="21" xfId="0" applyNumberFormat="1" applyFont="1" applyFill="1" applyBorder="1"/>
    <xf numFmtId="43" fontId="21" fillId="3" borderId="22" xfId="2" applyNumberFormat="1" applyFont="1" applyBorder="1"/>
    <xf numFmtId="43" fontId="22" fillId="4" borderId="21" xfId="3" applyNumberFormat="1" applyFont="1" applyBorder="1"/>
    <xf numFmtId="0" fontId="15" fillId="7" borderId="5" xfId="0" applyFont="1" applyFill="1" applyBorder="1" applyAlignment="1">
      <alignment horizontal="left"/>
    </xf>
    <xf numFmtId="0" fontId="16" fillId="7" borderId="7" xfId="0" applyFont="1" applyFill="1" applyBorder="1" applyAlignment="1">
      <alignment vertical="center"/>
    </xf>
    <xf numFmtId="0" fontId="16" fillId="7" borderId="9" xfId="0" applyFont="1" applyFill="1" applyBorder="1" applyAlignment="1">
      <alignment vertical="center" wrapText="1"/>
    </xf>
    <xf numFmtId="17" fontId="15" fillId="8" borderId="13" xfId="0" applyNumberFormat="1" applyFont="1" applyFill="1" applyBorder="1" applyAlignment="1">
      <alignment horizontal="center"/>
    </xf>
    <xf numFmtId="17" fontId="15" fillId="8" borderId="12" xfId="0" applyNumberFormat="1" applyFont="1" applyFill="1" applyBorder="1" applyAlignment="1">
      <alignment horizontal="center"/>
    </xf>
    <xf numFmtId="17" fontId="15" fillId="8" borderId="21" xfId="0" applyNumberFormat="1" applyFont="1" applyFill="1" applyBorder="1" applyAlignment="1">
      <alignment horizontal="center"/>
    </xf>
    <xf numFmtId="0" fontId="0" fillId="0" borderId="3" xfId="0" applyBorder="1"/>
    <xf numFmtId="0" fontId="0" fillId="8" borderId="10" xfId="0" applyFill="1" applyBorder="1"/>
    <xf numFmtId="0" fontId="21" fillId="3" borderId="7" xfId="2" applyFont="1" applyBorder="1"/>
    <xf numFmtId="0" fontId="22" fillId="4" borderId="9" xfId="3" applyFont="1" applyBorder="1"/>
    <xf numFmtId="0" fontId="17" fillId="0" borderId="0" xfId="0" applyFont="1"/>
    <xf numFmtId="0" fontId="5" fillId="0" borderId="0" xfId="0" applyFont="1" applyAlignment="1">
      <alignment horizontal="left"/>
    </xf>
    <xf numFmtId="0" fontId="16" fillId="9" borderId="7" xfId="0" applyFont="1" applyFill="1" applyBorder="1" applyAlignment="1">
      <alignment wrapText="1"/>
    </xf>
    <xf numFmtId="43" fontId="16" fillId="9" borderId="15" xfId="0" applyNumberFormat="1" applyFont="1" applyFill="1" applyBorder="1"/>
    <xf numFmtId="43" fontId="16" fillId="9" borderId="18" xfId="0" applyNumberFormat="1" applyFont="1" applyFill="1" applyBorder="1"/>
    <xf numFmtId="43" fontId="16" fillId="9" borderId="20" xfId="0" applyNumberFormat="1" applyFont="1" applyFill="1" applyBorder="1"/>
    <xf numFmtId="0" fontId="24" fillId="5" borderId="0" xfId="0" applyFont="1" applyFill="1"/>
    <xf numFmtId="0" fontId="16" fillId="5" borderId="0" xfId="0" applyFont="1" applyFill="1"/>
    <xf numFmtId="43" fontId="16" fillId="5" borderId="0" xfId="0" applyNumberFormat="1" applyFont="1" applyFill="1"/>
    <xf numFmtId="43" fontId="14" fillId="2" borderId="0" xfId="0" applyNumberFormat="1" applyFont="1" applyFill="1" applyAlignment="1">
      <alignment horizontal="left" vertical="center" wrapText="1"/>
    </xf>
    <xf numFmtId="165" fontId="12" fillId="10" borderId="0" xfId="0" applyNumberFormat="1" applyFont="1" applyFill="1" applyAlignment="1">
      <alignment horizontal="left"/>
    </xf>
    <xf numFmtId="17" fontId="15" fillId="8" borderId="24" xfId="0" applyNumberFormat="1" applyFont="1" applyFill="1" applyBorder="1" applyAlignment="1">
      <alignment horizontal="center"/>
    </xf>
    <xf numFmtId="43" fontId="16" fillId="7" borderId="23" xfId="0" applyNumberFormat="1" applyFont="1" applyFill="1" applyBorder="1"/>
    <xf numFmtId="4" fontId="0" fillId="0" borderId="0" xfId="0" applyNumberFormat="1"/>
    <xf numFmtId="43" fontId="1" fillId="2" borderId="0" xfId="0" applyNumberFormat="1" applyFont="1" applyFill="1" applyAlignment="1">
      <alignment horizontal="left"/>
    </xf>
    <xf numFmtId="43" fontId="15" fillId="7" borderId="14" xfId="0" applyNumberFormat="1" applyFont="1" applyFill="1" applyBorder="1"/>
    <xf numFmtId="17" fontId="25" fillId="8" borderId="13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165" fontId="12" fillId="11" borderId="0" xfId="0" applyNumberFormat="1" applyFont="1" applyFill="1" applyAlignment="1">
      <alignment horizontal="left"/>
    </xf>
    <xf numFmtId="17" fontId="25" fillId="8" borderId="24" xfId="0" applyNumberFormat="1" applyFont="1" applyFill="1" applyBorder="1" applyAlignment="1">
      <alignment horizontal="center"/>
    </xf>
    <xf numFmtId="165" fontId="12" fillId="11" borderId="0" xfId="0" applyNumberFormat="1" applyFont="1" applyFill="1" applyAlignment="1">
      <alignment horizontal="center"/>
    </xf>
    <xf numFmtId="43" fontId="1" fillId="2" borderId="0" xfId="0" applyNumberFormat="1" applyFont="1" applyFill="1" applyAlignment="1">
      <alignment horizontal="left" indent="2"/>
    </xf>
    <xf numFmtId="0" fontId="30" fillId="0" borderId="0" xfId="0" applyFont="1" applyAlignment="1">
      <alignment horizontal="left"/>
    </xf>
    <xf numFmtId="0" fontId="10" fillId="11" borderId="25" xfId="0" applyFont="1" applyFill="1" applyBorder="1"/>
    <xf numFmtId="0" fontId="10" fillId="11" borderId="0" xfId="0" applyFont="1" applyFill="1"/>
    <xf numFmtId="0" fontId="0" fillId="0" borderId="27" xfId="0" applyBorder="1"/>
    <xf numFmtId="0" fontId="0" fillId="0" borderId="25" xfId="0" applyBorder="1"/>
    <xf numFmtId="0" fontId="12" fillId="11" borderId="25" xfId="0" applyFont="1" applyFill="1" applyBorder="1"/>
    <xf numFmtId="0" fontId="12" fillId="11" borderId="0" xfId="0" applyFont="1" applyFill="1"/>
    <xf numFmtId="17" fontId="2" fillId="0" borderId="0" xfId="0" applyNumberFormat="1" applyFont="1" applyAlignment="1">
      <alignment horizontal="center"/>
    </xf>
    <xf numFmtId="43" fontId="1" fillId="0" borderId="0" xfId="0" applyNumberFormat="1" applyFont="1"/>
    <xf numFmtId="43" fontId="1" fillId="2" borderId="0" xfId="0" applyNumberFormat="1" applyFont="1" applyFill="1" applyAlignment="1">
      <alignment horizontal="center" vertical="center" wrapText="1"/>
    </xf>
    <xf numFmtId="0" fontId="16" fillId="7" borderId="7" xfId="0" applyFont="1" applyFill="1" applyBorder="1" applyAlignment="1">
      <alignment vertical="center" wrapText="1"/>
    </xf>
    <xf numFmtId="0" fontId="24" fillId="0" borderId="0" xfId="0" applyFont="1"/>
    <xf numFmtId="0" fontId="16" fillId="9" borderId="7" xfId="0" applyFont="1" applyFill="1" applyBorder="1" applyAlignment="1">
      <alignment vertical="center" wrapText="1"/>
    </xf>
    <xf numFmtId="43" fontId="21" fillId="3" borderId="11" xfId="2" applyNumberFormat="1" applyFont="1" applyBorder="1" applyAlignment="1">
      <alignment vertical="center"/>
    </xf>
    <xf numFmtId="43" fontId="21" fillId="3" borderId="22" xfId="2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43" fontId="16" fillId="7" borderId="18" xfId="0" applyNumberFormat="1" applyFont="1" applyFill="1" applyBorder="1" applyAlignment="1">
      <alignment vertical="center"/>
    </xf>
    <xf numFmtId="43" fontId="16" fillId="7" borderId="20" xfId="0" applyNumberFormat="1" applyFont="1" applyFill="1" applyBorder="1" applyAlignment="1">
      <alignment vertical="center"/>
    </xf>
    <xf numFmtId="43" fontId="16" fillId="9" borderId="30" xfId="0" applyNumberFormat="1" applyFont="1" applyFill="1" applyBorder="1" applyAlignment="1">
      <alignment vertical="center"/>
    </xf>
    <xf numFmtId="43" fontId="16" fillId="9" borderId="31" xfId="0" applyNumberFormat="1" applyFont="1" applyFill="1" applyBorder="1" applyAlignment="1">
      <alignment vertical="center"/>
    </xf>
    <xf numFmtId="43" fontId="22" fillId="4" borderId="13" xfId="3" applyNumberFormat="1" applyFont="1" applyBorder="1" applyAlignment="1">
      <alignment vertical="center"/>
    </xf>
    <xf numFmtId="43" fontId="22" fillId="4" borderId="12" xfId="3" applyNumberFormat="1" applyFont="1" applyBorder="1" applyAlignment="1">
      <alignment vertical="center"/>
    </xf>
    <xf numFmtId="43" fontId="22" fillId="4" borderId="21" xfId="3" applyNumberFormat="1" applyFont="1" applyBorder="1" applyAlignment="1">
      <alignment vertical="center"/>
    </xf>
    <xf numFmtId="43" fontId="23" fillId="3" borderId="34" xfId="2" applyNumberFormat="1" applyFont="1" applyBorder="1" applyAlignment="1">
      <alignment vertical="center"/>
    </xf>
    <xf numFmtId="43" fontId="16" fillId="7" borderId="35" xfId="0" applyNumberFormat="1" applyFont="1" applyFill="1" applyBorder="1" applyAlignment="1">
      <alignment vertical="center"/>
    </xf>
    <xf numFmtId="43" fontId="16" fillId="9" borderId="36" xfId="0" applyNumberFormat="1" applyFont="1" applyFill="1" applyBorder="1" applyAlignment="1">
      <alignment vertical="center"/>
    </xf>
    <xf numFmtId="43" fontId="22" fillId="4" borderId="32" xfId="3" applyNumberFormat="1" applyFont="1" applyBorder="1" applyAlignment="1">
      <alignment vertical="center"/>
    </xf>
    <xf numFmtId="0" fontId="21" fillId="3" borderId="7" xfId="2" applyFont="1" applyBorder="1" applyAlignment="1">
      <alignment vertical="center"/>
    </xf>
    <xf numFmtId="0" fontId="22" fillId="4" borderId="9" xfId="3" applyFont="1" applyBorder="1" applyAlignment="1">
      <alignment vertical="center"/>
    </xf>
    <xf numFmtId="17" fontId="25" fillId="8" borderId="29" xfId="0" applyNumberFormat="1" applyFont="1" applyFill="1" applyBorder="1" applyAlignment="1">
      <alignment horizontal="center" vertical="center"/>
    </xf>
    <xf numFmtId="17" fontId="25" fillId="8" borderId="33" xfId="0" applyNumberFormat="1" applyFont="1" applyFill="1" applyBorder="1" applyAlignment="1">
      <alignment horizontal="center" vertical="center"/>
    </xf>
    <xf numFmtId="17" fontId="25" fillId="8" borderId="24" xfId="0" applyNumberFormat="1" applyFont="1" applyFill="1" applyBorder="1" applyAlignment="1">
      <alignment horizontal="center" vertical="center"/>
    </xf>
    <xf numFmtId="43" fontId="1" fillId="0" borderId="0" xfId="0" applyNumberFormat="1" applyFont="1" applyAlignment="1">
      <alignment horizontal="right"/>
    </xf>
    <xf numFmtId="43" fontId="21" fillId="3" borderId="34" xfId="2" applyNumberFormat="1" applyFont="1" applyBorder="1" applyAlignment="1">
      <alignment vertical="center"/>
    </xf>
    <xf numFmtId="43" fontId="22" fillId="0" borderId="0" xfId="3" applyNumberFormat="1" applyFont="1" applyFill="1" applyAlignment="1">
      <alignment vertical="center"/>
    </xf>
    <xf numFmtId="17" fontId="25" fillId="8" borderId="1" xfId="0" applyNumberFormat="1" applyFont="1" applyFill="1" applyBorder="1" applyAlignment="1">
      <alignment horizontal="center" wrapText="1"/>
    </xf>
    <xf numFmtId="43" fontId="21" fillId="3" borderId="37" xfId="2" applyNumberFormat="1" applyFont="1" applyBorder="1" applyAlignment="1">
      <alignment vertical="center"/>
    </xf>
    <xf numFmtId="43" fontId="16" fillId="7" borderId="38" xfId="0" applyNumberFormat="1" applyFont="1" applyFill="1" applyBorder="1" applyAlignment="1">
      <alignment vertical="center"/>
    </xf>
    <xf numFmtId="43" fontId="16" fillId="9" borderId="39" xfId="0" applyNumberFormat="1" applyFont="1" applyFill="1" applyBorder="1" applyAlignment="1">
      <alignment vertical="center"/>
    </xf>
    <xf numFmtId="43" fontId="21" fillId="3" borderId="40" xfId="2" applyNumberFormat="1" applyFont="1" applyBorder="1" applyAlignment="1">
      <alignment vertical="center"/>
    </xf>
    <xf numFmtId="43" fontId="16" fillId="7" borderId="41" xfId="0" applyNumberFormat="1" applyFont="1" applyFill="1" applyBorder="1" applyAlignment="1">
      <alignment vertical="center"/>
    </xf>
    <xf numFmtId="167" fontId="0" fillId="0" borderId="0" xfId="0" quotePrefix="1" applyNumberFormat="1" applyAlignment="1">
      <alignment horizontal="right"/>
    </xf>
    <xf numFmtId="17" fontId="25" fillId="8" borderId="1" xfId="0" quotePrefix="1" applyNumberFormat="1" applyFont="1" applyFill="1" applyBorder="1" applyAlignment="1">
      <alignment horizontal="center" wrapText="1"/>
    </xf>
    <xf numFmtId="43" fontId="1" fillId="0" borderId="0" xfId="0" quotePrefix="1" applyNumberFormat="1" applyFont="1"/>
    <xf numFmtId="43" fontId="1" fillId="2" borderId="0" xfId="0" applyNumberFormat="1" applyFont="1" applyFill="1" applyAlignment="1">
      <alignment horizontal="center" vertical="center" wrapText="1"/>
    </xf>
    <xf numFmtId="43" fontId="16" fillId="10" borderId="30" xfId="0" applyNumberFormat="1" applyFont="1" applyFill="1" applyBorder="1" applyAlignment="1">
      <alignment vertical="center"/>
    </xf>
    <xf numFmtId="43" fontId="16" fillId="10" borderId="31" xfId="0" applyNumberFormat="1" applyFont="1" applyFill="1" applyBorder="1" applyAlignment="1">
      <alignment vertical="center"/>
    </xf>
    <xf numFmtId="0" fontId="0" fillId="10" borderId="0" xfId="0" applyFill="1"/>
    <xf numFmtId="43" fontId="0" fillId="10" borderId="0" xfId="0" applyNumberFormat="1" applyFill="1"/>
    <xf numFmtId="43" fontId="2" fillId="12" borderId="0" xfId="0" applyNumberFormat="1" applyFont="1" applyFill="1"/>
    <xf numFmtId="43" fontId="16" fillId="5" borderId="36" xfId="0" applyNumberFormat="1" applyFont="1" applyFill="1" applyBorder="1" applyAlignment="1">
      <alignment vertical="center"/>
    </xf>
    <xf numFmtId="43" fontId="16" fillId="5" borderId="30" xfId="0" applyNumberFormat="1" applyFont="1" applyFill="1" applyBorder="1" applyAlignment="1">
      <alignment vertical="center"/>
    </xf>
    <xf numFmtId="43" fontId="0" fillId="5" borderId="0" xfId="0" applyNumberFormat="1" applyFill="1"/>
    <xf numFmtId="0" fontId="0" fillId="5" borderId="0" xfId="0" applyFill="1"/>
    <xf numFmtId="43" fontId="16" fillId="5" borderId="31" xfId="0" applyNumberFormat="1" applyFont="1" applyFill="1" applyBorder="1" applyAlignment="1">
      <alignment vertical="center"/>
    </xf>
    <xf numFmtId="43" fontId="1" fillId="2" borderId="0" xfId="0" applyNumberFormat="1" applyFont="1" applyFill="1" applyAlignment="1">
      <alignment horizontal="center" vertical="center" wrapText="1"/>
    </xf>
    <xf numFmtId="0" fontId="12" fillId="11" borderId="25" xfId="0" applyFont="1" applyFill="1" applyBorder="1" applyAlignment="1">
      <alignment horizontal="left"/>
    </xf>
    <xf numFmtId="0" fontId="17" fillId="0" borderId="0" xfId="0" applyFont="1" applyAlignment="1">
      <alignment horizontal="left" vertical="center" indent="16"/>
    </xf>
    <xf numFmtId="166" fontId="12" fillId="11" borderId="26" xfId="0" applyNumberFormat="1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43" fontId="29" fillId="2" borderId="28" xfId="0" applyNumberFormat="1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0" fillId="11" borderId="25" xfId="0" applyFont="1" applyFill="1" applyBorder="1" applyAlignment="1">
      <alignment horizontal="left"/>
    </xf>
    <xf numFmtId="166" fontId="10" fillId="11" borderId="26" xfId="0" applyNumberFormat="1" applyFont="1" applyFill="1" applyBorder="1" applyAlignment="1">
      <alignment horizontal="left"/>
    </xf>
    <xf numFmtId="43" fontId="6" fillId="2" borderId="0" xfId="0" applyNumberFormat="1" applyFont="1" applyFill="1" applyAlignment="1">
      <alignment horizontal="center"/>
    </xf>
  </cellXfs>
  <cellStyles count="4">
    <cellStyle name="Comma" xfId="1" builtinId="3"/>
    <cellStyle name="Good" xfId="2" builtinId="26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1160370</xdr:colOff>
      <xdr:row>36</xdr:row>
      <xdr:rowOff>40901</xdr:rowOff>
    </xdr:from>
    <xdr:to>
      <xdr:col>1</xdr:col>
      <xdr:colOff>1355912</xdr:colOff>
      <xdr:row>41</xdr:row>
      <xdr:rowOff>112059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/>
        </xdr:cNvSpPr>
      </xdr:nvSpPr>
      <xdr:spPr bwMode="auto">
        <a:xfrm>
          <a:off x="1283635" y="7571254"/>
          <a:ext cx="195542" cy="855570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38</xdr:row>
      <xdr:rowOff>85725</xdr:rowOff>
    </xdr:from>
    <xdr:to>
      <xdr:col>1</xdr:col>
      <xdr:colOff>1390650</xdr:colOff>
      <xdr:row>45</xdr:row>
      <xdr:rowOff>114300</xdr:rowOff>
    </xdr:to>
    <xdr:sp macro="" textlink="">
      <xdr:nvSpPr>
        <xdr:cNvPr id="5253" name="AutoShape 1">
          <a:extLst>
            <a:ext uri="{FF2B5EF4-FFF2-40B4-BE49-F238E27FC236}">
              <a16:creationId xmlns:a16="http://schemas.microsoft.com/office/drawing/2014/main" id="{00000000-0008-0000-0B00-000085140000}"/>
            </a:ext>
          </a:extLst>
        </xdr:cNvPr>
        <xdr:cNvSpPr>
          <a:spLocks/>
        </xdr:cNvSpPr>
      </xdr:nvSpPr>
      <xdr:spPr bwMode="auto">
        <a:xfrm>
          <a:off x="1295400" y="7629525"/>
          <a:ext cx="219075" cy="1152525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40</xdr:row>
      <xdr:rowOff>76200</xdr:rowOff>
    </xdr:from>
    <xdr:to>
      <xdr:col>7</xdr:col>
      <xdr:colOff>200025</xdr:colOff>
      <xdr:row>46</xdr:row>
      <xdr:rowOff>0</xdr:rowOff>
    </xdr:to>
    <xdr:sp macro="" textlink="">
      <xdr:nvSpPr>
        <xdr:cNvPr id="3218" name="AutoShape 1">
          <a:extLst>
            <a:ext uri="{FF2B5EF4-FFF2-40B4-BE49-F238E27FC236}">
              <a16:creationId xmlns:a16="http://schemas.microsoft.com/office/drawing/2014/main" id="{00000000-0008-0000-0C00-0000920C0000}"/>
            </a:ext>
          </a:extLst>
        </xdr:cNvPr>
        <xdr:cNvSpPr>
          <a:spLocks/>
        </xdr:cNvSpPr>
      </xdr:nvSpPr>
      <xdr:spPr bwMode="auto">
        <a:xfrm>
          <a:off x="7115175" y="7200900"/>
          <a:ext cx="95250" cy="923925"/>
        </a:xfrm>
        <a:prstGeom prst="rightBrace">
          <a:avLst>
            <a:gd name="adj1" fmla="val 8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885825</xdr:colOff>
      <xdr:row>36</xdr:row>
      <xdr:rowOff>0</xdr:rowOff>
    </xdr:from>
    <xdr:to>
      <xdr:col>7</xdr:col>
      <xdr:colOff>38100</xdr:colOff>
      <xdr:row>40</xdr:row>
      <xdr:rowOff>9525</xdr:rowOff>
    </xdr:to>
    <xdr:sp macro="" textlink="">
      <xdr:nvSpPr>
        <xdr:cNvPr id="2194" name="AutoShape 3">
          <a:extLst>
            <a:ext uri="{FF2B5EF4-FFF2-40B4-BE49-F238E27FC236}">
              <a16:creationId xmlns:a16="http://schemas.microsoft.com/office/drawing/2014/main" id="{00000000-0008-0000-0D00-000092080000}"/>
            </a:ext>
          </a:extLst>
        </xdr:cNvPr>
        <xdr:cNvSpPr>
          <a:spLocks/>
        </xdr:cNvSpPr>
      </xdr:nvSpPr>
      <xdr:spPr bwMode="auto">
        <a:xfrm>
          <a:off x="6953250" y="6429375"/>
          <a:ext cx="95250" cy="657225"/>
        </a:xfrm>
        <a:prstGeom prst="rightBrace">
          <a:avLst>
            <a:gd name="adj1" fmla="val 5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 bwMode="auto">
        <a:xfrm>
          <a:off x="1793500" y="7860926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>
          <a:off x="1793500" y="7851401"/>
          <a:ext cx="302559" cy="133069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1793500" y="785140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/>
        </xdr:cNvSpPr>
      </xdr:nvSpPr>
      <xdr:spPr bwMode="auto">
        <a:xfrm>
          <a:off x="1793500" y="7403726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35</xdr:row>
      <xdr:rowOff>40901</xdr:rowOff>
    </xdr:from>
    <xdr:to>
      <xdr:col>1</xdr:col>
      <xdr:colOff>1972234</xdr:colOff>
      <xdr:row>42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/>
        </xdr:cNvSpPr>
      </xdr:nvSpPr>
      <xdr:spPr bwMode="auto">
        <a:xfrm>
          <a:off x="1792940" y="7414372"/>
          <a:ext cx="302559" cy="1135716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1160370</xdr:colOff>
      <xdr:row>35</xdr:row>
      <xdr:rowOff>40901</xdr:rowOff>
    </xdr:from>
    <xdr:to>
      <xdr:col>1</xdr:col>
      <xdr:colOff>1355912</xdr:colOff>
      <xdr:row>40</xdr:row>
      <xdr:rowOff>112059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/>
        </xdr:cNvSpPr>
      </xdr:nvSpPr>
      <xdr:spPr bwMode="auto">
        <a:xfrm>
          <a:off x="1284195" y="7508501"/>
          <a:ext cx="195542" cy="871258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6"/>
  <sheetViews>
    <sheetView showGridLines="0" tabSelected="1" topLeftCell="A16" zoomScaleNormal="100" workbookViewId="0">
      <selection activeCell="O29" sqref="O29"/>
    </sheetView>
  </sheetViews>
  <sheetFormatPr defaultRowHeight="12.75" x14ac:dyDescent="0.2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6" width="18.28515625" customWidth="1"/>
    <col min="7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 x14ac:dyDescent="0.25">
      <c r="B1" s="87"/>
      <c r="C1" s="87"/>
      <c r="D1" s="87"/>
    </row>
    <row r="2" spans="2:17" ht="20.25" customHeight="1" thickTop="1" thickBot="1" x14ac:dyDescent="0.3">
      <c r="B2" s="88" t="s">
        <v>65</v>
      </c>
      <c r="C2" s="139" t="s">
        <v>83</v>
      </c>
      <c r="D2" s="139"/>
      <c r="E2" s="140" t="s">
        <v>99</v>
      </c>
      <c r="F2" s="140"/>
      <c r="G2" s="140"/>
      <c r="H2" s="140"/>
      <c r="I2" s="140"/>
      <c r="J2" s="140"/>
      <c r="K2" s="140"/>
      <c r="L2" s="140"/>
      <c r="M2" s="140"/>
    </row>
    <row r="3" spans="2:17" ht="20.25" customHeight="1" thickTop="1" thickBot="1" x14ac:dyDescent="0.3">
      <c r="B3" s="89" t="s">
        <v>57</v>
      </c>
      <c r="C3" s="141">
        <v>44417</v>
      </c>
      <c r="D3" s="141"/>
      <c r="E3" s="140"/>
      <c r="F3" s="140"/>
      <c r="G3" s="140"/>
      <c r="H3" s="140"/>
      <c r="I3" s="140"/>
      <c r="J3" s="140"/>
      <c r="K3" s="140"/>
      <c r="L3" s="140"/>
      <c r="M3" s="140"/>
    </row>
    <row r="4" spans="2:17" ht="7.5" customHeight="1" thickTop="1" x14ac:dyDescent="0.2">
      <c r="B4" s="86"/>
    </row>
    <row r="5" spans="2:17" ht="20.25" customHeight="1" x14ac:dyDescent="0.3">
      <c r="B5" s="83" t="s">
        <v>134</v>
      </c>
      <c r="C5" s="61"/>
      <c r="D5" s="61"/>
      <c r="F5" s="61"/>
      <c r="G5" s="61"/>
      <c r="H5" s="61"/>
      <c r="I5" s="61"/>
      <c r="J5" s="61"/>
      <c r="K5" s="61"/>
      <c r="L5" s="61"/>
      <c r="M5" s="61"/>
      <c r="N5" s="61"/>
      <c r="O5" s="61"/>
      <c r="Q5" s="61"/>
    </row>
    <row r="6" spans="2:17" ht="18" x14ac:dyDescent="0.25">
      <c r="B6" s="61" t="s">
        <v>69</v>
      </c>
    </row>
    <row r="7" spans="2:17" ht="14.25" x14ac:dyDescent="0.2">
      <c r="B7" s="29" t="s">
        <v>117</v>
      </c>
    </row>
    <row r="8" spans="2:17" ht="14.25" x14ac:dyDescent="0.2">
      <c r="B8" s="29" t="s">
        <v>100</v>
      </c>
    </row>
    <row r="9" spans="2:17" ht="14.25" x14ac:dyDescent="0.2">
      <c r="B9" s="29" t="s">
        <v>104</v>
      </c>
    </row>
    <row r="10" spans="2:17" ht="14.25" x14ac:dyDescent="0.2">
      <c r="B10" s="29"/>
    </row>
    <row r="11" spans="2:17" ht="14.25" x14ac:dyDescent="0.2">
      <c r="B11" s="29" t="s">
        <v>101</v>
      </c>
    </row>
    <row r="12" spans="2:17" ht="15" x14ac:dyDescent="0.25">
      <c r="B12" s="29" t="s">
        <v>66</v>
      </c>
    </row>
    <row r="13" spans="2:17" ht="14.25" x14ac:dyDescent="0.2">
      <c r="B13" s="29" t="s">
        <v>103</v>
      </c>
    </row>
    <row r="14" spans="2:17" ht="15" x14ac:dyDescent="0.25">
      <c r="B14" s="29" t="s">
        <v>67</v>
      </c>
    </row>
    <row r="15" spans="2:17" ht="14.25" x14ac:dyDescent="0.2">
      <c r="B15" s="29" t="s">
        <v>73</v>
      </c>
    </row>
    <row r="16" spans="2:17" ht="14.25" x14ac:dyDescent="0.2">
      <c r="B16" s="29" t="s">
        <v>105</v>
      </c>
    </row>
    <row r="17" spans="2:18" ht="15" customHeight="1" x14ac:dyDescent="0.25">
      <c r="B17" s="29" t="s">
        <v>108</v>
      </c>
    </row>
    <row r="18" spans="2:18" ht="14.25" x14ac:dyDescent="0.2">
      <c r="B18" s="29" t="s">
        <v>106</v>
      </c>
    </row>
    <row r="19" spans="2:18" ht="14.25" x14ac:dyDescent="0.2">
      <c r="B19" s="29" t="s">
        <v>102</v>
      </c>
    </row>
    <row r="20" spans="2:18" ht="15.75" x14ac:dyDescent="0.25">
      <c r="B20" s="94"/>
      <c r="C20" s="142"/>
      <c r="D20" s="142"/>
      <c r="E20" s="142"/>
      <c r="F20" s="28"/>
      <c r="G20" s="28"/>
    </row>
    <row r="21" spans="2:18" ht="15.75" x14ac:dyDescent="0.25">
      <c r="B21" s="94"/>
      <c r="C21" s="142"/>
      <c r="D21" s="142"/>
      <c r="E21" s="142"/>
      <c r="F21" s="28"/>
      <c r="G21" s="28"/>
    </row>
    <row r="22" spans="2:18" ht="39.75" customHeight="1" x14ac:dyDescent="0.25">
      <c r="B22" s="58"/>
      <c r="C22" s="112">
        <v>44075</v>
      </c>
      <c r="D22" s="113">
        <f>C22+31</f>
        <v>44106</v>
      </c>
      <c r="E22" s="113">
        <f t="shared" ref="E22:N22" si="0">D22+30</f>
        <v>44136</v>
      </c>
      <c r="F22" s="113">
        <f t="shared" si="0"/>
        <v>44166</v>
      </c>
      <c r="G22" s="113">
        <f>F22+31</f>
        <v>44197</v>
      </c>
      <c r="H22" s="113">
        <f>G22+31</f>
        <v>44228</v>
      </c>
      <c r="I22" s="113">
        <f t="shared" si="0"/>
        <v>44258</v>
      </c>
      <c r="J22" s="113">
        <f t="shared" si="0"/>
        <v>44288</v>
      </c>
      <c r="K22" s="113">
        <f t="shared" si="0"/>
        <v>44318</v>
      </c>
      <c r="L22" s="113">
        <f>K22+31</f>
        <v>44349</v>
      </c>
      <c r="M22" s="113">
        <f>L22+31</f>
        <v>44380</v>
      </c>
      <c r="N22" s="114">
        <f t="shared" si="0"/>
        <v>44410</v>
      </c>
      <c r="O22" s="114" t="s">
        <v>137</v>
      </c>
      <c r="Q22" s="125" t="s">
        <v>135</v>
      </c>
    </row>
    <row r="23" spans="2:18" ht="29.25" customHeight="1" x14ac:dyDescent="0.2">
      <c r="B23" s="110" t="s">
        <v>23</v>
      </c>
      <c r="C23" s="106">
        <v>-422693.61000000068</v>
      </c>
      <c r="D23" s="96">
        <f>C31</f>
        <v>-428906.39000000077</v>
      </c>
      <c r="E23" s="96">
        <f>D31</f>
        <v>-402042.5600000007</v>
      </c>
      <c r="F23" s="96">
        <f>E31</f>
        <v>-427737.1900000007</v>
      </c>
      <c r="G23" s="96">
        <f>F31</f>
        <v>-431477.83000000071</v>
      </c>
      <c r="H23" s="96">
        <f>G31</f>
        <v>-425716.03000000073</v>
      </c>
      <c r="I23" s="96">
        <f t="shared" ref="I23:J23" si="1">H31</f>
        <v>-432912.75000000076</v>
      </c>
      <c r="J23" s="96">
        <f t="shared" si="1"/>
        <v>-379263.99000000069</v>
      </c>
      <c r="K23" s="96">
        <f>J31</f>
        <v>-298773.36000000068</v>
      </c>
      <c r="L23" s="96">
        <f>K31</f>
        <v>-255066.15000000066</v>
      </c>
      <c r="M23" s="96">
        <f>L31</f>
        <v>-222047.79000000068</v>
      </c>
      <c r="N23" s="97">
        <f>M31</f>
        <v>-217976.08000000069</v>
      </c>
      <c r="O23" s="97">
        <f>N31</f>
        <v>-235645.04000000065</v>
      </c>
      <c r="P23" s="98"/>
      <c r="Q23" s="119">
        <f>+D23</f>
        <v>-428906.39000000077</v>
      </c>
    </row>
    <row r="24" spans="2:18" ht="27.75" customHeight="1" x14ac:dyDescent="0.2">
      <c r="B24" s="93" t="s">
        <v>120</v>
      </c>
      <c r="C24" s="107">
        <v>-35900.46</v>
      </c>
      <c r="D24" s="99">
        <v>-44496.04</v>
      </c>
      <c r="E24" s="99">
        <v>-69300.61</v>
      </c>
      <c r="F24" s="99">
        <v>-108691.21</v>
      </c>
      <c r="G24" s="99">
        <v>-118018.4</v>
      </c>
      <c r="H24" s="99">
        <v>-111301.16</v>
      </c>
      <c r="I24" s="99">
        <v>-116717</v>
      </c>
      <c r="J24" s="99">
        <v>-90022.51</v>
      </c>
      <c r="K24" s="99">
        <v>-54758.99</v>
      </c>
      <c r="L24" s="99">
        <v>-41531.870000000003</v>
      </c>
      <c r="M24" s="99">
        <v>-35153.25</v>
      </c>
      <c r="N24" s="99">
        <v>-35596.199999999997</v>
      </c>
      <c r="O24" s="99">
        <f>'WA 2019-20 Plan Year'!O24</f>
        <v>-35900.46</v>
      </c>
      <c r="P24" s="98"/>
      <c r="Q24" s="120">
        <f>SUM(D24:O24)</f>
        <v>-861487.7</v>
      </c>
    </row>
    <row r="25" spans="2:18" ht="30" customHeight="1" x14ac:dyDescent="0.2">
      <c r="B25" s="95" t="s">
        <v>114</v>
      </c>
      <c r="C25" s="133">
        <v>58773.93</v>
      </c>
      <c r="D25" s="134">
        <v>78870.710000000006</v>
      </c>
      <c r="E25" s="134">
        <v>53297.93</v>
      </c>
      <c r="F25" s="134">
        <v>101657.38</v>
      </c>
      <c r="G25" s="134">
        <v>90290.85</v>
      </c>
      <c r="H25" s="134">
        <f>83386.86+413</f>
        <v>83799.86</v>
      </c>
      <c r="I25" s="134">
        <v>121519.94</v>
      </c>
      <c r="J25" s="134">
        <v>99776.15</v>
      </c>
      <c r="K25" s="134">
        <v>58404.69</v>
      </c>
      <c r="L25" s="134">
        <f>40264.27+2.14</f>
        <v>40266.409999999996</v>
      </c>
      <c r="M25" s="134">
        <v>22771.31</v>
      </c>
      <c r="N25" s="134">
        <v>35171.120000000003</v>
      </c>
      <c r="O25" s="134">
        <f>'WA 2019-20 Plan Year'!O25</f>
        <v>58773.93</v>
      </c>
      <c r="P25" s="98"/>
      <c r="Q25" s="121">
        <f t="shared" ref="Q25:Q30" si="2">SUM(D25:O25)</f>
        <v>844600.28000000014</v>
      </c>
    </row>
    <row r="26" spans="2:18" ht="29.25" customHeight="1" x14ac:dyDescent="0.2">
      <c r="B26" s="93" t="s">
        <v>115</v>
      </c>
      <c r="C26" s="107">
        <v>-31857.77</v>
      </c>
      <c r="D26" s="99">
        <v>-50028.61</v>
      </c>
      <c r="E26" s="99">
        <v>-75188.070000000007</v>
      </c>
      <c r="F26" s="99">
        <v>-84069.07</v>
      </c>
      <c r="G26" s="99">
        <v>-80289.679999999993</v>
      </c>
      <c r="H26" s="99">
        <v>-85544.87</v>
      </c>
      <c r="I26" s="99">
        <v>-64644.05</v>
      </c>
      <c r="J26" s="99">
        <v>-37817.06</v>
      </c>
      <c r="K26" s="99">
        <v>-25230.55</v>
      </c>
      <c r="L26" s="99">
        <v>-19246.73</v>
      </c>
      <c r="M26" s="99">
        <f>-25961.49-641.59</f>
        <v>-26603.08</v>
      </c>
      <c r="N26" s="99">
        <v>-27009.17</v>
      </c>
      <c r="O26" s="99">
        <f>'WA 2019-20 Plan Year'!O26</f>
        <v>-31857.77</v>
      </c>
      <c r="P26" s="98"/>
      <c r="Q26" s="120">
        <f t="shared" si="2"/>
        <v>-607528.71</v>
      </c>
      <c r="R26" s="74"/>
    </row>
    <row r="27" spans="2:18" ht="30" customHeight="1" x14ac:dyDescent="0.2">
      <c r="B27" s="95" t="s">
        <v>116</v>
      </c>
      <c r="C27" s="108">
        <v>26686.98</v>
      </c>
      <c r="D27" s="101">
        <f>-C26</f>
        <v>31857.77</v>
      </c>
      <c r="E27" s="101">
        <f t="shared" ref="E27:O27" si="3">-D26</f>
        <v>50028.61</v>
      </c>
      <c r="F27" s="101">
        <f t="shared" si="3"/>
        <v>75188.070000000007</v>
      </c>
      <c r="G27" s="101">
        <f t="shared" si="3"/>
        <v>84069.07</v>
      </c>
      <c r="H27" s="101">
        <f t="shared" si="3"/>
        <v>80289.679999999993</v>
      </c>
      <c r="I27" s="101">
        <f t="shared" si="3"/>
        <v>85544.87</v>
      </c>
      <c r="J27" s="101">
        <f t="shared" si="3"/>
        <v>64644.05</v>
      </c>
      <c r="K27" s="101">
        <f t="shared" si="3"/>
        <v>37817.06</v>
      </c>
      <c r="L27" s="101">
        <f t="shared" si="3"/>
        <v>25230.55</v>
      </c>
      <c r="M27" s="101">
        <f t="shared" si="3"/>
        <v>19246.73</v>
      </c>
      <c r="N27" s="102">
        <f t="shared" si="3"/>
        <v>26603.08</v>
      </c>
      <c r="O27" s="102">
        <f t="shared" si="3"/>
        <v>27009.17</v>
      </c>
      <c r="P27" s="98"/>
      <c r="Q27" s="121">
        <f t="shared" si="2"/>
        <v>607528.71</v>
      </c>
    </row>
    <row r="28" spans="2:18" ht="29.25" customHeight="1" x14ac:dyDescent="0.2">
      <c r="B28" s="93" t="s">
        <v>25</v>
      </c>
      <c r="C28" s="107">
        <v>7375</v>
      </c>
      <c r="D28" s="99">
        <f>1280+1285+150+620+500+350+215+5735+525</f>
        <v>10660</v>
      </c>
      <c r="E28" s="99">
        <f>225+110+25+510+11810+170+765+1560</f>
        <v>15175</v>
      </c>
      <c r="F28" s="99">
        <f>75+225+170+150+765+3010+4865+85+850+680</f>
        <v>10875</v>
      </c>
      <c r="G28" s="99">
        <f>5000+2530+255+300+365+85+150+935+5875+6020+1605+300</f>
        <v>23420</v>
      </c>
      <c r="H28" s="99">
        <f>3695+375+2930+935+4765+675+765+1105+2465</f>
        <v>17710</v>
      </c>
      <c r="I28" s="99">
        <f>1640+1655+150+425+110+985+595+375+3160+3970+2360+880</f>
        <v>16305</v>
      </c>
      <c r="J28" s="99">
        <f>7715+1965+525+1600+160+850+85+1435+7045+850</f>
        <v>22230</v>
      </c>
      <c r="K28" s="99">
        <f>2460+765+1225+170+150+245+6280+85+8075+2020</f>
        <v>21475</v>
      </c>
      <c r="L28" s="99">
        <f>2105+150+510+1955+85+85+2125+765+2805+4255</f>
        <v>14840</v>
      </c>
      <c r="M28" s="99">
        <f>425+85+595+755+4250+1095+1530+1275</f>
        <v>10010</v>
      </c>
      <c r="N28" s="99">
        <v>6295</v>
      </c>
      <c r="O28" s="99">
        <f>'WA 2019-20 Plan Year'!O28</f>
        <v>7375</v>
      </c>
      <c r="P28" s="98"/>
      <c r="Q28" s="120">
        <f t="shared" si="2"/>
        <v>176370</v>
      </c>
      <c r="R28" s="74"/>
    </row>
    <row r="29" spans="2:18" ht="30" customHeight="1" x14ac:dyDescent="0.2">
      <c r="B29" s="95" t="s">
        <v>107</v>
      </c>
      <c r="C29" s="108">
        <v>1600</v>
      </c>
      <c r="D29" s="101">
        <v>0</v>
      </c>
      <c r="E29" s="101">
        <f>119.6+172.91</f>
        <v>292.51</v>
      </c>
      <c r="F29" s="101">
        <f>636.7+124.88+0.88+2.68+4.8+6.44+9.33+14.22+12+23.57+83.93+48+331.76</f>
        <v>1299.19</v>
      </c>
      <c r="G29" s="101">
        <f>6000+289.96</f>
        <v>6289.96</v>
      </c>
      <c r="H29" s="101">
        <f>6000+700+728.93+23.45+397.39</f>
        <v>7849.77</v>
      </c>
      <c r="I29" s="101">
        <f>5640+6000</f>
        <v>11640</v>
      </c>
      <c r="J29" s="101">
        <f>880+880+6000+5640+5640+880+880+880</f>
        <v>21680</v>
      </c>
      <c r="K29" s="101">
        <v>6000</v>
      </c>
      <c r="L29" s="101">
        <f>4820-4820+6000+4820+880+880+880</f>
        <v>13460</v>
      </c>
      <c r="M29" s="101">
        <f>6000+7800</f>
        <v>13800</v>
      </c>
      <c r="N29" s="101">
        <v>16605</v>
      </c>
      <c r="O29" s="101">
        <f>'WA 2019-20 Plan Year'!O29</f>
        <v>1600</v>
      </c>
      <c r="P29" s="98"/>
      <c r="Q29" s="121">
        <f t="shared" si="2"/>
        <v>100516.43</v>
      </c>
    </row>
    <row r="30" spans="2:18" ht="29.25" customHeight="1" x14ac:dyDescent="0.2">
      <c r="B30" s="93" t="s">
        <v>87</v>
      </c>
      <c r="C30" s="107">
        <v>-32890.46</v>
      </c>
      <c r="D30" s="99">
        <v>0</v>
      </c>
      <c r="E30" s="99"/>
      <c r="F30" s="99"/>
      <c r="G30" s="99"/>
      <c r="H30" s="99"/>
      <c r="I30" s="99"/>
      <c r="J30" s="99"/>
      <c r="K30" s="99"/>
      <c r="L30" s="99"/>
      <c r="M30" s="99"/>
      <c r="N30" s="100">
        <v>-39737.79</v>
      </c>
      <c r="O30" s="100"/>
      <c r="P30" s="98"/>
      <c r="Q30" s="123">
        <f t="shared" si="2"/>
        <v>-39737.79</v>
      </c>
      <c r="R30" s="74"/>
    </row>
    <row r="31" spans="2:18" ht="27" customHeight="1" x14ac:dyDescent="0.2">
      <c r="B31" s="110" t="s">
        <v>27</v>
      </c>
      <c r="C31" s="116">
        <v>-428906.39000000077</v>
      </c>
      <c r="D31" s="96">
        <f t="shared" ref="D31:O31" si="4">SUM(D23:D30)</f>
        <v>-402042.5600000007</v>
      </c>
      <c r="E31" s="96">
        <f t="shared" si="4"/>
        <v>-427737.1900000007</v>
      </c>
      <c r="F31" s="96">
        <f t="shared" si="4"/>
        <v>-431477.83000000071</v>
      </c>
      <c r="G31" s="96">
        <f t="shared" si="4"/>
        <v>-425716.03000000073</v>
      </c>
      <c r="H31" s="96">
        <f t="shared" si="4"/>
        <v>-432912.75000000076</v>
      </c>
      <c r="I31" s="96">
        <f t="shared" si="4"/>
        <v>-379263.99000000069</v>
      </c>
      <c r="J31" s="96">
        <f t="shared" si="4"/>
        <v>-298773.36000000068</v>
      </c>
      <c r="K31" s="96">
        <f t="shared" si="4"/>
        <v>-255066.15000000066</v>
      </c>
      <c r="L31" s="96">
        <f t="shared" si="4"/>
        <v>-222047.79000000068</v>
      </c>
      <c r="M31" s="96">
        <f t="shared" si="4"/>
        <v>-217976.08000000069</v>
      </c>
      <c r="N31" s="97">
        <f t="shared" si="4"/>
        <v>-235645.04000000065</v>
      </c>
      <c r="O31" s="97">
        <f t="shared" si="4"/>
        <v>-208645.17000000062</v>
      </c>
      <c r="P31" s="98"/>
      <c r="Q31" s="122">
        <f>SUM(Q23:Q30)</f>
        <v>-208645.17000000054</v>
      </c>
    </row>
    <row r="32" spans="2:18" ht="25.5" customHeight="1" x14ac:dyDescent="0.2">
      <c r="B32" s="111" t="s">
        <v>59</v>
      </c>
      <c r="C32" s="109">
        <v>-428906.39</v>
      </c>
      <c r="D32" s="103">
        <v>-402042.56</v>
      </c>
      <c r="E32" s="104">
        <v>-427737.19</v>
      </c>
      <c r="F32" s="104">
        <v>-431477.83</v>
      </c>
      <c r="G32" s="104">
        <v>-425716.03</v>
      </c>
      <c r="H32" s="104">
        <v>-432912.75</v>
      </c>
      <c r="I32" s="104">
        <v>-379263.99</v>
      </c>
      <c r="J32" s="104">
        <v>-298773.36</v>
      </c>
      <c r="K32" s="103">
        <v>-255066.15</v>
      </c>
      <c r="L32" s="104">
        <v>-222047.79</v>
      </c>
      <c r="M32" s="104">
        <v>-217976.08</v>
      </c>
      <c r="N32" s="105">
        <f>N31</f>
        <v>-235645.04000000065</v>
      </c>
      <c r="O32" s="105">
        <f>O31</f>
        <v>-208645.17000000062</v>
      </c>
      <c r="P32" s="98"/>
      <c r="Q32" s="117"/>
      <c r="R32" s="74"/>
    </row>
    <row r="33" spans="2:18" ht="15.75" customHeight="1" x14ac:dyDescent="0.2">
      <c r="B33" s="29" t="s">
        <v>60</v>
      </c>
      <c r="C33" s="2">
        <f t="shared" ref="C33:O33" si="5">C31-C32</f>
        <v>-7.5669959187507629E-10</v>
      </c>
      <c r="D33" s="2">
        <f t="shared" si="5"/>
        <v>-6.9849193096160889E-10</v>
      </c>
      <c r="E33" s="2">
        <f t="shared" si="5"/>
        <v>-6.9849193096160889E-10</v>
      </c>
      <c r="F33" s="2">
        <f t="shared" si="5"/>
        <v>-6.9849193096160889E-10</v>
      </c>
      <c r="G33" s="2">
        <f t="shared" si="5"/>
        <v>-6.9849193096160889E-10</v>
      </c>
      <c r="H33" s="2">
        <f t="shared" si="5"/>
        <v>-7.5669959187507629E-10</v>
      </c>
      <c r="I33" s="2">
        <f t="shared" si="5"/>
        <v>-6.9849193096160889E-10</v>
      </c>
      <c r="J33" s="2">
        <f t="shared" si="5"/>
        <v>-6.9849193096160889E-10</v>
      </c>
      <c r="K33" s="2">
        <f t="shared" si="5"/>
        <v>-6.6938810050487518E-10</v>
      </c>
      <c r="L33" s="2">
        <f t="shared" si="5"/>
        <v>-6.6938810050487518E-10</v>
      </c>
      <c r="M33" s="2">
        <f t="shared" si="5"/>
        <v>-6.9849193096160889E-10</v>
      </c>
      <c r="N33" s="2">
        <f t="shared" si="5"/>
        <v>0</v>
      </c>
      <c r="O33" s="2">
        <f t="shared" si="5"/>
        <v>0</v>
      </c>
      <c r="P33" s="2"/>
      <c r="Q33" s="2"/>
    </row>
    <row r="34" spans="2:18" ht="15.75" customHeight="1" x14ac:dyDescent="0.2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4"/>
      <c r="O34" s="2"/>
      <c r="P34" s="2"/>
      <c r="Q34" s="2"/>
      <c r="R34" s="74"/>
    </row>
    <row r="36" spans="2:18" ht="14.25" x14ac:dyDescent="0.2">
      <c r="B36" s="78"/>
    </row>
  </sheetData>
  <mergeCells count="5">
    <mergeCell ref="C2:D2"/>
    <mergeCell ref="E2:M3"/>
    <mergeCell ref="C3:D3"/>
    <mergeCell ref="C20:E20"/>
    <mergeCell ref="C21:E21"/>
  </mergeCells>
  <pageMargins left="0.3" right="0" top="0.5" bottom="0.25" header="0.5" footer="0.5"/>
  <pageSetup scale="54" orientation="landscape" cellComments="asDisplayed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Q48"/>
  <sheetViews>
    <sheetView showGridLines="0" zoomScale="85" zoomScaleNormal="85" workbookViewId="0">
      <selection activeCell="P31" sqref="P31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x14ac:dyDescent="0.2"/>
    <row r="2" spans="2:14" ht="15.75" x14ac:dyDescent="0.25">
      <c r="B2" s="31" t="s">
        <v>65</v>
      </c>
      <c r="C2" s="35" t="s">
        <v>64</v>
      </c>
    </row>
    <row r="3" spans="2:14" ht="15.75" x14ac:dyDescent="0.25">
      <c r="B3" s="31" t="s">
        <v>57</v>
      </c>
      <c r="C3" s="81">
        <v>41282</v>
      </c>
    </row>
    <row r="4" spans="2:14" ht="11.25" customHeight="1" x14ac:dyDescent="0.2"/>
    <row r="5" spans="2:14" ht="15.75" customHeight="1" x14ac:dyDescent="0.25">
      <c r="B5" s="62" t="s">
        <v>78</v>
      </c>
      <c r="C5" s="61"/>
      <c r="D5" s="61"/>
      <c r="E5" s="61" t="s">
        <v>68</v>
      </c>
      <c r="F5" s="61"/>
      <c r="G5" s="61"/>
      <c r="H5" s="61"/>
      <c r="I5" s="61"/>
      <c r="J5" s="61"/>
      <c r="K5" s="61"/>
      <c r="L5" s="61"/>
      <c r="M5" s="61"/>
      <c r="N5" s="61"/>
    </row>
    <row r="6" spans="2:14" ht="18" x14ac:dyDescent="0.25">
      <c r="B6" s="61" t="s">
        <v>69</v>
      </c>
    </row>
    <row r="7" spans="2:14" ht="14.25" x14ac:dyDescent="0.2">
      <c r="B7" s="29" t="s">
        <v>28</v>
      </c>
    </row>
    <row r="8" spans="2:14" ht="14.25" x14ac:dyDescent="0.2">
      <c r="B8" s="29" t="s">
        <v>0</v>
      </c>
    </row>
    <row r="9" spans="2:14" ht="10.5" customHeight="1" x14ac:dyDescent="0.2">
      <c r="B9" s="29"/>
    </row>
    <row r="10" spans="2:14" ht="14.25" x14ac:dyDescent="0.2">
      <c r="B10" s="29" t="s">
        <v>79</v>
      </c>
    </row>
    <row r="11" spans="2:14" ht="15" x14ac:dyDescent="0.25">
      <c r="B11" s="29" t="s">
        <v>66</v>
      </c>
    </row>
    <row r="12" spans="2:14" ht="14.25" x14ac:dyDescent="0.2">
      <c r="B12" s="29" t="s">
        <v>72</v>
      </c>
    </row>
    <row r="13" spans="2:14" ht="15" x14ac:dyDescent="0.25">
      <c r="B13" s="29" t="s">
        <v>67</v>
      </c>
    </row>
    <row r="14" spans="2:14" ht="14.25" x14ac:dyDescent="0.2">
      <c r="B14" s="29" t="s">
        <v>73</v>
      </c>
    </row>
    <row r="15" spans="2:14" ht="14.25" x14ac:dyDescent="0.2">
      <c r="B15" s="29" t="s">
        <v>74</v>
      </c>
    </row>
    <row r="16" spans="2:14" ht="11.25" customHeight="1" x14ac:dyDescent="0.2">
      <c r="B16" s="29"/>
    </row>
    <row r="17" spans="2:17" ht="14.25" x14ac:dyDescent="0.2">
      <c r="B17" s="29" t="s">
        <v>7</v>
      </c>
    </row>
    <row r="18" spans="2:17" ht="10.5" customHeight="1" x14ac:dyDescent="0.2"/>
    <row r="19" spans="2:17" ht="15.75" x14ac:dyDescent="0.25">
      <c r="B19" s="67" t="s">
        <v>45</v>
      </c>
      <c r="C19" s="144" t="s">
        <v>10</v>
      </c>
      <c r="D19" s="144"/>
      <c r="E19" s="144"/>
      <c r="F19" s="69">
        <v>66666.66</v>
      </c>
      <c r="G19" s="69"/>
    </row>
    <row r="20" spans="2:17" ht="15.75" x14ac:dyDescent="0.25">
      <c r="B20" s="67" t="s">
        <v>46</v>
      </c>
      <c r="C20" s="144" t="s">
        <v>11</v>
      </c>
      <c r="D20" s="144"/>
      <c r="E20" s="144"/>
      <c r="F20" s="69"/>
      <c r="G20" s="69">
        <f>-F19</f>
        <v>-66666.66</v>
      </c>
    </row>
    <row r="21" spans="2:17" ht="9.75" customHeight="1" x14ac:dyDescent="0.2">
      <c r="E21" s="2"/>
      <c r="F21" s="2"/>
      <c r="G21" s="2"/>
    </row>
    <row r="22" spans="2:17" ht="14.25" x14ac:dyDescent="0.2">
      <c r="B22" s="29"/>
    </row>
    <row r="23" spans="2:17" ht="9.75" customHeight="1" x14ac:dyDescent="0.2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2:17" ht="21.75" customHeight="1" x14ac:dyDescent="0.25">
      <c r="B24" s="58"/>
      <c r="C24" s="77">
        <v>40909</v>
      </c>
      <c r="D24" s="77">
        <f>C24+34</f>
        <v>40943</v>
      </c>
      <c r="E24" s="77">
        <f t="shared" ref="E24:N24" si="0">D24+30</f>
        <v>40973</v>
      </c>
      <c r="F24" s="77">
        <f t="shared" si="0"/>
        <v>41003</v>
      </c>
      <c r="G24" s="77">
        <f t="shared" si="0"/>
        <v>41033</v>
      </c>
      <c r="H24" s="77">
        <f t="shared" si="0"/>
        <v>41063</v>
      </c>
      <c r="I24" s="77">
        <f t="shared" si="0"/>
        <v>41093</v>
      </c>
      <c r="J24" s="77">
        <f t="shared" si="0"/>
        <v>41123</v>
      </c>
      <c r="K24" s="77">
        <f t="shared" si="0"/>
        <v>41153</v>
      </c>
      <c r="L24" s="77">
        <f t="shared" si="0"/>
        <v>41183</v>
      </c>
      <c r="M24" s="77">
        <f>L24+31</f>
        <v>41214</v>
      </c>
      <c r="N24" s="80">
        <f t="shared" si="0"/>
        <v>41244</v>
      </c>
    </row>
    <row r="25" spans="2:17" ht="22.5" customHeight="1" x14ac:dyDescent="0.25">
      <c r="B25" s="51" t="s">
        <v>23</v>
      </c>
      <c r="C25" s="76">
        <f>'WA 2011'!N31</f>
        <v>-703829.69000000018</v>
      </c>
      <c r="D25" s="43">
        <f>C30</f>
        <v>-722904.49000000022</v>
      </c>
      <c r="E25" s="43">
        <f>D30</f>
        <v>-710529.05000000028</v>
      </c>
      <c r="F25" s="43">
        <f>E30</f>
        <v>-673535.34000000032</v>
      </c>
      <c r="G25" s="43">
        <f>F30</f>
        <v>-678116.96000000043</v>
      </c>
      <c r="H25" s="43">
        <f>G30</f>
        <v>-674864.19000000053</v>
      </c>
      <c r="I25" s="43">
        <f t="shared" ref="I25:J25" si="1">H30</f>
        <v>-688441.6400000006</v>
      </c>
      <c r="J25" s="43">
        <f t="shared" si="1"/>
        <v>-722675.0000000007</v>
      </c>
      <c r="K25" s="43">
        <f>J30</f>
        <v>-732689.4800000008</v>
      </c>
      <c r="L25" s="43">
        <f>K30</f>
        <v>-793736.51000000082</v>
      </c>
      <c r="M25" s="43">
        <f>L30</f>
        <v>-819862.28000000096</v>
      </c>
      <c r="N25" s="73">
        <f>M30</f>
        <v>-783047.65000000107</v>
      </c>
      <c r="O25" s="2"/>
    </row>
    <row r="26" spans="2:17" ht="30" customHeight="1" x14ac:dyDescent="0.2">
      <c r="B26" s="63" t="s">
        <v>24</v>
      </c>
      <c r="C26" s="65">
        <v>-66666.67</v>
      </c>
      <c r="D26" s="65">
        <v>-66666.66</v>
      </c>
      <c r="E26" s="65">
        <v>-66666.67</v>
      </c>
      <c r="F26" s="65">
        <v>-66666.67</v>
      </c>
      <c r="G26" s="65">
        <v>-66666.67</v>
      </c>
      <c r="H26" s="65">
        <v>-66666.66</v>
      </c>
      <c r="I26" s="65">
        <v>-66666.66</v>
      </c>
      <c r="J26" s="65">
        <v>-66666.67</v>
      </c>
      <c r="K26" s="65">
        <f>-66666.67-49904.47</f>
        <v>-116571.14</v>
      </c>
      <c r="L26" s="65">
        <v>-66666.67</v>
      </c>
      <c r="M26" s="65">
        <v>-66666.67</v>
      </c>
      <c r="N26" s="66">
        <v>-66666.66</v>
      </c>
      <c r="O26" s="2"/>
      <c r="P26" s="2">
        <f>SUM(C26:O26)+49904.47</f>
        <v>-800000.00000000023</v>
      </c>
    </row>
    <row r="27" spans="2:17" ht="22.5" customHeight="1" x14ac:dyDescent="0.2">
      <c r="B27" s="52" t="s">
        <v>25</v>
      </c>
      <c r="C27" s="40">
        <v>13333.35</v>
      </c>
      <c r="D27" s="44">
        <v>13333.35</v>
      </c>
      <c r="E27" s="44">
        <v>13333.35</v>
      </c>
      <c r="F27" s="44">
        <v>13333.35</v>
      </c>
      <c r="G27" s="44">
        <v>13333.35</v>
      </c>
      <c r="H27" s="44">
        <v>13333.35</v>
      </c>
      <c r="I27" s="44">
        <v>13333.35</v>
      </c>
      <c r="J27" s="44">
        <v>13333.35</v>
      </c>
      <c r="K27" s="44">
        <v>13333.35</v>
      </c>
      <c r="L27" s="44">
        <v>13333.33</v>
      </c>
      <c r="M27" s="44">
        <v>13333.33</v>
      </c>
      <c r="N27" s="47">
        <v>13333.33</v>
      </c>
      <c r="O27" s="2"/>
      <c r="P27" s="2">
        <f t="shared" ref="P27:P28" si="2">SUM(C27:O27)+49904.47</f>
        <v>209904.61</v>
      </c>
    </row>
    <row r="28" spans="2:17" ht="30" customHeight="1" x14ac:dyDescent="0.2">
      <c r="B28" s="63" t="s">
        <v>26</v>
      </c>
      <c r="C28" s="64">
        <v>34258.519999999997</v>
      </c>
      <c r="D28" s="65">
        <v>65708.75</v>
      </c>
      <c r="E28" s="65">
        <v>90327.03</v>
      </c>
      <c r="F28" s="65">
        <v>48751.7</v>
      </c>
      <c r="G28" s="65">
        <v>56586.09</v>
      </c>
      <c r="H28" s="65">
        <v>39755.86</v>
      </c>
      <c r="I28" s="65">
        <v>19099.95</v>
      </c>
      <c r="J28" s="65">
        <v>43318.84</v>
      </c>
      <c r="K28" s="65">
        <v>42190.76</v>
      </c>
      <c r="L28" s="65">
        <v>27207.57</v>
      </c>
      <c r="M28" s="65">
        <v>90147.97</v>
      </c>
      <c r="N28" s="66">
        <v>52759.27</v>
      </c>
      <c r="O28" s="2"/>
      <c r="P28" s="2">
        <f t="shared" si="2"/>
        <v>660016.78</v>
      </c>
    </row>
    <row r="29" spans="2:17" ht="22.5" customHeight="1" x14ac:dyDescent="0.2">
      <c r="B29" s="53" t="s">
        <v>55</v>
      </c>
      <c r="C29" s="41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8"/>
      <c r="O29" s="2"/>
      <c r="Q29" s="74"/>
    </row>
    <row r="30" spans="2:17" ht="23.25" customHeight="1" thickBot="1" x14ac:dyDescent="0.3">
      <c r="B30" s="59" t="s">
        <v>27</v>
      </c>
      <c r="C30" s="42">
        <f t="shared" ref="C30:N30" si="3">SUM(C25:C29)</f>
        <v>-722904.49000000022</v>
      </c>
      <c r="D30" s="46">
        <f t="shared" si="3"/>
        <v>-710529.05000000028</v>
      </c>
      <c r="E30" s="36">
        <f t="shared" si="3"/>
        <v>-673535.34000000032</v>
      </c>
      <c r="F30" s="36">
        <f t="shared" si="3"/>
        <v>-678116.96000000043</v>
      </c>
      <c r="G30" s="36">
        <f>SUM(G25:G29)</f>
        <v>-674864.19000000053</v>
      </c>
      <c r="H30" s="36">
        <f>SUM(H25:H29)</f>
        <v>-688441.6400000006</v>
      </c>
      <c r="I30" s="36">
        <f t="shared" si="3"/>
        <v>-722675.0000000007</v>
      </c>
      <c r="J30" s="36">
        <f t="shared" si="3"/>
        <v>-732689.4800000008</v>
      </c>
      <c r="K30" s="36">
        <f t="shared" si="3"/>
        <v>-793736.51000000082</v>
      </c>
      <c r="L30" s="36">
        <f t="shared" si="3"/>
        <v>-819862.28000000096</v>
      </c>
      <c r="M30" s="36">
        <f t="shared" si="3"/>
        <v>-783047.65000000107</v>
      </c>
      <c r="N30" s="49">
        <f t="shared" si="3"/>
        <v>-783621.71000000113</v>
      </c>
      <c r="O30" s="2"/>
      <c r="P30" s="7">
        <f>SUM(P26:P29)</f>
        <v>69921.389999999781</v>
      </c>
    </row>
    <row r="31" spans="2:17" ht="23.25" customHeight="1" thickTop="1" x14ac:dyDescent="0.2">
      <c r="B31" s="60" t="s">
        <v>59</v>
      </c>
      <c r="C31" s="38">
        <v>-722904.49</v>
      </c>
      <c r="D31" s="38">
        <v>-710529.05</v>
      </c>
      <c r="E31" s="37">
        <v>-673535.34</v>
      </c>
      <c r="F31" s="37">
        <v>-678116.96</v>
      </c>
      <c r="G31" s="37">
        <v>-674864.19</v>
      </c>
      <c r="H31" s="37">
        <v>-688441.64</v>
      </c>
      <c r="I31" s="37">
        <v>-722675</v>
      </c>
      <c r="J31" s="37">
        <v>-732689.48</v>
      </c>
      <c r="K31" s="38">
        <v>-793736.51</v>
      </c>
      <c r="L31" s="37">
        <v>-819862.28</v>
      </c>
      <c r="M31" s="37">
        <v>-783047.65</v>
      </c>
      <c r="N31" s="50">
        <v>-783621.71</v>
      </c>
      <c r="O31" s="2"/>
      <c r="Q31" s="74"/>
    </row>
    <row r="32" spans="2:17" ht="15.75" customHeight="1" x14ac:dyDescent="0.2">
      <c r="B32" s="29" t="s">
        <v>60</v>
      </c>
      <c r="C32" s="2">
        <f t="shared" ref="C32:N32" si="4">C30-C31</f>
        <v>0</v>
      </c>
      <c r="D32" s="2">
        <f t="shared" si="4"/>
        <v>0</v>
      </c>
      <c r="E32" s="2">
        <f t="shared" si="4"/>
        <v>0</v>
      </c>
      <c r="F32" s="2">
        <f t="shared" si="4"/>
        <v>0</v>
      </c>
      <c r="G32" s="2">
        <f t="shared" si="4"/>
        <v>0</v>
      </c>
      <c r="H32" s="2">
        <f t="shared" si="4"/>
        <v>0</v>
      </c>
      <c r="I32" s="2">
        <f t="shared" si="4"/>
        <v>0</v>
      </c>
      <c r="J32" s="2">
        <f t="shared" si="4"/>
        <v>0</v>
      </c>
      <c r="K32" s="2">
        <f t="shared" si="4"/>
        <v>0</v>
      </c>
      <c r="L32" s="2">
        <f t="shared" si="4"/>
        <v>-9.3132257461547852E-10</v>
      </c>
      <c r="M32" s="2">
        <f t="shared" si="4"/>
        <v>-1.0477378964424133E-9</v>
      </c>
      <c r="N32" s="2">
        <f t="shared" si="4"/>
        <v>-1.1641532182693481E-9</v>
      </c>
      <c r="O32" s="2"/>
    </row>
    <row r="33" spans="2:17" ht="15.75" customHeight="1" x14ac:dyDescent="0.2">
      <c r="B33" s="2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74"/>
    </row>
    <row r="34" spans="2:17" s="29" customFormat="1" ht="14.25" x14ac:dyDescent="0.2">
      <c r="C34" s="28"/>
      <c r="D34" s="28"/>
      <c r="E34" s="34"/>
      <c r="F34" s="28"/>
      <c r="G34" s="28"/>
      <c r="H34" s="28"/>
      <c r="I34" s="28"/>
      <c r="J34" s="28"/>
      <c r="K34" s="28"/>
      <c r="L34" s="28"/>
      <c r="O34" s="28"/>
      <c r="Q34" s="74"/>
    </row>
    <row r="35" spans="2:17" ht="18" customHeight="1" x14ac:dyDescent="0.35">
      <c r="B35" s="147" t="s">
        <v>34</v>
      </c>
      <c r="C35" s="147"/>
      <c r="D35" s="2"/>
      <c r="E35" s="2"/>
      <c r="F35" s="2"/>
      <c r="G35" s="2"/>
      <c r="I35" s="2"/>
      <c r="J35" s="2"/>
      <c r="K35" s="2"/>
      <c r="O35" s="2"/>
    </row>
    <row r="36" spans="2:17" ht="13.5" customHeight="1" x14ac:dyDescent="0.2">
      <c r="B36" s="75" t="s">
        <v>77</v>
      </c>
      <c r="C36" s="22"/>
      <c r="D36" s="2"/>
      <c r="E36" s="2"/>
      <c r="F36" s="2"/>
      <c r="I36" s="2"/>
      <c r="J36" s="2"/>
      <c r="K36" s="2"/>
      <c r="O36" s="2"/>
      <c r="Q36" s="74"/>
    </row>
    <row r="37" spans="2:17" ht="13.5" customHeight="1" x14ac:dyDescent="0.2">
      <c r="B37" s="33" t="s">
        <v>42</v>
      </c>
      <c r="C37" s="22"/>
      <c r="D37" s="2"/>
      <c r="E37" s="2"/>
      <c r="F37" s="2"/>
      <c r="I37" s="2"/>
      <c r="J37" s="2"/>
      <c r="K37" s="2"/>
      <c r="O37" s="2"/>
      <c r="Q37" s="9"/>
    </row>
    <row r="38" spans="2:17" ht="13.5" customHeight="1" x14ac:dyDescent="0.2">
      <c r="B38" s="32" t="s">
        <v>62</v>
      </c>
      <c r="C38" s="70" t="s">
        <v>71</v>
      </c>
      <c r="D38" s="2"/>
      <c r="E38" s="2"/>
      <c r="F38" s="2"/>
      <c r="I38" s="2"/>
      <c r="J38" s="2"/>
      <c r="K38" s="2"/>
      <c r="O38" s="2"/>
    </row>
    <row r="39" spans="2:17" ht="13.5" customHeight="1" x14ac:dyDescent="0.2">
      <c r="B39" s="32" t="s">
        <v>63</v>
      </c>
      <c r="C39" s="30"/>
      <c r="D39" s="2"/>
      <c r="E39" s="2"/>
      <c r="F39" s="2"/>
      <c r="I39" s="2"/>
      <c r="J39" s="2"/>
      <c r="K39" s="2"/>
      <c r="O39" s="2"/>
    </row>
    <row r="40" spans="2:17" ht="13.5" customHeight="1" x14ac:dyDescent="0.2">
      <c r="B40" s="32" t="s">
        <v>70</v>
      </c>
      <c r="C40" s="30"/>
      <c r="D40" s="2"/>
      <c r="E40" s="2"/>
      <c r="F40" s="2"/>
      <c r="I40" s="2"/>
      <c r="J40" s="2"/>
      <c r="K40" s="2"/>
      <c r="O40" s="2"/>
    </row>
    <row r="41" spans="2:17" ht="13.5" customHeight="1" x14ac:dyDescent="0.2">
      <c r="B41" s="32" t="s">
        <v>76</v>
      </c>
      <c r="C41" s="30"/>
    </row>
    <row r="48" spans="2:17" ht="14.25" x14ac:dyDescent="0.2">
      <c r="B48" s="78" t="str">
        <f ca="1">CELL("filename")</f>
        <v>C:\Users\ISAAC.MYHRUM\AppData\Local\Microsoft\Windows\INetCache\Content.Outlook\HMSW6VJP\[47WA.2429.02 WA Low Income 2021 (004).xlsx]WA 2020-21 Plan Year</v>
      </c>
    </row>
  </sheetData>
  <mergeCells count="3">
    <mergeCell ref="B35:C35"/>
    <mergeCell ref="C19:E19"/>
    <mergeCell ref="C20:E20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Q49"/>
  <sheetViews>
    <sheetView showGridLines="0" topLeftCell="A10" zoomScaleNormal="100" workbookViewId="0">
      <selection activeCell="B30" sqref="B30"/>
    </sheetView>
  </sheetViews>
  <sheetFormatPr defaultRowHeight="12.75" x14ac:dyDescent="0.2"/>
  <cols>
    <col min="1" max="1" width="1.85546875" customWidth="1"/>
    <col min="2" max="2" width="31.140625" customWidth="1"/>
    <col min="3" max="3" width="16" customWidth="1"/>
    <col min="4" max="4" width="13.7109375" customWidth="1"/>
    <col min="5" max="5" width="17.85546875" customWidth="1"/>
    <col min="6" max="6" width="13.5703125" customWidth="1"/>
    <col min="7" max="14" width="13.5703125" bestFit="1" customWidth="1"/>
    <col min="15" max="15" width="2.28515625" customWidth="1"/>
    <col min="16" max="16" width="11.85546875" bestFit="1" customWidth="1"/>
    <col min="17" max="17" width="11.140625" bestFit="1" customWidth="1"/>
  </cols>
  <sheetData>
    <row r="1" spans="2:14" ht="7.5" customHeight="1" x14ac:dyDescent="0.2"/>
    <row r="2" spans="2:14" ht="15.75" x14ac:dyDescent="0.25">
      <c r="B2" s="31" t="s">
        <v>65</v>
      </c>
      <c r="C2" s="35" t="s">
        <v>64</v>
      </c>
    </row>
    <row r="3" spans="2:14" ht="15.75" x14ac:dyDescent="0.25">
      <c r="B3" s="31" t="s">
        <v>57</v>
      </c>
      <c r="C3" s="79"/>
    </row>
    <row r="4" spans="2:14" ht="11.25" customHeight="1" x14ac:dyDescent="0.2"/>
    <row r="5" spans="2:14" ht="15.75" customHeight="1" x14ac:dyDescent="0.25">
      <c r="B5" s="62" t="s">
        <v>75</v>
      </c>
      <c r="C5" s="61"/>
      <c r="D5" s="61"/>
      <c r="E5" s="61" t="s">
        <v>68</v>
      </c>
      <c r="F5" s="61"/>
      <c r="G5" s="61"/>
      <c r="H5" s="61"/>
      <c r="I5" s="61"/>
      <c r="J5" s="61"/>
      <c r="K5" s="61"/>
      <c r="L5" s="61"/>
      <c r="M5" s="61"/>
      <c r="N5" s="61"/>
    </row>
    <row r="6" spans="2:14" ht="18" x14ac:dyDescent="0.25">
      <c r="B6" s="61" t="s">
        <v>69</v>
      </c>
    </row>
    <row r="7" spans="2:14" ht="14.25" x14ac:dyDescent="0.2">
      <c r="B7" s="29" t="s">
        <v>28</v>
      </c>
    </row>
    <row r="8" spans="2:14" ht="14.25" x14ac:dyDescent="0.2">
      <c r="B8" s="29" t="s">
        <v>0</v>
      </c>
    </row>
    <row r="9" spans="2:14" ht="10.5" customHeight="1" x14ac:dyDescent="0.2">
      <c r="B9" s="29"/>
    </row>
    <row r="10" spans="2:14" ht="14.25" x14ac:dyDescent="0.2">
      <c r="B10" s="29" t="s">
        <v>1</v>
      </c>
    </row>
    <row r="11" spans="2:14" ht="15" x14ac:dyDescent="0.25">
      <c r="B11" s="29" t="s">
        <v>66</v>
      </c>
    </row>
    <row r="12" spans="2:14" ht="14.25" x14ac:dyDescent="0.2">
      <c r="B12" s="29" t="s">
        <v>72</v>
      </c>
    </row>
    <row r="13" spans="2:14" ht="15" x14ac:dyDescent="0.25">
      <c r="B13" s="29" t="s">
        <v>67</v>
      </c>
    </row>
    <row r="14" spans="2:14" ht="14.25" x14ac:dyDescent="0.2">
      <c r="B14" s="29" t="s">
        <v>73</v>
      </c>
    </row>
    <row r="15" spans="2:14" ht="14.25" x14ac:dyDescent="0.2">
      <c r="B15" s="29" t="s">
        <v>74</v>
      </c>
    </row>
    <row r="16" spans="2:14" ht="11.25" customHeight="1" x14ac:dyDescent="0.2">
      <c r="B16" s="29"/>
    </row>
    <row r="17" spans="2:17" ht="14.25" x14ac:dyDescent="0.2">
      <c r="B17" s="29" t="s">
        <v>7</v>
      </c>
    </row>
    <row r="18" spans="2:17" ht="10.5" customHeight="1" x14ac:dyDescent="0.2"/>
    <row r="19" spans="2:17" ht="15.75" x14ac:dyDescent="0.25">
      <c r="B19" s="67" t="s">
        <v>45</v>
      </c>
      <c r="C19" s="68"/>
      <c r="D19" s="68" t="s">
        <v>10</v>
      </c>
      <c r="E19" s="68"/>
      <c r="F19" s="69">
        <v>66666.66</v>
      </c>
      <c r="G19" s="69"/>
    </row>
    <row r="20" spans="2:17" ht="15.75" x14ac:dyDescent="0.25">
      <c r="B20" s="67" t="s">
        <v>46</v>
      </c>
      <c r="C20" s="68"/>
      <c r="D20" s="68" t="s">
        <v>11</v>
      </c>
      <c r="E20" s="68"/>
      <c r="F20" s="69"/>
      <c r="G20" s="69">
        <f>-F19</f>
        <v>-66666.66</v>
      </c>
    </row>
    <row r="21" spans="2:17" ht="9.75" customHeight="1" x14ac:dyDescent="0.2">
      <c r="E21" s="2"/>
      <c r="F21" s="2"/>
      <c r="G21" s="2"/>
    </row>
    <row r="22" spans="2:17" ht="14.25" x14ac:dyDescent="0.2">
      <c r="B22" s="29" t="s">
        <v>12</v>
      </c>
      <c r="E22" s="2"/>
      <c r="F22" s="2"/>
      <c r="G22" s="2"/>
    </row>
    <row r="23" spans="2:17" ht="14.25" x14ac:dyDescent="0.2">
      <c r="B23" s="29" t="s">
        <v>13</v>
      </c>
    </row>
    <row r="24" spans="2:17" ht="9.75" customHeight="1" x14ac:dyDescent="0.2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  <row r="25" spans="2:17" ht="19.5" customHeight="1" x14ac:dyDescent="0.25">
      <c r="B25" s="58"/>
      <c r="C25" s="54">
        <v>40544</v>
      </c>
      <c r="D25" s="54">
        <v>40575</v>
      </c>
      <c r="E25" s="54">
        <v>40603</v>
      </c>
      <c r="F25" s="54">
        <v>40634</v>
      </c>
      <c r="G25" s="54">
        <v>40664</v>
      </c>
      <c r="H25" s="54">
        <v>40695</v>
      </c>
      <c r="I25" s="54">
        <v>40725</v>
      </c>
      <c r="J25" s="54">
        <v>40756</v>
      </c>
      <c r="K25" s="54">
        <v>40787</v>
      </c>
      <c r="L25" s="54">
        <v>40817</v>
      </c>
      <c r="M25" s="54">
        <v>40848</v>
      </c>
      <c r="N25" s="72">
        <v>40878</v>
      </c>
    </row>
    <row r="26" spans="2:17" ht="21" customHeight="1" x14ac:dyDescent="0.25">
      <c r="B26" s="51" t="s">
        <v>23</v>
      </c>
      <c r="C26" s="39">
        <v>-601700.21</v>
      </c>
      <c r="D26" s="43">
        <f>C31</f>
        <v>-541530.85</v>
      </c>
      <c r="E26" s="43">
        <f>D31</f>
        <v>-518268.92000000004</v>
      </c>
      <c r="F26" s="43">
        <f>E31</f>
        <v>-540061.14000000013</v>
      </c>
      <c r="G26" s="43">
        <f>F31</f>
        <v>-546525.43000000017</v>
      </c>
      <c r="H26" s="43">
        <f>G31</f>
        <v>-547621.15000000014</v>
      </c>
      <c r="I26" s="43">
        <f t="shared" ref="I26:J26" si="0">H31</f>
        <v>-563933.41000000015</v>
      </c>
      <c r="J26" s="43">
        <f t="shared" si="0"/>
        <v>-565753.81000000017</v>
      </c>
      <c r="K26" s="43">
        <f>J31</f>
        <v>-596795.51000000013</v>
      </c>
      <c r="L26" s="43">
        <f>K31</f>
        <v>-719871.68000000017</v>
      </c>
      <c r="M26" s="43">
        <f>L31</f>
        <v>-698442.92000000016</v>
      </c>
      <c r="N26" s="73">
        <f>M31</f>
        <v>-718670.12000000023</v>
      </c>
      <c r="O26" s="2"/>
    </row>
    <row r="27" spans="2:17" ht="28.5" x14ac:dyDescent="0.2">
      <c r="B27" s="63" t="s">
        <v>24</v>
      </c>
      <c r="C27" s="64">
        <v>-66666.67</v>
      </c>
      <c r="D27" s="65">
        <v>-66666.67</v>
      </c>
      <c r="E27" s="65">
        <v>-66666.66</v>
      </c>
      <c r="F27" s="65">
        <v>-66666.66</v>
      </c>
      <c r="G27" s="65">
        <v>-66666.66</v>
      </c>
      <c r="H27" s="65">
        <v>-66666.66</v>
      </c>
      <c r="I27" s="65">
        <v>-66666.66</v>
      </c>
      <c r="J27" s="65">
        <v>-66666.66</v>
      </c>
      <c r="K27" s="65">
        <f>-66666.66-78908.95</f>
        <v>-145575.60999999999</v>
      </c>
      <c r="L27" s="65">
        <v>-66666.66</v>
      </c>
      <c r="M27" s="65">
        <v>-66666.66</v>
      </c>
      <c r="N27" s="66">
        <v>-66666.720000000001</v>
      </c>
      <c r="O27" s="2"/>
      <c r="P27" s="2">
        <f>SUM(C27:O27)</f>
        <v>-878908.95000000019</v>
      </c>
    </row>
    <row r="28" spans="2:17" ht="21" customHeight="1" x14ac:dyDescent="0.2">
      <c r="B28" s="52" t="s">
        <v>25</v>
      </c>
      <c r="C28" s="40">
        <v>13144.75</v>
      </c>
      <c r="D28" s="44">
        <v>13144.75</v>
      </c>
      <c r="E28" s="44">
        <v>13144.75</v>
      </c>
      <c r="F28" s="44">
        <v>14085.06</v>
      </c>
      <c r="G28" s="44">
        <v>14085.06</v>
      </c>
      <c r="H28" s="44">
        <v>13331.49</v>
      </c>
      <c r="I28" s="44">
        <v>13331.49</v>
      </c>
      <c r="J28" s="44">
        <f>13331.49-982.07</f>
        <v>12349.42</v>
      </c>
      <c r="K28" s="44">
        <v>13331.49</v>
      </c>
      <c r="L28" s="44">
        <v>14570.67</v>
      </c>
      <c r="M28" s="44">
        <v>13333.35</v>
      </c>
      <c r="N28" s="47">
        <v>13333.35</v>
      </c>
      <c r="O28" s="2"/>
      <c r="P28" s="2">
        <f t="shared" ref="P28:P29" si="1">SUM(C28:O28)</f>
        <v>161185.63000000003</v>
      </c>
    </row>
    <row r="29" spans="2:17" ht="30" customHeight="1" x14ac:dyDescent="0.2">
      <c r="B29" s="63" t="s">
        <v>26</v>
      </c>
      <c r="C29" s="64">
        <v>113691.28</v>
      </c>
      <c r="D29" s="65">
        <v>76783.850000000006</v>
      </c>
      <c r="E29" s="65">
        <v>31729.69</v>
      </c>
      <c r="F29" s="65">
        <v>46117.31</v>
      </c>
      <c r="G29" s="65">
        <v>51485.88</v>
      </c>
      <c r="H29" s="65">
        <v>37022.910000000003</v>
      </c>
      <c r="I29" s="65">
        <v>51514.77</v>
      </c>
      <c r="J29" s="65">
        <v>23275.54</v>
      </c>
      <c r="K29" s="65">
        <v>9167.9500000000007</v>
      </c>
      <c r="L29" s="65">
        <v>73524.75</v>
      </c>
      <c r="M29" s="65">
        <v>33106.11</v>
      </c>
      <c r="N29" s="66">
        <v>68173.8</v>
      </c>
      <c r="O29" s="2"/>
      <c r="P29" s="2">
        <f t="shared" si="1"/>
        <v>615593.84000000008</v>
      </c>
    </row>
    <row r="30" spans="2:17" ht="21" customHeight="1" x14ac:dyDescent="0.2">
      <c r="B30" s="53" t="s">
        <v>55</v>
      </c>
      <c r="C30" s="41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8"/>
      <c r="O30" s="2"/>
      <c r="Q30" s="74"/>
    </row>
    <row r="31" spans="2:17" ht="23.25" customHeight="1" thickBot="1" x14ac:dyDescent="0.3">
      <c r="B31" s="59" t="s">
        <v>27</v>
      </c>
      <c r="C31" s="42">
        <f t="shared" ref="C31:N31" si="2">SUM(C26:C30)</f>
        <v>-541530.85</v>
      </c>
      <c r="D31" s="46">
        <f t="shared" si="2"/>
        <v>-518268.92000000004</v>
      </c>
      <c r="E31" s="36">
        <f t="shared" si="2"/>
        <v>-540061.14000000013</v>
      </c>
      <c r="F31" s="36">
        <f t="shared" si="2"/>
        <v>-546525.43000000017</v>
      </c>
      <c r="G31" s="36">
        <f>SUM(G26:G30)</f>
        <v>-547621.15000000014</v>
      </c>
      <c r="H31" s="36">
        <f>SUM(H26:H30)</f>
        <v>-563933.41000000015</v>
      </c>
      <c r="I31" s="36">
        <f t="shared" si="2"/>
        <v>-565753.81000000017</v>
      </c>
      <c r="J31" s="36">
        <f t="shared" si="2"/>
        <v>-596795.51000000013</v>
      </c>
      <c r="K31" s="36">
        <f t="shared" si="2"/>
        <v>-719871.68000000017</v>
      </c>
      <c r="L31" s="36">
        <f t="shared" si="2"/>
        <v>-698442.92000000016</v>
      </c>
      <c r="M31" s="36">
        <f t="shared" si="2"/>
        <v>-718670.12000000023</v>
      </c>
      <c r="N31" s="49">
        <f t="shared" si="2"/>
        <v>-703829.69000000018</v>
      </c>
      <c r="O31" s="2"/>
      <c r="P31" s="7">
        <f>SUM(P27:P30)</f>
        <v>-102129.4800000001</v>
      </c>
    </row>
    <row r="32" spans="2:17" ht="23.25" customHeight="1" thickTop="1" x14ac:dyDescent="0.2">
      <c r="B32" s="60" t="s">
        <v>59</v>
      </c>
      <c r="C32" s="38">
        <v>-541530.85</v>
      </c>
      <c r="D32" s="38">
        <v>-518268.92</v>
      </c>
      <c r="E32" s="37">
        <v>-540061.14</v>
      </c>
      <c r="F32" s="37">
        <v>-546525.43000000005</v>
      </c>
      <c r="G32" s="37">
        <v>-547621.15</v>
      </c>
      <c r="H32" s="37">
        <v>-563933.41</v>
      </c>
      <c r="I32" s="37">
        <v>-565753.81000000006</v>
      </c>
      <c r="J32" s="37">
        <v>-596795.51</v>
      </c>
      <c r="K32" s="38">
        <v>-719871.68</v>
      </c>
      <c r="L32" s="37">
        <v>-698442.92</v>
      </c>
      <c r="M32" s="37">
        <v>-718670.12</v>
      </c>
      <c r="N32" s="50">
        <v>-703829.69</v>
      </c>
      <c r="O32" s="2"/>
      <c r="Q32" s="74"/>
    </row>
    <row r="33" spans="2:17" ht="15.75" customHeight="1" x14ac:dyDescent="0.2">
      <c r="B33" s="29" t="s">
        <v>60</v>
      </c>
      <c r="C33" s="2">
        <f t="shared" ref="C33:N33" si="3">C31-C32</f>
        <v>0</v>
      </c>
      <c r="D33" s="2">
        <f t="shared" si="3"/>
        <v>0</v>
      </c>
      <c r="E33" s="2">
        <f t="shared" si="3"/>
        <v>0</v>
      </c>
      <c r="F33" s="2">
        <f t="shared" si="3"/>
        <v>0</v>
      </c>
      <c r="G33" s="2">
        <f t="shared" si="3"/>
        <v>0</v>
      </c>
      <c r="H33" s="2">
        <f t="shared" si="3"/>
        <v>0</v>
      </c>
      <c r="I33" s="2">
        <f t="shared" si="3"/>
        <v>0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>
        <f t="shared" si="3"/>
        <v>0</v>
      </c>
      <c r="O33" s="2"/>
    </row>
    <row r="34" spans="2:17" ht="15.75" customHeight="1" x14ac:dyDescent="0.2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Q34" s="74"/>
    </row>
    <row r="35" spans="2:17" x14ac:dyDescent="0.2">
      <c r="C35" s="2"/>
      <c r="D35" s="2"/>
      <c r="E35" s="2"/>
      <c r="F35" s="2"/>
      <c r="G35" s="2"/>
      <c r="H35" s="2"/>
      <c r="I35" s="2"/>
      <c r="J35" s="2"/>
      <c r="K35" s="2"/>
      <c r="O35" s="2"/>
      <c r="Q35" s="74"/>
    </row>
    <row r="36" spans="2:17" ht="15" x14ac:dyDescent="0.35">
      <c r="B36" s="147" t="s">
        <v>34</v>
      </c>
      <c r="C36" s="147"/>
      <c r="D36" s="2"/>
      <c r="E36" s="2"/>
      <c r="F36" s="2"/>
      <c r="G36" s="2"/>
      <c r="I36" s="2"/>
      <c r="J36" s="2"/>
      <c r="K36" s="2"/>
      <c r="O36" s="2"/>
    </row>
    <row r="37" spans="2:17" x14ac:dyDescent="0.2">
      <c r="B37" s="75" t="s">
        <v>77</v>
      </c>
      <c r="C37" s="22"/>
      <c r="D37" s="2"/>
      <c r="E37" s="2"/>
      <c r="F37" s="2"/>
      <c r="I37" s="2"/>
      <c r="J37" s="2"/>
      <c r="K37" s="2"/>
      <c r="O37" s="2"/>
      <c r="Q37" s="74"/>
    </row>
    <row r="38" spans="2:17" ht="12" customHeight="1" x14ac:dyDescent="0.2">
      <c r="B38" s="33" t="s">
        <v>42</v>
      </c>
      <c r="C38" s="22"/>
      <c r="D38" s="2"/>
      <c r="E38" s="2"/>
      <c r="F38" s="2"/>
      <c r="I38" s="2"/>
      <c r="J38" s="2"/>
      <c r="K38" s="2"/>
      <c r="O38" s="2"/>
      <c r="Q38" s="9"/>
    </row>
    <row r="39" spans="2:17" x14ac:dyDescent="0.2">
      <c r="B39" s="32" t="s">
        <v>62</v>
      </c>
      <c r="C39" s="70" t="s">
        <v>71</v>
      </c>
      <c r="D39" s="2"/>
      <c r="E39" s="2"/>
      <c r="F39" s="2"/>
      <c r="I39" s="2"/>
      <c r="J39" s="2"/>
      <c r="K39" s="2"/>
      <c r="O39" s="2"/>
    </row>
    <row r="40" spans="2:17" ht="12.75" customHeight="1" x14ac:dyDescent="0.2">
      <c r="B40" s="32" t="s">
        <v>63</v>
      </c>
      <c r="C40" s="30"/>
      <c r="D40" s="2"/>
      <c r="E40" s="2"/>
      <c r="F40" s="2"/>
      <c r="I40" s="2"/>
      <c r="J40" s="2"/>
      <c r="K40" s="2"/>
      <c r="O40" s="2"/>
    </row>
    <row r="41" spans="2:17" x14ac:dyDescent="0.2">
      <c r="B41" s="32" t="s">
        <v>70</v>
      </c>
      <c r="C41" s="30"/>
      <c r="D41" s="2"/>
      <c r="E41" s="2"/>
      <c r="F41" s="2"/>
      <c r="I41" s="2"/>
      <c r="J41" s="2"/>
      <c r="K41" s="2"/>
      <c r="O41" s="2"/>
    </row>
    <row r="42" spans="2:17" x14ac:dyDescent="0.2">
      <c r="B42" s="32" t="s">
        <v>76</v>
      </c>
      <c r="C42" s="30"/>
    </row>
    <row r="49" spans="2:2" ht="14.25" x14ac:dyDescent="0.2">
      <c r="B49" s="29" t="str">
        <f ca="1">CELL("filename")</f>
        <v>C:\Users\ISAAC.MYHRUM\AppData\Local\Microsoft\Windows\INetCache\Content.Outlook\HMSW6VJP\[47WA.2429.02 WA Low Income 2021 (004).xlsx]WA 2020-21 Plan Year</v>
      </c>
    </row>
  </sheetData>
  <mergeCells count="1">
    <mergeCell ref="B36:C36"/>
  </mergeCells>
  <pageMargins left="0.3" right="0" top="0.5" bottom="0.25" header="0.5" footer="0.5"/>
  <pageSetup scale="63" orientation="landscape" cellComments="asDisplayed" r:id="rId1"/>
  <headerFooter alignWithMargins="0"/>
  <ignoredErrors>
    <ignoredError sqref="C31" formulaRange="1"/>
  </ignoredError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46"/>
  <sheetViews>
    <sheetView showGridLines="0" zoomScale="85" zoomScaleNormal="85" workbookViewId="0">
      <selection activeCell="B30" sqref="B30"/>
    </sheetView>
  </sheetViews>
  <sheetFormatPr defaultRowHeight="12.75" x14ac:dyDescent="0.2"/>
  <cols>
    <col min="1" max="1" width="1.85546875" customWidth="1"/>
    <col min="2" max="2" width="31.140625" customWidth="1"/>
    <col min="3" max="3" width="14.7109375" bestFit="1" customWidth="1"/>
    <col min="4" max="4" width="14.42578125" customWidth="1"/>
    <col min="5" max="5" width="15" customWidth="1"/>
    <col min="6" max="7" width="14.28515625" customWidth="1"/>
    <col min="8" max="8" width="13.5703125" customWidth="1"/>
    <col min="9" max="12" width="13.7109375" bestFit="1" customWidth="1"/>
    <col min="13" max="13" width="16.42578125" bestFit="1" customWidth="1"/>
    <col min="14" max="14" width="13.7109375" bestFit="1" customWidth="1"/>
    <col min="15" max="15" width="2.5703125" customWidth="1"/>
    <col min="16" max="16" width="12.28515625" bestFit="1" customWidth="1"/>
  </cols>
  <sheetData>
    <row r="1" spans="2:14" ht="7.5" customHeight="1" x14ac:dyDescent="0.2"/>
    <row r="2" spans="2:14" ht="15.75" x14ac:dyDescent="0.25">
      <c r="B2" s="31" t="s">
        <v>65</v>
      </c>
      <c r="C2" s="35" t="s">
        <v>64</v>
      </c>
    </row>
    <row r="3" spans="2:14" ht="15.75" x14ac:dyDescent="0.25">
      <c r="B3" s="31" t="s">
        <v>57</v>
      </c>
      <c r="C3" s="71"/>
    </row>
    <row r="4" spans="2:14" ht="11.25" customHeight="1" x14ac:dyDescent="0.2"/>
    <row r="5" spans="2:14" ht="15.75" customHeight="1" x14ac:dyDescent="0.25">
      <c r="B5" s="62" t="s">
        <v>58</v>
      </c>
      <c r="C5" s="61"/>
      <c r="D5" s="61"/>
      <c r="E5" s="61" t="s">
        <v>68</v>
      </c>
      <c r="F5" s="61"/>
      <c r="G5" s="61"/>
      <c r="H5" s="61"/>
      <c r="I5" s="61"/>
      <c r="J5" s="61"/>
      <c r="K5" s="61"/>
      <c r="L5" s="61"/>
      <c r="M5" s="61"/>
      <c r="N5" s="61"/>
    </row>
    <row r="6" spans="2:14" ht="18" x14ac:dyDescent="0.25">
      <c r="B6" s="61" t="s">
        <v>69</v>
      </c>
    </row>
    <row r="7" spans="2:14" ht="14.25" x14ac:dyDescent="0.2">
      <c r="B7" s="29" t="s">
        <v>28</v>
      </c>
    </row>
    <row r="8" spans="2:14" ht="14.25" x14ac:dyDescent="0.2">
      <c r="B8" s="29" t="s">
        <v>0</v>
      </c>
    </row>
    <row r="9" spans="2:14" ht="10.5" customHeight="1" x14ac:dyDescent="0.2">
      <c r="B9" s="29"/>
    </row>
    <row r="10" spans="2:14" ht="14.25" x14ac:dyDescent="0.2">
      <c r="B10" s="29" t="s">
        <v>1</v>
      </c>
    </row>
    <row r="11" spans="2:14" ht="15" x14ac:dyDescent="0.25">
      <c r="B11" s="29" t="s">
        <v>66</v>
      </c>
    </row>
    <row r="12" spans="2:14" ht="14.25" x14ac:dyDescent="0.2">
      <c r="B12" s="29" t="s">
        <v>72</v>
      </c>
    </row>
    <row r="13" spans="2:14" ht="15" x14ac:dyDescent="0.25">
      <c r="B13" s="29" t="s">
        <v>67</v>
      </c>
    </row>
    <row r="14" spans="2:14" ht="14.25" x14ac:dyDescent="0.2">
      <c r="B14" s="29" t="s">
        <v>73</v>
      </c>
    </row>
    <row r="15" spans="2:14" ht="14.25" x14ac:dyDescent="0.2">
      <c r="B15" s="29" t="s">
        <v>74</v>
      </c>
    </row>
    <row r="16" spans="2:14" ht="11.25" customHeight="1" x14ac:dyDescent="0.2">
      <c r="B16" s="29"/>
    </row>
    <row r="17" spans="2:16" ht="14.25" x14ac:dyDescent="0.2">
      <c r="B17" s="29" t="s">
        <v>7</v>
      </c>
    </row>
    <row r="18" spans="2:16" ht="10.5" customHeight="1" x14ac:dyDescent="0.2"/>
    <row r="19" spans="2:16" ht="15.75" x14ac:dyDescent="0.25">
      <c r="B19" s="67" t="s">
        <v>45</v>
      </c>
      <c r="C19" s="68"/>
      <c r="D19" s="68" t="s">
        <v>10</v>
      </c>
      <c r="E19" s="68"/>
      <c r="F19" s="69">
        <v>66666.67</v>
      </c>
      <c r="G19" s="69"/>
    </row>
    <row r="20" spans="2:16" ht="15.75" x14ac:dyDescent="0.25">
      <c r="B20" s="67" t="s">
        <v>46</v>
      </c>
      <c r="C20" s="68"/>
      <c r="D20" s="68" t="s">
        <v>11</v>
      </c>
      <c r="E20" s="68"/>
      <c r="F20" s="69"/>
      <c r="G20" s="69">
        <f>-F19</f>
        <v>-66666.67</v>
      </c>
    </row>
    <row r="21" spans="2:16" ht="9.75" customHeight="1" x14ac:dyDescent="0.2">
      <c r="E21" s="2"/>
      <c r="F21" s="2"/>
      <c r="G21" s="2"/>
    </row>
    <row r="22" spans="2:16" ht="14.25" x14ac:dyDescent="0.2">
      <c r="B22" s="29" t="s">
        <v>12</v>
      </c>
      <c r="E22" s="2"/>
      <c r="F22" s="2"/>
      <c r="G22" s="2"/>
    </row>
    <row r="23" spans="2:16" ht="14.25" x14ac:dyDescent="0.2">
      <c r="B23" s="29" t="s">
        <v>13</v>
      </c>
    </row>
    <row r="24" spans="2:16" ht="9.75" customHeight="1" x14ac:dyDescent="0.2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  <row r="25" spans="2:16" ht="19.5" customHeight="1" x14ac:dyDescent="0.25">
      <c r="B25" s="58"/>
      <c r="C25" s="54">
        <v>40179</v>
      </c>
      <c r="D25" s="55">
        <v>40210</v>
      </c>
      <c r="E25" s="55">
        <v>40238</v>
      </c>
      <c r="F25" s="55">
        <v>40269</v>
      </c>
      <c r="G25" s="55">
        <v>40299</v>
      </c>
      <c r="H25" s="55">
        <v>40330</v>
      </c>
      <c r="I25" s="55">
        <v>40360</v>
      </c>
      <c r="J25" s="55">
        <v>40391</v>
      </c>
      <c r="K25" s="55">
        <v>40422</v>
      </c>
      <c r="L25" s="55">
        <v>40452</v>
      </c>
      <c r="M25" s="55">
        <v>40483</v>
      </c>
      <c r="N25" s="56">
        <v>40513</v>
      </c>
    </row>
    <row r="26" spans="2:16" ht="21" customHeight="1" x14ac:dyDescent="0.25">
      <c r="B26" s="51" t="s">
        <v>23</v>
      </c>
      <c r="C26" s="39">
        <v>-302851.7699999999</v>
      </c>
      <c r="D26" s="43">
        <v>-294214.11</v>
      </c>
      <c r="E26" s="43">
        <f t="shared" ref="E26:J26" si="0">D31</f>
        <v>-312591.48</v>
      </c>
      <c r="F26" s="43">
        <f t="shared" si="0"/>
        <v>-334368.68999999994</v>
      </c>
      <c r="G26" s="43">
        <f t="shared" si="0"/>
        <v>-308244.09999999992</v>
      </c>
      <c r="H26" s="43">
        <f t="shared" si="0"/>
        <v>-318776.58999999991</v>
      </c>
      <c r="I26" s="43">
        <f t="shared" si="0"/>
        <v>-337835.42999999988</v>
      </c>
      <c r="J26" s="43">
        <f t="shared" si="0"/>
        <v>-379649.17999999982</v>
      </c>
      <c r="K26" s="43">
        <f>J31</f>
        <v>-491295.30999999976</v>
      </c>
      <c r="L26" s="43">
        <f>K31</f>
        <v>-523676.95999999979</v>
      </c>
      <c r="M26" s="43">
        <f>L31</f>
        <v>-566620.29999999981</v>
      </c>
      <c r="N26" s="43">
        <f>M31</f>
        <v>-596099.7899999998</v>
      </c>
      <c r="O26" s="2"/>
    </row>
    <row r="27" spans="2:16" ht="28.5" x14ac:dyDescent="0.2">
      <c r="B27" s="63" t="s">
        <v>24</v>
      </c>
      <c r="C27" s="64">
        <v>-66666.67</v>
      </c>
      <c r="D27" s="65">
        <v>-66666.67</v>
      </c>
      <c r="E27" s="65">
        <v>-66666.67</v>
      </c>
      <c r="F27" s="65">
        <v>-66666.67</v>
      </c>
      <c r="G27" s="65">
        <v>-66666.67</v>
      </c>
      <c r="H27" s="65">
        <v>-66666.67</v>
      </c>
      <c r="I27" s="65">
        <v>-66666.67</v>
      </c>
      <c r="J27" s="28">
        <v>-141530.46</v>
      </c>
      <c r="K27" s="65">
        <v>-66666.67</v>
      </c>
      <c r="L27" s="65">
        <v>-66666.67</v>
      </c>
      <c r="M27" s="65">
        <v>-66666.67</v>
      </c>
      <c r="N27" s="65">
        <v>-66666.63</v>
      </c>
      <c r="O27" s="2"/>
      <c r="P27" s="2">
        <f>SUM(C27:O27)</f>
        <v>-874863.79</v>
      </c>
    </row>
    <row r="28" spans="2:16" ht="21" customHeight="1" x14ac:dyDescent="0.2">
      <c r="B28" s="52" t="s">
        <v>25</v>
      </c>
      <c r="C28" s="40">
        <v>13333.33</v>
      </c>
      <c r="D28" s="44">
        <f>87.2+1283.67+553.18+1200.05+192.19+1130.36+1930.84+423.48+2373.66+2123.4+1755.42+279.88</f>
        <v>13333.33</v>
      </c>
      <c r="E28" s="44">
        <f>87.2+1283.67+553.18+1200.05+192.19+1130.36+1930.84+423.48+2373.66+2123.4+1755.42+279.88</f>
        <v>13333.33</v>
      </c>
      <c r="F28" s="44">
        <f>13756.81-423.48</f>
        <v>13333.33</v>
      </c>
      <c r="G28" s="44">
        <v>13333.33</v>
      </c>
      <c r="H28" s="44">
        <f>G28</f>
        <v>13333.33</v>
      </c>
      <c r="I28" s="44">
        <v>13333.33</v>
      </c>
      <c r="J28" s="44">
        <v>13333.33</v>
      </c>
      <c r="K28" s="44">
        <v>12909.85</v>
      </c>
      <c r="L28" s="44">
        <v>16413.87</v>
      </c>
      <c r="M28" s="44">
        <v>16413.87</v>
      </c>
      <c r="N28" s="47">
        <v>9292.89</v>
      </c>
      <c r="O28" s="2"/>
      <c r="P28" s="2">
        <f t="shared" ref="P28:P29" si="1">SUM(C28:O28)</f>
        <v>161697.12</v>
      </c>
    </row>
    <row r="29" spans="2:16" ht="30" customHeight="1" x14ac:dyDescent="0.2">
      <c r="B29" s="63" t="s">
        <v>26</v>
      </c>
      <c r="C29" s="64">
        <v>61971</v>
      </c>
      <c r="D29" s="65">
        <v>34955.97</v>
      </c>
      <c r="E29" s="65">
        <f>31985.19-429.06</f>
        <v>31556.129999999997</v>
      </c>
      <c r="F29" s="65">
        <f>-149.39+79607.32</f>
        <v>79457.930000000008</v>
      </c>
      <c r="G29" s="65">
        <v>42800.85</v>
      </c>
      <c r="H29" s="65">
        <v>34274.5</v>
      </c>
      <c r="I29" s="65">
        <v>11519.59</v>
      </c>
      <c r="J29" s="65">
        <v>16551</v>
      </c>
      <c r="K29" s="65">
        <v>21375.17</v>
      </c>
      <c r="L29" s="65">
        <v>7309.46</v>
      </c>
      <c r="M29" s="65">
        <v>20773.310000000001</v>
      </c>
      <c r="N29" s="66">
        <v>51773.32</v>
      </c>
      <c r="O29" s="2"/>
      <c r="P29" s="2">
        <f t="shared" si="1"/>
        <v>414318.23000000004</v>
      </c>
    </row>
    <row r="30" spans="2:16" ht="21" customHeight="1" x14ac:dyDescent="0.2">
      <c r="B30" s="53" t="s">
        <v>55</v>
      </c>
      <c r="C30" s="41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8"/>
      <c r="O30" s="2"/>
    </row>
    <row r="31" spans="2:16" ht="23.25" customHeight="1" thickBot="1" x14ac:dyDescent="0.3">
      <c r="B31" s="59" t="s">
        <v>27</v>
      </c>
      <c r="C31" s="42">
        <f t="shared" ref="C31:N31" si="2">SUM(C26:C30)</f>
        <v>-294214.10999999987</v>
      </c>
      <c r="D31" s="46">
        <f t="shared" si="2"/>
        <v>-312591.48</v>
      </c>
      <c r="E31" s="36">
        <f t="shared" si="2"/>
        <v>-334368.68999999994</v>
      </c>
      <c r="F31" s="36">
        <f t="shared" si="2"/>
        <v>-308244.09999999992</v>
      </c>
      <c r="G31" s="36">
        <f>SUM(G26:G30)</f>
        <v>-318776.58999999991</v>
      </c>
      <c r="H31" s="36">
        <f>SUM(H26:H30)</f>
        <v>-337835.42999999988</v>
      </c>
      <c r="I31" s="36">
        <f t="shared" si="2"/>
        <v>-379649.17999999982</v>
      </c>
      <c r="J31" s="36">
        <f t="shared" si="2"/>
        <v>-491295.30999999976</v>
      </c>
      <c r="K31" s="36">
        <f t="shared" si="2"/>
        <v>-523676.95999999979</v>
      </c>
      <c r="L31" s="36">
        <f t="shared" si="2"/>
        <v>-566620.29999999981</v>
      </c>
      <c r="M31" s="36">
        <f t="shared" si="2"/>
        <v>-596099.7899999998</v>
      </c>
      <c r="N31" s="49">
        <f t="shared" si="2"/>
        <v>-601700.20999999985</v>
      </c>
      <c r="O31" s="2"/>
      <c r="P31" s="7">
        <f>SUM(P27:P30)</f>
        <v>-298848.44</v>
      </c>
    </row>
    <row r="32" spans="2:16" ht="23.25" customHeight="1" thickTop="1" x14ac:dyDescent="0.2">
      <c r="B32" s="60" t="s">
        <v>59</v>
      </c>
      <c r="C32" s="38">
        <v>-294214.11</v>
      </c>
      <c r="D32" s="38">
        <v>-312591.48</v>
      </c>
      <c r="E32" s="37">
        <v>-334368.69</v>
      </c>
      <c r="F32" s="37">
        <v>-308244.09999999998</v>
      </c>
      <c r="G32" s="37">
        <v>-318776.59000000003</v>
      </c>
      <c r="H32" s="37">
        <v>-337835.43</v>
      </c>
      <c r="I32" s="37">
        <v>-379649.18</v>
      </c>
      <c r="J32" s="37">
        <v>-491295.31</v>
      </c>
      <c r="K32" s="38">
        <v>-523676.96</v>
      </c>
      <c r="L32" s="37">
        <v>-566620.30000000005</v>
      </c>
      <c r="M32" s="37">
        <v>-596099.79</v>
      </c>
      <c r="N32" s="50">
        <v>-601700.21</v>
      </c>
      <c r="O32" s="2"/>
    </row>
    <row r="33" spans="2:15" ht="9" customHeight="1" x14ac:dyDescent="0.2">
      <c r="B33" s="2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5.75" customHeight="1" x14ac:dyDescent="0.2">
      <c r="B34" s="29" t="s">
        <v>60</v>
      </c>
      <c r="C34" s="2">
        <f t="shared" ref="C34:N34" si="3">C31-C32</f>
        <v>0</v>
      </c>
      <c r="D34" s="2">
        <f t="shared" si="3"/>
        <v>0</v>
      </c>
      <c r="E34" s="2">
        <f t="shared" si="3"/>
        <v>0</v>
      </c>
      <c r="F34" s="2">
        <f t="shared" si="3"/>
        <v>0</v>
      </c>
      <c r="G34" s="2">
        <f t="shared" si="3"/>
        <v>0</v>
      </c>
      <c r="H34" s="2">
        <f t="shared" si="3"/>
        <v>0</v>
      </c>
      <c r="I34" s="2">
        <f t="shared" si="3"/>
        <v>0</v>
      </c>
      <c r="J34" s="2">
        <f t="shared" si="3"/>
        <v>0</v>
      </c>
      <c r="K34" s="2">
        <f t="shared" si="3"/>
        <v>0</v>
      </c>
      <c r="L34" s="2">
        <f t="shared" si="3"/>
        <v>0</v>
      </c>
      <c r="M34" s="2">
        <f t="shared" si="3"/>
        <v>0</v>
      </c>
      <c r="N34" s="2">
        <f t="shared" si="3"/>
        <v>0</v>
      </c>
      <c r="O34" s="2"/>
    </row>
    <row r="35" spans="2:15" s="29" customFormat="1" ht="14.25" x14ac:dyDescent="0.2">
      <c r="C35" s="28"/>
      <c r="D35" s="28"/>
      <c r="E35" s="34"/>
      <c r="F35" s="28"/>
      <c r="G35" s="28"/>
      <c r="H35" s="28"/>
      <c r="I35" s="28"/>
      <c r="J35" s="28"/>
      <c r="K35" s="28"/>
      <c r="L35" s="28"/>
      <c r="O35" s="28"/>
    </row>
    <row r="36" spans="2:15" ht="14.25" x14ac:dyDescent="0.2">
      <c r="B36" s="29" t="str">
        <f ca="1">CELL("filename")</f>
        <v>C:\Users\ISAAC.MYHRUM\AppData\Local\Microsoft\Windows\INetCache\Content.Outlook\HMSW6VJP\[47WA.2429.02 WA Low Income 2021 (004).xlsx]WA 2020-21 Plan Year</v>
      </c>
      <c r="C36" s="2"/>
      <c r="D36" s="2"/>
      <c r="E36" s="2"/>
      <c r="F36" s="2"/>
      <c r="G36" s="2"/>
      <c r="H36" s="2"/>
      <c r="I36" s="2"/>
      <c r="J36" s="2"/>
      <c r="K36" s="2"/>
      <c r="O36" s="2"/>
    </row>
    <row r="37" spans="2:15" x14ac:dyDescent="0.2">
      <c r="C37" s="2"/>
      <c r="D37" s="2"/>
      <c r="E37" s="2"/>
      <c r="F37" s="2"/>
      <c r="I37" s="2"/>
      <c r="J37" s="2"/>
      <c r="K37" s="2"/>
      <c r="O37" s="2"/>
    </row>
    <row r="38" spans="2:15" ht="15" x14ac:dyDescent="0.35">
      <c r="B38" s="147" t="s">
        <v>34</v>
      </c>
      <c r="C38" s="147"/>
      <c r="D38" s="2"/>
      <c r="E38" s="2"/>
      <c r="F38" s="2"/>
      <c r="G38" s="2"/>
      <c r="I38" s="2"/>
      <c r="J38" s="2"/>
      <c r="K38" s="2"/>
      <c r="O38" s="2"/>
    </row>
    <row r="39" spans="2:15" x14ac:dyDescent="0.2">
      <c r="B39" s="32" t="s">
        <v>35</v>
      </c>
      <c r="C39" s="22"/>
      <c r="D39" s="2"/>
      <c r="E39" s="2"/>
      <c r="F39" s="2"/>
      <c r="I39" s="2"/>
      <c r="J39" s="2"/>
      <c r="K39" s="2"/>
      <c r="O39" s="2"/>
    </row>
    <row r="40" spans="2:15" ht="12" customHeight="1" x14ac:dyDescent="0.2">
      <c r="B40" s="33" t="s">
        <v>42</v>
      </c>
      <c r="C40" s="22"/>
      <c r="D40" s="2"/>
      <c r="E40" s="2"/>
      <c r="F40" s="2"/>
      <c r="I40" s="2"/>
      <c r="J40" s="2"/>
      <c r="K40" s="2"/>
      <c r="O40" s="2"/>
    </row>
    <row r="41" spans="2:15" x14ac:dyDescent="0.2">
      <c r="B41" s="33" t="s">
        <v>36</v>
      </c>
      <c r="C41" s="22"/>
      <c r="D41" s="2"/>
      <c r="E41" s="2"/>
      <c r="F41" s="2"/>
      <c r="I41" s="2"/>
      <c r="J41" s="2"/>
      <c r="K41" s="2"/>
      <c r="O41" s="2"/>
    </row>
    <row r="42" spans="2:15" ht="12.75" customHeight="1" x14ac:dyDescent="0.2">
      <c r="B42" s="33" t="s">
        <v>37</v>
      </c>
      <c r="C42" s="70" t="s">
        <v>71</v>
      </c>
      <c r="D42" s="2"/>
      <c r="E42" s="2"/>
      <c r="F42" s="2"/>
      <c r="I42" s="2"/>
      <c r="J42" s="2"/>
      <c r="K42" s="2"/>
      <c r="O42" s="2"/>
    </row>
    <row r="43" spans="2:15" x14ac:dyDescent="0.2">
      <c r="B43" s="33" t="s">
        <v>61</v>
      </c>
      <c r="C43" s="30"/>
      <c r="D43" s="2"/>
      <c r="E43" s="2"/>
      <c r="F43" s="2"/>
      <c r="I43" s="2"/>
      <c r="J43" s="2"/>
      <c r="K43" s="2"/>
      <c r="O43" s="2"/>
    </row>
    <row r="44" spans="2:15" x14ac:dyDescent="0.2">
      <c r="B44" s="32" t="s">
        <v>62</v>
      </c>
      <c r="C44" s="22"/>
      <c r="D44" s="2"/>
      <c r="E44" s="2"/>
      <c r="F44" s="2"/>
      <c r="I44" s="2"/>
      <c r="J44" s="2"/>
      <c r="K44" s="2"/>
      <c r="L44" s="2"/>
      <c r="O44" s="2"/>
    </row>
    <row r="45" spans="2:15" x14ac:dyDescent="0.2">
      <c r="B45" s="32" t="s">
        <v>63</v>
      </c>
      <c r="C45" s="22"/>
    </row>
    <row r="46" spans="2:15" x14ac:dyDescent="0.2">
      <c r="B46" s="32" t="s">
        <v>70</v>
      </c>
      <c r="C46" s="22"/>
    </row>
  </sheetData>
  <mergeCells count="1">
    <mergeCell ref="B38:C38"/>
  </mergeCells>
  <pageMargins left="0.75" right="0.5" top="0.5" bottom="0.5" header="0.5" footer="0.5"/>
  <pageSetup paperSize="5" scale="75" orientation="landscape" cellComments="asDisplayed" r:id="rId1"/>
  <headerFooter alignWithMargins="0"/>
  <ignoredErrors>
    <ignoredError sqref="I31:N31 C31" formulaRange="1"/>
  </ignoredError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48"/>
  <sheetViews>
    <sheetView zoomScaleNormal="100" workbookViewId="0">
      <selection activeCell="A34" sqref="A34"/>
    </sheetView>
  </sheetViews>
  <sheetFormatPr defaultRowHeight="12.75" x14ac:dyDescent="0.2"/>
  <cols>
    <col min="1" max="1" width="26.7109375" customWidth="1"/>
    <col min="2" max="2" width="3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3.5703125" customWidth="1"/>
    <col min="11" max="12" width="12" customWidth="1"/>
    <col min="13" max="13" width="12.85546875" customWidth="1"/>
    <col min="14" max="14" width="12.28515625" customWidth="1"/>
    <col min="15" max="15" width="2.28515625" customWidth="1"/>
    <col min="16" max="16" width="11.85546875" bestFit="1" customWidth="1"/>
    <col min="17" max="17" width="11.28515625" bestFit="1" customWidth="1"/>
  </cols>
  <sheetData>
    <row r="1" spans="1:7" ht="15.75" x14ac:dyDescent="0.25">
      <c r="C1" s="26" t="s">
        <v>56</v>
      </c>
      <c r="D1" s="26"/>
    </row>
    <row r="2" spans="1:7" ht="15.75" x14ac:dyDescent="0.25">
      <c r="C2" s="26" t="s">
        <v>57</v>
      </c>
      <c r="D2" s="26"/>
      <c r="E2" s="27">
        <v>40186</v>
      </c>
    </row>
    <row r="4" spans="1:7" ht="18" x14ac:dyDescent="0.25">
      <c r="A4" s="1" t="s">
        <v>54</v>
      </c>
      <c r="D4" s="25"/>
      <c r="G4" s="10" t="s">
        <v>41</v>
      </c>
    </row>
    <row r="6" spans="1:7" x14ac:dyDescent="0.2">
      <c r="A6" t="s">
        <v>28</v>
      </c>
    </row>
    <row r="7" spans="1:7" x14ac:dyDescent="0.2">
      <c r="A7" t="s">
        <v>0</v>
      </c>
    </row>
    <row r="9" spans="1:7" x14ac:dyDescent="0.2">
      <c r="A9" t="s">
        <v>1</v>
      </c>
    </row>
    <row r="10" spans="1:7" x14ac:dyDescent="0.2">
      <c r="A10" t="s">
        <v>2</v>
      </c>
    </row>
    <row r="11" spans="1:7" x14ac:dyDescent="0.2">
      <c r="A11" t="s">
        <v>3</v>
      </c>
    </row>
    <row r="12" spans="1:7" x14ac:dyDescent="0.2">
      <c r="A12" t="s">
        <v>4</v>
      </c>
    </row>
    <row r="13" spans="1:7" x14ac:dyDescent="0.2">
      <c r="A13" t="s">
        <v>5</v>
      </c>
    </row>
    <row r="14" spans="1:7" x14ac:dyDescent="0.2">
      <c r="A14" t="s">
        <v>6</v>
      </c>
    </row>
    <row r="16" spans="1:7" x14ac:dyDescent="0.2">
      <c r="A16" t="s">
        <v>7</v>
      </c>
    </row>
    <row r="18" spans="1:17" x14ac:dyDescent="0.2">
      <c r="A18" s="19" t="s">
        <v>45</v>
      </c>
      <c r="D18" t="s">
        <v>10</v>
      </c>
      <c r="F18" s="2">
        <v>66666.67</v>
      </c>
      <c r="G18" s="2"/>
    </row>
    <row r="19" spans="1:17" x14ac:dyDescent="0.2">
      <c r="A19" s="19" t="s">
        <v>46</v>
      </c>
      <c r="D19" t="s">
        <v>11</v>
      </c>
      <c r="F19" s="2"/>
      <c r="G19" s="2">
        <f>-F18</f>
        <v>-66666.67</v>
      </c>
    </row>
    <row r="20" spans="1:17" x14ac:dyDescent="0.2">
      <c r="E20" s="2"/>
      <c r="F20" s="2"/>
      <c r="G20" s="2"/>
    </row>
    <row r="21" spans="1:17" x14ac:dyDescent="0.2">
      <c r="A21" t="s">
        <v>12</v>
      </c>
      <c r="E21" s="2"/>
      <c r="F21" s="2"/>
      <c r="G21" s="2"/>
    </row>
    <row r="22" spans="1:17" x14ac:dyDescent="0.2">
      <c r="A22" t="s">
        <v>13</v>
      </c>
    </row>
    <row r="24" spans="1:17" x14ac:dyDescent="0.2">
      <c r="C24" s="8">
        <v>39814</v>
      </c>
      <c r="D24" s="8">
        <v>39845</v>
      </c>
      <c r="E24" s="8">
        <v>39873</v>
      </c>
      <c r="F24" s="8">
        <v>39904</v>
      </c>
      <c r="G24" s="8">
        <v>39934</v>
      </c>
      <c r="H24" s="8">
        <v>39965</v>
      </c>
      <c r="I24" s="8">
        <v>39995</v>
      </c>
      <c r="J24" s="8">
        <v>40026</v>
      </c>
      <c r="K24" s="8">
        <v>40057</v>
      </c>
      <c r="L24" s="8">
        <v>40087</v>
      </c>
      <c r="M24" s="8">
        <v>40118</v>
      </c>
      <c r="N24" s="8">
        <v>40148</v>
      </c>
      <c r="O24" s="90"/>
    </row>
    <row r="25" spans="1:17" x14ac:dyDescent="0.2">
      <c r="A25" t="s">
        <v>23</v>
      </c>
      <c r="B25" s="18"/>
      <c r="C25" s="2">
        <v>-252518.75</v>
      </c>
      <c r="D25" s="2">
        <f t="shared" ref="D25:N25" si="0">C35</f>
        <v>-247908.56999999998</v>
      </c>
      <c r="E25" s="2">
        <f t="shared" si="0"/>
        <v>-236483.16999999998</v>
      </c>
      <c r="F25" s="2">
        <f t="shared" si="0"/>
        <v>-156227.4</v>
      </c>
      <c r="G25" s="2">
        <f t="shared" si="0"/>
        <v>-143612.30000000002</v>
      </c>
      <c r="H25" s="2">
        <f t="shared" si="0"/>
        <v>-180957.34000000005</v>
      </c>
      <c r="I25" s="2">
        <f t="shared" si="0"/>
        <v>-181332.13000000006</v>
      </c>
      <c r="J25" s="2">
        <f t="shared" si="0"/>
        <v>-305220.63000000006</v>
      </c>
      <c r="K25" s="2">
        <f t="shared" si="0"/>
        <v>-330661.10000000003</v>
      </c>
      <c r="L25" s="2">
        <f t="shared" si="0"/>
        <v>-353909.73</v>
      </c>
      <c r="M25" s="2">
        <f t="shared" si="0"/>
        <v>-388018.61</v>
      </c>
      <c r="N25" s="2">
        <f t="shared" si="0"/>
        <v>-367767.54999999993</v>
      </c>
      <c r="O25" s="2"/>
      <c r="P25" s="2"/>
    </row>
    <row r="26" spans="1:17" x14ac:dyDescent="0.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5.5" x14ac:dyDescent="0.2">
      <c r="A27" s="6" t="s">
        <v>24</v>
      </c>
      <c r="C27" s="2">
        <v>-66666.67</v>
      </c>
      <c r="D27" s="2">
        <v>-66666.67</v>
      </c>
      <c r="E27" s="2">
        <v>-66666.67</v>
      </c>
      <c r="F27" s="2">
        <v>-66666.67</v>
      </c>
      <c r="G27" s="2">
        <v>-66666.67</v>
      </c>
      <c r="H27" s="2">
        <v>-66666.67</v>
      </c>
      <c r="I27" s="2">
        <f>-66666.67-95854.34</f>
        <v>-162521.01</v>
      </c>
      <c r="J27" s="2">
        <v>-66666.67</v>
      </c>
      <c r="K27" s="2">
        <v>-66666.67</v>
      </c>
      <c r="L27" s="2">
        <v>-66666.67</v>
      </c>
      <c r="M27" s="2">
        <v>-66666.67</v>
      </c>
      <c r="N27" s="2">
        <v>-66666.63</v>
      </c>
      <c r="O27" s="2"/>
      <c r="P27" s="2">
        <f>SUM(C27:N27)</f>
        <v>-895854.3400000002</v>
      </c>
      <c r="Q27" s="2"/>
    </row>
    <row r="28" spans="1:17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7" x14ac:dyDescent="0.2">
      <c r="A29" t="s">
        <v>25</v>
      </c>
      <c r="C29" s="2">
        <v>13333.33</v>
      </c>
      <c r="D29" s="2">
        <v>13333.33</v>
      </c>
      <c r="E29" s="2">
        <v>15297.47</v>
      </c>
      <c r="F29" s="2">
        <v>13333.33</v>
      </c>
      <c r="G29" s="2">
        <v>13333.33</v>
      </c>
      <c r="H29" s="2">
        <v>13333.33</v>
      </c>
      <c r="I29" s="2">
        <v>13333.33</v>
      </c>
      <c r="J29" s="2">
        <v>32504.2</v>
      </c>
      <c r="K29" s="2">
        <v>13333.33</v>
      </c>
      <c r="L29" s="2">
        <v>12351.26</v>
      </c>
      <c r="M29" s="2">
        <v>13333.33</v>
      </c>
      <c r="N29" s="2">
        <v>13333.33</v>
      </c>
      <c r="O29" s="2"/>
      <c r="P29" s="2">
        <f>SUM(C29:N29)</f>
        <v>180152.89999999997</v>
      </c>
    </row>
    <row r="30" spans="1:17" x14ac:dyDescent="0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7" ht="38.25" x14ac:dyDescent="0.2">
      <c r="A31" s="6" t="s">
        <v>26</v>
      </c>
      <c r="C31" s="2">
        <v>57943.519999999997</v>
      </c>
      <c r="D31" s="2">
        <v>64758.74</v>
      </c>
      <c r="E31" s="2">
        <v>131624.97</v>
      </c>
      <c r="F31" s="2">
        <v>65948.44</v>
      </c>
      <c r="G31" s="2">
        <v>15988.3</v>
      </c>
      <c r="H31" s="2">
        <v>53156.1</v>
      </c>
      <c r="I31" s="2">
        <v>25299.18</v>
      </c>
      <c r="J31" s="2">
        <v>8722</v>
      </c>
      <c r="K31" s="2">
        <v>30084.71</v>
      </c>
      <c r="L31" s="2">
        <f>20712.93-506.4</f>
        <v>20206.53</v>
      </c>
      <c r="M31" s="2">
        <v>73584.399999999994</v>
      </c>
      <c r="N31" s="2">
        <v>118249.08</v>
      </c>
      <c r="O31" s="2"/>
      <c r="P31" s="2">
        <f>SUM(C31:N31)</f>
        <v>665565.97</v>
      </c>
    </row>
    <row r="32" spans="1:17" x14ac:dyDescent="0.2">
      <c r="A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">
      <c r="A33" s="6" t="s">
        <v>55</v>
      </c>
      <c r="C33" s="2"/>
      <c r="D33" s="2"/>
      <c r="E33" s="2"/>
      <c r="F33" s="2"/>
      <c r="G33" s="2"/>
      <c r="H33" s="2">
        <v>-197.55</v>
      </c>
      <c r="I33" s="2"/>
      <c r="J33" s="2"/>
      <c r="K33" s="2"/>
      <c r="L33" s="2"/>
      <c r="M33" s="2"/>
      <c r="N33" s="2"/>
      <c r="O33" s="2"/>
      <c r="P33" s="2">
        <f>SUM(C33:N33)</f>
        <v>-197.55</v>
      </c>
    </row>
    <row r="34" spans="1:16" x14ac:dyDescent="0.2">
      <c r="A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thickBot="1" x14ac:dyDescent="0.25">
      <c r="A35" t="s">
        <v>27</v>
      </c>
      <c r="C35" s="7">
        <f t="shared" ref="C35:P35" si="1">SUM(C25:C34)</f>
        <v>-247908.56999999998</v>
      </c>
      <c r="D35" s="7">
        <f t="shared" si="1"/>
        <v>-236483.16999999998</v>
      </c>
      <c r="E35" s="7">
        <f t="shared" si="1"/>
        <v>-156227.4</v>
      </c>
      <c r="F35" s="7">
        <f t="shared" si="1"/>
        <v>-143612.30000000002</v>
      </c>
      <c r="G35" s="7">
        <f t="shared" si="1"/>
        <v>-180957.34000000005</v>
      </c>
      <c r="H35" s="7">
        <f t="shared" si="1"/>
        <v>-181332.13000000006</v>
      </c>
      <c r="I35" s="7">
        <f t="shared" si="1"/>
        <v>-305220.63000000006</v>
      </c>
      <c r="J35" s="7">
        <f t="shared" si="1"/>
        <v>-330661.10000000003</v>
      </c>
      <c r="K35" s="7">
        <f t="shared" si="1"/>
        <v>-353909.73</v>
      </c>
      <c r="L35" s="7">
        <f t="shared" si="1"/>
        <v>-388018.61</v>
      </c>
      <c r="M35" s="7">
        <f t="shared" si="1"/>
        <v>-367767.54999999993</v>
      </c>
      <c r="N35" s="7">
        <f t="shared" si="1"/>
        <v>-302851.7699999999</v>
      </c>
      <c r="O35" s="2"/>
      <c r="P35" s="7">
        <f t="shared" si="1"/>
        <v>-50333.020000000208</v>
      </c>
    </row>
    <row r="36" spans="1:16" ht="13.5" thickTop="1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">
      <c r="A39" t="str">
        <f ca="1">CELL("filename")</f>
        <v>C:\Users\ISAAC.MYHRUM\AppData\Local\Microsoft\Windows\INetCache\Content.Outlook\HMSW6VJP\[47WA.2429.02 WA Low Income 2021 (004).xlsx]WA 2020-21 Plan Year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" x14ac:dyDescent="0.35">
      <c r="C41" s="2"/>
      <c r="D41" s="2"/>
      <c r="E41" s="2"/>
      <c r="F41" s="2"/>
      <c r="G41" s="11" t="s">
        <v>34</v>
      </c>
      <c r="H41" s="12"/>
      <c r="I41" s="2"/>
      <c r="J41" s="2"/>
      <c r="K41" s="2"/>
      <c r="L41" s="2"/>
      <c r="M41" s="2"/>
      <c r="N41" s="2"/>
      <c r="O41" s="2"/>
      <c r="P41" s="2"/>
    </row>
    <row r="42" spans="1:16" x14ac:dyDescent="0.2">
      <c r="C42" s="2"/>
      <c r="D42" s="2"/>
      <c r="E42" s="2"/>
      <c r="F42" s="2"/>
      <c r="G42" s="13" t="s">
        <v>35</v>
      </c>
      <c r="H42" s="14"/>
      <c r="I42" s="2"/>
      <c r="J42" s="2"/>
      <c r="K42" s="2"/>
      <c r="L42" s="2"/>
      <c r="M42" s="2"/>
      <c r="N42" s="2"/>
      <c r="O42" s="2"/>
      <c r="P42" s="2"/>
    </row>
    <row r="43" spans="1:16" x14ac:dyDescent="0.2">
      <c r="C43" s="2"/>
      <c r="D43" s="2"/>
      <c r="E43" s="2"/>
      <c r="F43" s="2"/>
      <c r="G43" s="13" t="s">
        <v>42</v>
      </c>
      <c r="H43" s="15" t="s">
        <v>44</v>
      </c>
      <c r="I43" s="2"/>
      <c r="J43" s="2"/>
      <c r="K43" s="2"/>
      <c r="L43" s="2"/>
      <c r="M43" s="2"/>
      <c r="N43" s="2"/>
      <c r="O43" s="2"/>
      <c r="P43" s="2"/>
    </row>
    <row r="44" spans="1:16" x14ac:dyDescent="0.2">
      <c r="C44" s="2"/>
      <c r="D44" s="2"/>
      <c r="E44" s="2"/>
      <c r="F44" s="2"/>
      <c r="G44" s="13" t="s">
        <v>36</v>
      </c>
      <c r="H44" s="15" t="s">
        <v>43</v>
      </c>
      <c r="I44" s="2"/>
      <c r="J44" s="2"/>
      <c r="K44" s="2"/>
      <c r="L44" s="2"/>
      <c r="M44" s="2"/>
      <c r="N44" s="2"/>
      <c r="O44" s="2"/>
      <c r="P44" s="2"/>
    </row>
    <row r="45" spans="1:16" x14ac:dyDescent="0.2">
      <c r="C45" s="2"/>
      <c r="D45" s="2"/>
      <c r="E45" s="2"/>
      <c r="F45" s="2"/>
      <c r="G45" s="13" t="s">
        <v>37</v>
      </c>
      <c r="H45" s="14"/>
      <c r="I45" s="2"/>
      <c r="J45" s="2"/>
      <c r="K45" s="2"/>
      <c r="L45" s="2"/>
      <c r="M45" s="2"/>
      <c r="N45" s="2"/>
      <c r="O45" s="2"/>
      <c r="P45" s="2"/>
    </row>
    <row r="46" spans="1:16" x14ac:dyDescent="0.2">
      <c r="C46" s="2"/>
      <c r="D46" s="2"/>
      <c r="E46" s="2"/>
      <c r="F46" s="2"/>
      <c r="G46" s="16" t="s">
        <v>38</v>
      </c>
      <c r="H46" s="17"/>
      <c r="I46" s="2"/>
      <c r="J46" s="2"/>
      <c r="K46" s="2"/>
      <c r="L46" s="2"/>
      <c r="M46" s="2"/>
      <c r="N46" s="2"/>
      <c r="O46" s="2"/>
      <c r="P46" s="2"/>
    </row>
    <row r="47" spans="1:16" x14ac:dyDescent="0.2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</sheetData>
  <phoneticPr fontId="0" type="noConversion"/>
  <pageMargins left="0.75" right="0.75" top="1" bottom="1" header="0.5" footer="0.5"/>
  <pageSetup paperSize="5" scale="71" orientation="landscape" cellComments="asDisplayed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42"/>
  <sheetViews>
    <sheetView zoomScale="85" zoomScaleNormal="85" workbookViewId="0">
      <selection activeCell="A29" sqref="A29"/>
    </sheetView>
  </sheetViews>
  <sheetFormatPr defaultRowHeight="12.75" x14ac:dyDescent="0.2"/>
  <cols>
    <col min="1" max="1" width="26.7109375" customWidth="1"/>
    <col min="2" max="2" width="3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2.28515625" bestFit="1" customWidth="1"/>
    <col min="11" max="12" width="12" customWidth="1"/>
    <col min="13" max="13" width="12.85546875" customWidth="1"/>
    <col min="14" max="14" width="12.28515625" customWidth="1"/>
    <col min="15" max="15" width="2.42578125" customWidth="1"/>
    <col min="16" max="16" width="12.28515625" bestFit="1" customWidth="1"/>
  </cols>
  <sheetData>
    <row r="1" spans="1:8" ht="18" x14ac:dyDescent="0.25">
      <c r="A1" s="1" t="s">
        <v>29</v>
      </c>
      <c r="F1" s="10" t="s">
        <v>33</v>
      </c>
    </row>
    <row r="3" spans="1:8" x14ac:dyDescent="0.2">
      <c r="A3" t="s">
        <v>28</v>
      </c>
    </row>
    <row r="4" spans="1:8" x14ac:dyDescent="0.2">
      <c r="A4" t="s">
        <v>0</v>
      </c>
    </row>
    <row r="6" spans="1:8" x14ac:dyDescent="0.2">
      <c r="A6" t="s">
        <v>1</v>
      </c>
    </row>
    <row r="7" spans="1:8" x14ac:dyDescent="0.2">
      <c r="A7" t="s">
        <v>2</v>
      </c>
    </row>
    <row r="8" spans="1:8" x14ac:dyDescent="0.2">
      <c r="A8" t="s">
        <v>3</v>
      </c>
    </row>
    <row r="9" spans="1:8" x14ac:dyDescent="0.2">
      <c r="A9" t="s">
        <v>4</v>
      </c>
    </row>
    <row r="10" spans="1:8" x14ac:dyDescent="0.2">
      <c r="A10" t="s">
        <v>5</v>
      </c>
    </row>
    <row r="11" spans="1:8" x14ac:dyDescent="0.2">
      <c r="A11" t="s">
        <v>6</v>
      </c>
    </row>
    <row r="13" spans="1:8" x14ac:dyDescent="0.2">
      <c r="A13" t="s">
        <v>7</v>
      </c>
    </row>
    <row r="15" spans="1:8" x14ac:dyDescent="0.2">
      <c r="A15" t="s">
        <v>8</v>
      </c>
      <c r="D15" t="s">
        <v>10</v>
      </c>
      <c r="F15" s="2">
        <v>66666.63</v>
      </c>
      <c r="G15" s="2"/>
      <c r="H15" t="s">
        <v>40</v>
      </c>
    </row>
    <row r="16" spans="1:8" x14ac:dyDescent="0.2">
      <c r="A16" t="s">
        <v>9</v>
      </c>
      <c r="D16" t="s">
        <v>11</v>
      </c>
      <c r="F16" s="2"/>
      <c r="G16" s="2">
        <v>-66666.63</v>
      </c>
    </row>
    <row r="17" spans="1:16" x14ac:dyDescent="0.2">
      <c r="E17" s="2"/>
      <c r="F17" s="2"/>
      <c r="G17" s="2"/>
    </row>
    <row r="18" spans="1:16" x14ac:dyDescent="0.2">
      <c r="A18" t="s">
        <v>12</v>
      </c>
      <c r="E18" s="2"/>
      <c r="F18" s="2"/>
      <c r="G18" s="2"/>
    </row>
    <row r="19" spans="1:16" x14ac:dyDescent="0.2">
      <c r="A19" t="s">
        <v>13</v>
      </c>
    </row>
    <row r="21" spans="1:16" x14ac:dyDescent="0.2">
      <c r="C21" s="8">
        <v>39448</v>
      </c>
      <c r="D21" s="8">
        <v>39479</v>
      </c>
      <c r="E21" s="8">
        <v>39508</v>
      </c>
      <c r="F21" s="8">
        <v>39539</v>
      </c>
      <c r="G21" s="8">
        <v>39569</v>
      </c>
      <c r="H21" s="8">
        <v>39600</v>
      </c>
      <c r="I21" s="8">
        <v>39630</v>
      </c>
      <c r="J21" s="8">
        <v>39661</v>
      </c>
      <c r="K21" s="8">
        <v>39692</v>
      </c>
      <c r="L21" s="8">
        <v>39722</v>
      </c>
      <c r="M21" s="8">
        <v>39753</v>
      </c>
      <c r="N21" s="8">
        <v>39783</v>
      </c>
    </row>
    <row r="22" spans="1:16" x14ac:dyDescent="0.2">
      <c r="A22" t="s">
        <v>23</v>
      </c>
      <c r="B22" s="9"/>
      <c r="C22" s="2">
        <v>-174757.13</v>
      </c>
      <c r="D22" s="2">
        <f t="shared" ref="D22:N22" si="0">C30</f>
        <v>-178491.15</v>
      </c>
      <c r="E22" s="2">
        <f t="shared" si="0"/>
        <v>-172039.12</v>
      </c>
      <c r="F22" s="2">
        <f t="shared" si="0"/>
        <v>-169693.33</v>
      </c>
      <c r="G22" s="2">
        <f t="shared" si="0"/>
        <v>-148242.96000000002</v>
      </c>
      <c r="H22" s="2">
        <f t="shared" si="0"/>
        <v>-154397.93000000002</v>
      </c>
      <c r="I22" s="2">
        <f t="shared" si="0"/>
        <v>-180514.60000000003</v>
      </c>
      <c r="J22" s="2">
        <f t="shared" si="0"/>
        <v>-183013.59000000003</v>
      </c>
      <c r="K22" s="2">
        <f t="shared" si="0"/>
        <v>-195066.42</v>
      </c>
      <c r="L22" s="2">
        <f t="shared" si="0"/>
        <v>-269103.26</v>
      </c>
      <c r="M22" s="2">
        <f t="shared" si="0"/>
        <v>-289659.26999999996</v>
      </c>
      <c r="N22" s="2">
        <f t="shared" si="0"/>
        <v>-242471.90999999992</v>
      </c>
      <c r="O22" s="2"/>
    </row>
    <row r="23" spans="1:16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ht="25.5" x14ac:dyDescent="0.2">
      <c r="A24" s="6" t="s">
        <v>24</v>
      </c>
      <c r="C24" s="2">
        <v>-66666.67</v>
      </c>
      <c r="D24" s="2">
        <v>-66666.67</v>
      </c>
      <c r="E24" s="2">
        <v>-66666.67</v>
      </c>
      <c r="F24" s="2">
        <v>-66666.67</v>
      </c>
      <c r="G24" s="2">
        <v>-66666.67</v>
      </c>
      <c r="H24" s="2">
        <v>-66666.67</v>
      </c>
      <c r="I24" s="2">
        <v>-66666.67</v>
      </c>
      <c r="J24" s="2">
        <v>-66666.67</v>
      </c>
      <c r="K24" s="2">
        <f>-85312.17-66666.67</f>
        <v>-151978.84</v>
      </c>
      <c r="L24" s="2">
        <v>-66666.67</v>
      </c>
      <c r="M24" s="2">
        <v>-66666.67</v>
      </c>
      <c r="N24" s="2">
        <v>-66666.63</v>
      </c>
      <c r="O24" s="2"/>
      <c r="P24" s="2">
        <f>SUM(C24:O24)</f>
        <v>-885312.17</v>
      </c>
    </row>
    <row r="25" spans="1:16" x14ac:dyDescent="0.2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 x14ac:dyDescent="0.2">
      <c r="A26" t="s">
        <v>25</v>
      </c>
      <c r="C26" s="2">
        <v>13333.33</v>
      </c>
      <c r="D26" s="2">
        <f>13333.33+1150+2326.02</f>
        <v>16809.349999999999</v>
      </c>
      <c r="E26" s="2">
        <f>9857.31-2326.02-1150+2326.02+1150</f>
        <v>9857.31</v>
      </c>
      <c r="F26" s="2">
        <f>10410+2923.33</f>
        <v>13333.33</v>
      </c>
      <c r="G26" s="2">
        <v>13333.33</v>
      </c>
      <c r="H26" s="2">
        <v>13333.33</v>
      </c>
      <c r="I26" s="2">
        <v>13333.33</v>
      </c>
      <c r="J26" s="2">
        <v>30395.78</v>
      </c>
      <c r="K26" s="2">
        <v>13333.33</v>
      </c>
      <c r="L26" s="2">
        <v>13333.33</v>
      </c>
      <c r="M26" s="2">
        <v>13333.33</v>
      </c>
      <c r="N26" s="2">
        <v>13333.33</v>
      </c>
      <c r="O26" s="2"/>
      <c r="P26" s="2">
        <f>SUM(C26:O26)</f>
        <v>177062.40999999995</v>
      </c>
    </row>
    <row r="27" spans="1:16" x14ac:dyDescent="0.2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ht="38.25" x14ac:dyDescent="0.2">
      <c r="A28" s="6" t="s">
        <v>26</v>
      </c>
      <c r="C28" s="2">
        <v>49599.32</v>
      </c>
      <c r="D28" s="2">
        <v>56309.35</v>
      </c>
      <c r="E28" s="2">
        <v>59155.15</v>
      </c>
      <c r="F28" s="2">
        <v>74783.710000000006</v>
      </c>
      <c r="G28" s="2">
        <v>47178.37</v>
      </c>
      <c r="H28" s="2">
        <v>27216.67</v>
      </c>
      <c r="I28" s="2">
        <v>50834.35</v>
      </c>
      <c r="J28" s="2">
        <v>24218.06</v>
      </c>
      <c r="K28" s="2">
        <v>64608.67</v>
      </c>
      <c r="L28" s="2">
        <v>32777.33</v>
      </c>
      <c r="M28" s="2">
        <v>100520.7</v>
      </c>
      <c r="N28" s="2">
        <v>43286.46</v>
      </c>
      <c r="O28" s="2"/>
      <c r="P28" s="2">
        <f>SUM(C28:O28)</f>
        <v>630488.1399999999</v>
      </c>
    </row>
    <row r="29" spans="1:16" x14ac:dyDescent="0.2">
      <c r="A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6" ht="13.5" thickBot="1" x14ac:dyDescent="0.25">
      <c r="A30" t="s">
        <v>27</v>
      </c>
      <c r="C30" s="7">
        <f t="shared" ref="C30:P30" si="1">SUM(C22:C29)</f>
        <v>-178491.15</v>
      </c>
      <c r="D30" s="7">
        <f t="shared" si="1"/>
        <v>-172039.12</v>
      </c>
      <c r="E30" s="7">
        <f t="shared" si="1"/>
        <v>-169693.33</v>
      </c>
      <c r="F30" s="7">
        <f t="shared" si="1"/>
        <v>-148242.96000000002</v>
      </c>
      <c r="G30" s="7">
        <f t="shared" si="1"/>
        <v>-154397.93000000002</v>
      </c>
      <c r="H30" s="7">
        <f t="shared" si="1"/>
        <v>-180514.60000000003</v>
      </c>
      <c r="I30" s="7">
        <f t="shared" si="1"/>
        <v>-183013.59000000003</v>
      </c>
      <c r="J30" s="7">
        <f t="shared" si="1"/>
        <v>-195066.42</v>
      </c>
      <c r="K30" s="7">
        <f t="shared" si="1"/>
        <v>-269103.26</v>
      </c>
      <c r="L30" s="7">
        <f t="shared" si="1"/>
        <v>-289659.26999999996</v>
      </c>
      <c r="M30" s="7">
        <f t="shared" si="1"/>
        <v>-242471.90999999992</v>
      </c>
      <c r="N30" s="7">
        <f t="shared" si="1"/>
        <v>-252518.74999999991</v>
      </c>
      <c r="O30" s="2"/>
      <c r="P30" s="7">
        <f t="shared" si="1"/>
        <v>-77761.620000000228</v>
      </c>
    </row>
    <row r="31" spans="1:16" ht="13.5" thickTop="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t="str">
        <f ca="1">CELL("filename")</f>
        <v>C:\Users\ISAAC.MYHRUM\AppData\Local\Microsoft\Windows\INetCache\Content.Outlook\HMSW6VJP\[47WA.2429.02 WA Low Income 2021 (004).xlsx]WA 2020-21 Plan Year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" x14ac:dyDescent="0.35">
      <c r="C36" s="2"/>
      <c r="D36" s="2"/>
      <c r="E36" s="2"/>
      <c r="F36" s="2"/>
      <c r="G36" s="11" t="s">
        <v>34</v>
      </c>
      <c r="H36" s="12"/>
      <c r="I36" s="2"/>
      <c r="J36" s="2"/>
      <c r="K36" s="2"/>
      <c r="L36" s="2"/>
      <c r="M36" s="2"/>
      <c r="N36" s="2"/>
      <c r="O36" s="2"/>
    </row>
    <row r="37" spans="1:15" x14ac:dyDescent="0.2">
      <c r="C37" s="2"/>
      <c r="D37" s="2"/>
      <c r="E37" s="2"/>
      <c r="F37" s="2"/>
      <c r="G37" s="13" t="s">
        <v>35</v>
      </c>
      <c r="H37" s="14"/>
      <c r="I37" s="2"/>
      <c r="J37" s="2"/>
      <c r="K37" s="2"/>
      <c r="L37" s="2"/>
      <c r="M37" s="2"/>
      <c r="N37" s="2"/>
      <c r="O37" s="2"/>
    </row>
    <row r="38" spans="1:15" x14ac:dyDescent="0.2">
      <c r="C38" s="2"/>
      <c r="D38" s="2"/>
      <c r="E38" s="2"/>
      <c r="F38" s="2"/>
      <c r="G38" s="13" t="s">
        <v>36</v>
      </c>
      <c r="H38" s="15" t="s">
        <v>39</v>
      </c>
      <c r="I38" s="2"/>
      <c r="J38" s="2"/>
      <c r="K38" s="2"/>
      <c r="L38" s="2"/>
      <c r="M38" s="2"/>
      <c r="N38" s="2"/>
      <c r="O38" s="2"/>
    </row>
    <row r="39" spans="1:15" x14ac:dyDescent="0.2">
      <c r="C39" s="2"/>
      <c r="D39" s="2"/>
      <c r="E39" s="2"/>
      <c r="F39" s="2"/>
      <c r="G39" s="13" t="s">
        <v>37</v>
      </c>
      <c r="H39" s="14"/>
      <c r="I39" s="2"/>
      <c r="J39" s="2"/>
      <c r="K39" s="2"/>
      <c r="L39" s="2"/>
      <c r="M39" s="2"/>
      <c r="N39" s="2"/>
      <c r="O39" s="2"/>
    </row>
    <row r="40" spans="1:15" x14ac:dyDescent="0.2">
      <c r="C40" s="2"/>
      <c r="D40" s="2"/>
      <c r="E40" s="2"/>
      <c r="F40" s="2"/>
      <c r="G40" s="16" t="s">
        <v>38</v>
      </c>
      <c r="H40" s="17"/>
      <c r="I40" s="2"/>
      <c r="J40" s="2"/>
      <c r="K40" s="2"/>
      <c r="L40" s="2"/>
      <c r="M40" s="2"/>
      <c r="N40" s="2"/>
      <c r="O40" s="2"/>
    </row>
    <row r="41" spans="1:15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</sheetData>
  <phoneticPr fontId="0" type="noConversion"/>
  <pageMargins left="0.75" right="0.75" top="1" bottom="1" header="0.5" footer="0.5"/>
  <pageSetup paperSize="5" scale="78" orientation="landscape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3"/>
  <sheetViews>
    <sheetView zoomScaleNormal="100" workbookViewId="0">
      <selection activeCell="A29" sqref="A29"/>
    </sheetView>
  </sheetViews>
  <sheetFormatPr defaultRowHeight="12.75" x14ac:dyDescent="0.2"/>
  <cols>
    <col min="1" max="1" width="26.7109375" customWidth="1"/>
    <col min="2" max="2" width="2.28515625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1.5703125" customWidth="1"/>
    <col min="11" max="12" width="12" customWidth="1"/>
    <col min="13" max="13" width="12.85546875" customWidth="1"/>
    <col min="14" max="14" width="12.28515625" customWidth="1"/>
    <col min="15" max="15" width="2" customWidth="1"/>
    <col min="16" max="16" width="11.85546875" bestFit="1" customWidth="1"/>
  </cols>
  <sheetData>
    <row r="1" spans="1:7" x14ac:dyDescent="0.2">
      <c r="A1" s="1" t="s">
        <v>29</v>
      </c>
    </row>
    <row r="3" spans="1:7" x14ac:dyDescent="0.2">
      <c r="A3" t="s">
        <v>28</v>
      </c>
    </row>
    <row r="4" spans="1:7" x14ac:dyDescent="0.2">
      <c r="A4" t="s">
        <v>0</v>
      </c>
    </row>
    <row r="6" spans="1:7" x14ac:dyDescent="0.2">
      <c r="A6" t="s">
        <v>1</v>
      </c>
    </row>
    <row r="7" spans="1:7" x14ac:dyDescent="0.2">
      <c r="A7" t="s">
        <v>2</v>
      </c>
    </row>
    <row r="8" spans="1:7" x14ac:dyDescent="0.2">
      <c r="A8" t="s">
        <v>3</v>
      </c>
    </row>
    <row r="9" spans="1:7" x14ac:dyDescent="0.2">
      <c r="A9" t="s">
        <v>4</v>
      </c>
    </row>
    <row r="10" spans="1:7" x14ac:dyDescent="0.2">
      <c r="A10" t="s">
        <v>5</v>
      </c>
    </row>
    <row r="11" spans="1:7" x14ac:dyDescent="0.2">
      <c r="A11" t="s">
        <v>6</v>
      </c>
    </row>
    <row r="13" spans="1:7" x14ac:dyDescent="0.2">
      <c r="A13" t="s">
        <v>7</v>
      </c>
    </row>
    <row r="15" spans="1:7" x14ac:dyDescent="0.2">
      <c r="A15" t="s">
        <v>8</v>
      </c>
      <c r="D15" t="s">
        <v>10</v>
      </c>
      <c r="F15" s="2">
        <f>800000/12</f>
        <v>66666.666666666672</v>
      </c>
      <c r="G15" s="2"/>
    </row>
    <row r="16" spans="1:7" x14ac:dyDescent="0.2">
      <c r="A16" t="s">
        <v>9</v>
      </c>
      <c r="D16" t="s">
        <v>11</v>
      </c>
      <c r="F16" s="2"/>
      <c r="G16" s="2">
        <f>-800000/12</f>
        <v>-66666.666666666672</v>
      </c>
    </row>
    <row r="17" spans="1:16" x14ac:dyDescent="0.2">
      <c r="E17" s="2"/>
      <c r="F17" s="2"/>
      <c r="G17" s="2"/>
    </row>
    <row r="18" spans="1:16" x14ac:dyDescent="0.2">
      <c r="A18" t="s">
        <v>12</v>
      </c>
      <c r="E18" s="2"/>
      <c r="F18" s="2"/>
      <c r="G18" s="2"/>
    </row>
    <row r="19" spans="1:16" x14ac:dyDescent="0.2">
      <c r="A19" t="s">
        <v>13</v>
      </c>
    </row>
    <row r="21" spans="1:16" x14ac:dyDescent="0.2">
      <c r="C21" s="3" t="s">
        <v>14</v>
      </c>
      <c r="D21" s="3" t="s">
        <v>15</v>
      </c>
      <c r="E21" s="4" t="s">
        <v>16</v>
      </c>
      <c r="F21" s="4" t="s">
        <v>17</v>
      </c>
      <c r="G21" s="4" t="s">
        <v>18</v>
      </c>
      <c r="H21" s="4" t="s">
        <v>19</v>
      </c>
      <c r="I21" s="5" t="s">
        <v>20</v>
      </c>
      <c r="J21" s="5" t="s">
        <v>21</v>
      </c>
      <c r="K21" s="5" t="s">
        <v>22</v>
      </c>
      <c r="L21" s="5" t="s">
        <v>30</v>
      </c>
      <c r="M21" s="5" t="s">
        <v>31</v>
      </c>
      <c r="N21" s="5" t="s">
        <v>32</v>
      </c>
    </row>
    <row r="22" spans="1:16" x14ac:dyDescent="0.2">
      <c r="A22" t="s">
        <v>23</v>
      </c>
      <c r="C22" s="2">
        <v>0</v>
      </c>
      <c r="D22" s="2">
        <f t="shared" ref="D22:K22" si="0">C30</f>
        <v>-27957.02</v>
      </c>
      <c r="E22" s="2">
        <f t="shared" si="0"/>
        <v>-94623.69</v>
      </c>
      <c r="F22" s="2">
        <f t="shared" si="0"/>
        <v>-151374.22999999998</v>
      </c>
      <c r="G22" s="2">
        <f t="shared" si="0"/>
        <v>-187336.01999999996</v>
      </c>
      <c r="H22" s="2">
        <f t="shared" si="0"/>
        <v>-180131.85999999993</v>
      </c>
      <c r="I22" s="2">
        <f t="shared" si="0"/>
        <v>-152768.8599999999</v>
      </c>
      <c r="J22" s="2">
        <f t="shared" si="0"/>
        <v>-149668.4199999999</v>
      </c>
      <c r="K22" s="2">
        <f t="shared" si="0"/>
        <v>-227451.34999999989</v>
      </c>
      <c r="L22" s="2">
        <f>K30</f>
        <v>-244996.65999999992</v>
      </c>
      <c r="M22" s="2">
        <f>L30</f>
        <v>-189203.29999999987</v>
      </c>
      <c r="N22" s="2">
        <f>M30</f>
        <v>-171970.27999999985</v>
      </c>
      <c r="O22" s="2"/>
    </row>
    <row r="23" spans="1:16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ht="25.5" x14ac:dyDescent="0.2">
      <c r="A24" s="6" t="s">
        <v>24</v>
      </c>
      <c r="C24" s="2">
        <v>-27957.02</v>
      </c>
      <c r="D24" s="2">
        <v>-66666.67</v>
      </c>
      <c r="E24" s="2">
        <v>-66666.67</v>
      </c>
      <c r="F24" s="2">
        <v>-66666.67</v>
      </c>
      <c r="G24" s="2">
        <v>-66666.67</v>
      </c>
      <c r="H24" s="2">
        <v>-66666.67</v>
      </c>
      <c r="I24" s="2">
        <v>-66666.67</v>
      </c>
      <c r="J24" s="2">
        <f>-66666.67-99165.41</f>
        <v>-165832.08000000002</v>
      </c>
      <c r="K24" s="2">
        <v>-66666.67</v>
      </c>
      <c r="L24" s="2">
        <v>-66666.67</v>
      </c>
      <c r="M24" s="2">
        <v>-66666.67</v>
      </c>
      <c r="N24" s="2">
        <v>-66666.67</v>
      </c>
      <c r="O24" s="2"/>
      <c r="P24" s="2">
        <f>SUM(C24:O24)</f>
        <v>-860455.8</v>
      </c>
    </row>
    <row r="25" spans="1:16" x14ac:dyDescent="0.2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 x14ac:dyDescent="0.2">
      <c r="A26" t="s">
        <v>25</v>
      </c>
      <c r="C26" s="2"/>
      <c r="D26" s="2"/>
      <c r="E26" s="2">
        <v>9916.1299999999992</v>
      </c>
      <c r="F26" s="2">
        <f>26050.94+1768.94</f>
        <v>27819.879999999997</v>
      </c>
      <c r="G26" s="2">
        <v>19868.830000000002</v>
      </c>
      <c r="H26" s="2">
        <v>13034.67</v>
      </c>
      <c r="I26" s="2">
        <f>13034.67-248.28+1150</f>
        <v>13936.39</v>
      </c>
      <c r="J26" s="2">
        <f>13034.67+19601.02</f>
        <v>32635.690000000002</v>
      </c>
      <c r="K26" s="2">
        <v>13034.67</v>
      </c>
      <c r="L26" s="2">
        <v>11220.46</v>
      </c>
      <c r="M26" s="2">
        <v>16320.5</v>
      </c>
      <c r="N26" s="2">
        <v>13660.21</v>
      </c>
      <c r="O26" s="2"/>
      <c r="P26" s="2">
        <f>SUM(C26:O26)</f>
        <v>171447.43</v>
      </c>
    </row>
    <row r="27" spans="1:16" x14ac:dyDescent="0.2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ht="38.25" x14ac:dyDescent="0.2">
      <c r="A28" s="6" t="s">
        <v>26</v>
      </c>
      <c r="C28" s="2"/>
      <c r="D28" s="2"/>
      <c r="E28" s="2"/>
      <c r="F28" s="2">
        <v>2885</v>
      </c>
      <c r="G28" s="2">
        <v>54002</v>
      </c>
      <c r="H28" s="2">
        <f>75227+5768</f>
        <v>80995</v>
      </c>
      <c r="I28" s="2">
        <v>55830.720000000001</v>
      </c>
      <c r="J28" s="2">
        <v>55413.46</v>
      </c>
      <c r="K28" s="2">
        <v>36086.69</v>
      </c>
      <c r="L28" s="2">
        <v>111239.57</v>
      </c>
      <c r="M28" s="2">
        <v>67579.19</v>
      </c>
      <c r="N28" s="2">
        <v>50219.61</v>
      </c>
      <c r="O28" s="2"/>
      <c r="P28" s="2">
        <f>SUM(C28:O28)</f>
        <v>514251.24</v>
      </c>
    </row>
    <row r="29" spans="1:16" x14ac:dyDescent="0.2">
      <c r="A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6" ht="13.5" thickBot="1" x14ac:dyDescent="0.25">
      <c r="A30" t="s">
        <v>27</v>
      </c>
      <c r="C30" s="7">
        <f t="shared" ref="C30:K30" si="1">SUM(C22:C29)</f>
        <v>-27957.02</v>
      </c>
      <c r="D30" s="7">
        <f t="shared" si="1"/>
        <v>-94623.69</v>
      </c>
      <c r="E30" s="7">
        <f t="shared" si="1"/>
        <v>-151374.22999999998</v>
      </c>
      <c r="F30" s="7">
        <f t="shared" si="1"/>
        <v>-187336.01999999996</v>
      </c>
      <c r="G30" s="7">
        <f t="shared" si="1"/>
        <v>-180131.85999999993</v>
      </c>
      <c r="H30" s="7">
        <f t="shared" si="1"/>
        <v>-152768.8599999999</v>
      </c>
      <c r="I30" s="7">
        <f t="shared" si="1"/>
        <v>-149668.4199999999</v>
      </c>
      <c r="J30" s="7">
        <f t="shared" si="1"/>
        <v>-227451.34999999989</v>
      </c>
      <c r="K30" s="7">
        <f t="shared" si="1"/>
        <v>-244996.65999999992</v>
      </c>
      <c r="L30" s="7">
        <f>SUM(L22:L29)</f>
        <v>-189203.29999999987</v>
      </c>
      <c r="M30" s="7">
        <f>SUM(M22:M29)</f>
        <v>-171970.27999999985</v>
      </c>
      <c r="N30" s="7">
        <f>SUM(N22:N29)</f>
        <v>-174757.12999999983</v>
      </c>
      <c r="O30" s="2"/>
      <c r="P30" s="7">
        <f>SUM(P22:P29)</f>
        <v>-174757.13000000012</v>
      </c>
    </row>
    <row r="31" spans="1:16" ht="13.5" thickTop="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3:15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3:15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3:15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3:15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3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3:15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3:15" x14ac:dyDescent="0.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3:15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3:15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3:15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3:15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</sheetData>
  <phoneticPr fontId="0" type="noConversion"/>
  <pageMargins left="0.75" right="0.75" top="1" bottom="1" header="0.5" footer="0.5"/>
  <pageSetup paperSize="5" scale="79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3"/>
  <sheetViews>
    <sheetView zoomScale="85" zoomScaleNormal="85" workbookViewId="0">
      <selection activeCell="A2" sqref="A2"/>
    </sheetView>
  </sheetViews>
  <sheetFormatPr defaultRowHeight="12.75" x14ac:dyDescent="0.2"/>
  <cols>
    <col min="1" max="1" width="30.42578125" customWidth="1"/>
    <col min="2" max="2" width="3" customWidth="1"/>
    <col min="3" max="3" width="15.28515625" customWidth="1"/>
    <col min="4" max="4" width="16.140625" customWidth="1"/>
    <col min="5" max="5" width="15.1406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1.5703125" customWidth="1"/>
    <col min="11" max="12" width="12" customWidth="1"/>
    <col min="13" max="13" width="12.85546875" customWidth="1"/>
    <col min="14" max="14" width="12.28515625" customWidth="1"/>
    <col min="15" max="15" width="11.85546875" bestFit="1" customWidth="1"/>
    <col min="16" max="16" width="11.28515625" bestFit="1" customWidth="1"/>
  </cols>
  <sheetData>
    <row r="1" spans="1:8" ht="18" x14ac:dyDescent="0.25">
      <c r="A1" s="1" t="s">
        <v>54</v>
      </c>
      <c r="F1" s="10" t="s">
        <v>41</v>
      </c>
    </row>
    <row r="3" spans="1:8" x14ac:dyDescent="0.2">
      <c r="A3" t="s">
        <v>28</v>
      </c>
    </row>
    <row r="4" spans="1:8" x14ac:dyDescent="0.2">
      <c r="A4" t="s">
        <v>0</v>
      </c>
    </row>
    <row r="6" spans="1:8" x14ac:dyDescent="0.2">
      <c r="A6" t="s">
        <v>1</v>
      </c>
    </row>
    <row r="7" spans="1:8" x14ac:dyDescent="0.2">
      <c r="A7" t="s">
        <v>2</v>
      </c>
    </row>
    <row r="8" spans="1:8" x14ac:dyDescent="0.2">
      <c r="A8" t="s">
        <v>52</v>
      </c>
    </row>
    <row r="9" spans="1:8" x14ac:dyDescent="0.2">
      <c r="A9" t="s">
        <v>4</v>
      </c>
    </row>
    <row r="10" spans="1:8" x14ac:dyDescent="0.2">
      <c r="A10" t="s">
        <v>5</v>
      </c>
    </row>
    <row r="11" spans="1:8" x14ac:dyDescent="0.2">
      <c r="A11" t="s">
        <v>53</v>
      </c>
    </row>
    <row r="13" spans="1:8" x14ac:dyDescent="0.2">
      <c r="A13" t="s">
        <v>7</v>
      </c>
    </row>
    <row r="15" spans="1:8" x14ac:dyDescent="0.2">
      <c r="A15" s="19" t="s">
        <v>45</v>
      </c>
      <c r="D15" t="s">
        <v>10</v>
      </c>
      <c r="F15" s="2">
        <v>66666.67</v>
      </c>
      <c r="G15" s="2"/>
      <c r="H15" t="s">
        <v>40</v>
      </c>
    </row>
    <row r="16" spans="1:8" x14ac:dyDescent="0.2">
      <c r="A16" s="19" t="s">
        <v>46</v>
      </c>
      <c r="D16" t="s">
        <v>11</v>
      </c>
      <c r="F16" s="2"/>
      <c r="G16" s="2">
        <f>-F15</f>
        <v>-66666.67</v>
      </c>
    </row>
    <row r="17" spans="1:16" x14ac:dyDescent="0.2">
      <c r="E17" s="2"/>
      <c r="F17" s="2"/>
      <c r="G17" s="2"/>
    </row>
    <row r="18" spans="1:16" x14ac:dyDescent="0.2">
      <c r="A18" t="s">
        <v>12</v>
      </c>
      <c r="E18" s="2"/>
      <c r="F18" s="2"/>
      <c r="G18" s="2"/>
    </row>
    <row r="19" spans="1:16" x14ac:dyDescent="0.2">
      <c r="A19" t="s">
        <v>13</v>
      </c>
    </row>
    <row r="21" spans="1:16" x14ac:dyDescent="0.2">
      <c r="C21" s="8">
        <v>39814</v>
      </c>
      <c r="D21" s="8">
        <v>39845</v>
      </c>
      <c r="E21" s="8">
        <v>39873</v>
      </c>
      <c r="F21" s="8">
        <v>39904</v>
      </c>
      <c r="G21" s="8">
        <v>39934</v>
      </c>
      <c r="H21" s="8">
        <v>39965</v>
      </c>
      <c r="I21" s="8">
        <v>39995</v>
      </c>
      <c r="J21" s="8">
        <v>40026</v>
      </c>
      <c r="K21" s="8">
        <v>40057</v>
      </c>
      <c r="L21" s="8">
        <v>40087</v>
      </c>
      <c r="M21" s="8">
        <v>40118</v>
      </c>
      <c r="N21" s="8">
        <v>40148</v>
      </c>
    </row>
    <row r="22" spans="1:16" x14ac:dyDescent="0.2">
      <c r="A22" t="s">
        <v>23</v>
      </c>
      <c r="B22" s="18"/>
      <c r="C22" s="2">
        <v>-252518.75</v>
      </c>
      <c r="D22" s="2">
        <f t="shared" ref="D22:N22" si="0">C30</f>
        <v>-247908.56999999998</v>
      </c>
      <c r="E22" s="2">
        <f t="shared" si="0"/>
        <v>-236483.16999999998</v>
      </c>
      <c r="F22" s="2">
        <f t="shared" si="0"/>
        <v>-156227.4</v>
      </c>
      <c r="G22" s="2">
        <f t="shared" si="0"/>
        <v>-143612.30000000002</v>
      </c>
      <c r="H22" s="2">
        <f t="shared" si="0"/>
        <v>-180957.34000000005</v>
      </c>
      <c r="I22" s="2">
        <f t="shared" si="0"/>
        <v>-180957.34000000005</v>
      </c>
      <c r="J22" s="2">
        <f t="shared" si="0"/>
        <v>-180957.34000000005</v>
      </c>
      <c r="K22" s="2">
        <f t="shared" si="0"/>
        <v>-180957.34000000005</v>
      </c>
      <c r="L22" s="2">
        <f t="shared" si="0"/>
        <v>-180957.34000000005</v>
      </c>
      <c r="M22" s="2">
        <f t="shared" si="0"/>
        <v>-180957.34000000005</v>
      </c>
      <c r="N22" s="2">
        <f t="shared" si="0"/>
        <v>-180957.34000000005</v>
      </c>
      <c r="O22" s="2"/>
    </row>
    <row r="23" spans="1:16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x14ac:dyDescent="0.2">
      <c r="A24" s="6" t="s">
        <v>24</v>
      </c>
      <c r="C24" s="2">
        <v>-66666.67</v>
      </c>
      <c r="D24" s="2">
        <v>-66666.67</v>
      </c>
      <c r="E24" s="2">
        <v>-66666.67</v>
      </c>
      <c r="F24" s="2">
        <v>-66666.67</v>
      </c>
      <c r="G24" s="2">
        <v>-66666.67</v>
      </c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 x14ac:dyDescent="0.2">
      <c r="A26" t="s">
        <v>25</v>
      </c>
      <c r="C26" s="22">
        <v>13333.33</v>
      </c>
      <c r="D26" s="22">
        <v>13333.33</v>
      </c>
      <c r="E26" s="22">
        <v>15297.47</v>
      </c>
      <c r="F26" s="22">
        <v>13333.33</v>
      </c>
      <c r="G26" s="22">
        <v>13333.33</v>
      </c>
      <c r="H26" s="2" t="s">
        <v>51</v>
      </c>
      <c r="I26" s="2"/>
      <c r="J26" s="2"/>
      <c r="K26" s="2"/>
      <c r="L26" s="2"/>
      <c r="M26" s="2"/>
      <c r="N26" s="2"/>
      <c r="O26" s="2"/>
    </row>
    <row r="27" spans="1:16" x14ac:dyDescent="0.2">
      <c r="C27" s="22"/>
      <c r="D27" s="22"/>
      <c r="E27" s="22"/>
      <c r="F27" s="22"/>
      <c r="G27" s="22"/>
      <c r="H27" s="2"/>
      <c r="I27" s="2"/>
      <c r="J27" s="2"/>
      <c r="K27" s="2"/>
      <c r="L27" s="2"/>
      <c r="M27" s="2"/>
      <c r="N27" s="2"/>
      <c r="O27" s="2"/>
    </row>
    <row r="28" spans="1:16" ht="29.25" customHeight="1" x14ac:dyDescent="0.2">
      <c r="A28" s="6" t="s">
        <v>26</v>
      </c>
      <c r="C28" s="22">
        <v>57943.519999999997</v>
      </c>
      <c r="D28" s="22">
        <v>64758.74</v>
      </c>
      <c r="E28" s="22">
        <v>131624.97</v>
      </c>
      <c r="F28" s="22">
        <v>65948.44</v>
      </c>
      <c r="G28" s="22">
        <v>15988.3</v>
      </c>
      <c r="H28" s="2"/>
      <c r="I28" s="2"/>
      <c r="J28" s="2"/>
      <c r="K28" s="2"/>
      <c r="L28" s="2"/>
      <c r="M28" s="2"/>
      <c r="N28" s="2"/>
      <c r="O28" s="2"/>
    </row>
    <row r="29" spans="1:16" x14ac:dyDescent="0.2">
      <c r="A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6" ht="13.5" thickBot="1" x14ac:dyDescent="0.25">
      <c r="A30" t="s">
        <v>27</v>
      </c>
      <c r="C30" s="7">
        <f t="shared" ref="C30:N30" si="1">SUM(C22:C29)</f>
        <v>-247908.56999999998</v>
      </c>
      <c r="D30" s="7">
        <f t="shared" si="1"/>
        <v>-236483.16999999998</v>
      </c>
      <c r="E30" s="7">
        <f t="shared" si="1"/>
        <v>-156227.4</v>
      </c>
      <c r="F30" s="7">
        <f t="shared" si="1"/>
        <v>-143612.30000000002</v>
      </c>
      <c r="G30" s="7">
        <f t="shared" si="1"/>
        <v>-180957.34000000005</v>
      </c>
      <c r="H30" s="7">
        <f t="shared" si="1"/>
        <v>-180957.34000000005</v>
      </c>
      <c r="I30" s="7">
        <f t="shared" si="1"/>
        <v>-180957.34000000005</v>
      </c>
      <c r="J30" s="7">
        <f t="shared" si="1"/>
        <v>-180957.34000000005</v>
      </c>
      <c r="K30" s="7">
        <f t="shared" si="1"/>
        <v>-180957.34000000005</v>
      </c>
      <c r="L30" s="7">
        <f t="shared" si="1"/>
        <v>-180957.34000000005</v>
      </c>
      <c r="M30" s="7">
        <f t="shared" si="1"/>
        <v>-180957.34000000005</v>
      </c>
      <c r="N30" s="7">
        <f t="shared" si="1"/>
        <v>-180957.34000000005</v>
      </c>
      <c r="O30" s="2"/>
    </row>
    <row r="31" spans="1:16" ht="13.5" thickTop="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C33" s="8">
        <v>39630</v>
      </c>
      <c r="D33" s="8">
        <v>39661</v>
      </c>
      <c r="E33" s="8">
        <v>39692</v>
      </c>
      <c r="F33" s="8">
        <v>39722</v>
      </c>
      <c r="G33" s="8">
        <v>39753</v>
      </c>
      <c r="H33" s="8">
        <v>39783</v>
      </c>
      <c r="I33" s="2"/>
      <c r="J33" s="2"/>
      <c r="K33" s="2"/>
      <c r="L33" s="2"/>
      <c r="M33" s="2"/>
      <c r="N33" s="2"/>
      <c r="O33" s="2"/>
    </row>
    <row r="34" spans="1:15" x14ac:dyDescent="0.2">
      <c r="C34" s="2">
        <f t="shared" ref="C34:H34" si="2">B42</f>
        <v>0</v>
      </c>
      <c r="D34" s="2">
        <f t="shared" si="2"/>
        <v>-2498.989999999998</v>
      </c>
      <c r="E34" s="2">
        <f t="shared" si="2"/>
        <v>-14551.820000000003</v>
      </c>
      <c r="F34" s="2">
        <f t="shared" si="2"/>
        <v>-88588.660000000018</v>
      </c>
      <c r="G34" s="2">
        <f t="shared" si="2"/>
        <v>-109144.67000000003</v>
      </c>
      <c r="H34" s="2">
        <f t="shared" si="2"/>
        <v>-61957.310000000041</v>
      </c>
      <c r="I34" s="2"/>
      <c r="J34" s="2"/>
      <c r="K34" s="2"/>
      <c r="L34" s="2"/>
      <c r="M34" s="2"/>
      <c r="N34" s="2"/>
      <c r="O34" s="2"/>
    </row>
    <row r="35" spans="1:15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">
      <c r="C36" s="2">
        <v>-66666.67</v>
      </c>
      <c r="D36" s="2">
        <v>-66666.67</v>
      </c>
      <c r="E36" s="2">
        <f>-85312.17-66666.67</f>
        <v>-151978.84</v>
      </c>
      <c r="F36" s="2">
        <v>-66666.67</v>
      </c>
      <c r="G36" s="2">
        <v>-66666.67</v>
      </c>
      <c r="H36" s="2">
        <v>-66666.63</v>
      </c>
      <c r="I36" s="2"/>
      <c r="J36" s="2"/>
      <c r="K36" s="2"/>
      <c r="L36" s="2"/>
      <c r="M36" s="2"/>
      <c r="N36" s="2"/>
      <c r="O36" s="2"/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t="s">
        <v>25</v>
      </c>
      <c r="C38" s="22">
        <v>13333.33</v>
      </c>
      <c r="D38" s="22">
        <v>30395.78</v>
      </c>
      <c r="E38" s="22">
        <v>13333.33</v>
      </c>
      <c r="F38" s="22">
        <v>13333.33</v>
      </c>
      <c r="G38" s="22">
        <v>13333.33</v>
      </c>
      <c r="H38" s="22">
        <v>13333.33</v>
      </c>
      <c r="I38" s="2"/>
      <c r="J38" s="2"/>
      <c r="K38" s="2"/>
      <c r="L38" s="2"/>
      <c r="M38" s="2"/>
      <c r="N38" s="2"/>
      <c r="O38" s="2"/>
    </row>
    <row r="39" spans="1:15" x14ac:dyDescent="0.2">
      <c r="C39" s="22"/>
      <c r="D39" s="22"/>
      <c r="E39" s="22"/>
      <c r="F39" s="22"/>
      <c r="G39" s="22"/>
      <c r="H39" s="22"/>
      <c r="I39" s="2"/>
      <c r="J39" s="2"/>
      <c r="K39" s="2"/>
      <c r="L39" s="2"/>
      <c r="M39" s="2"/>
      <c r="N39" s="2"/>
      <c r="O39" s="2"/>
    </row>
    <row r="40" spans="1:15" ht="25.5" x14ac:dyDescent="0.2">
      <c r="A40" s="6" t="s">
        <v>26</v>
      </c>
      <c r="C40" s="22">
        <v>50834.35</v>
      </c>
      <c r="D40" s="22">
        <v>24218.06</v>
      </c>
      <c r="E40" s="22">
        <v>64608.67</v>
      </c>
      <c r="F40" s="22">
        <v>32777.33</v>
      </c>
      <c r="G40" s="22">
        <v>100520.7</v>
      </c>
      <c r="H40" s="22">
        <v>43286.46</v>
      </c>
      <c r="I40" s="2"/>
      <c r="J40" s="2"/>
      <c r="K40" s="2"/>
      <c r="L40" s="2"/>
      <c r="M40" s="2"/>
      <c r="N40" s="2"/>
      <c r="O40" s="2"/>
    </row>
    <row r="41" spans="1:15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3.5" thickBot="1" x14ac:dyDescent="0.25">
      <c r="C42" s="7">
        <f t="shared" ref="C42:H42" si="3">SUM(C34:C41)</f>
        <v>-2498.989999999998</v>
      </c>
      <c r="D42" s="7">
        <f t="shared" si="3"/>
        <v>-14551.820000000003</v>
      </c>
      <c r="E42" s="7">
        <f t="shared" si="3"/>
        <v>-88588.660000000018</v>
      </c>
      <c r="F42" s="7">
        <f t="shared" si="3"/>
        <v>-109144.67000000003</v>
      </c>
      <c r="G42" s="7">
        <f t="shared" si="3"/>
        <v>-61957.310000000041</v>
      </c>
      <c r="H42" s="7">
        <f t="shared" si="3"/>
        <v>-72004.150000000052</v>
      </c>
      <c r="I42" s="2"/>
      <c r="J42" s="2"/>
      <c r="K42" s="2"/>
      <c r="L42" s="2"/>
      <c r="M42" s="2"/>
      <c r="N42" s="2"/>
      <c r="O42" s="2"/>
    </row>
    <row r="43" spans="1:15" ht="13.5" thickTop="1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C44" s="2"/>
      <c r="D44" s="2"/>
      <c r="E44" s="2"/>
      <c r="F44" s="2"/>
      <c r="G44" s="2"/>
      <c r="H44" s="2"/>
    </row>
    <row r="45" spans="1:15" x14ac:dyDescent="0.2">
      <c r="C45" s="2"/>
      <c r="D45" s="24" t="s">
        <v>47</v>
      </c>
      <c r="F45" s="2">
        <f>SUM(C38:H40)</f>
        <v>413308.00000000006</v>
      </c>
      <c r="G45" s="2"/>
      <c r="H45" s="2"/>
    </row>
    <row r="46" spans="1:15" ht="15" x14ac:dyDescent="0.35">
      <c r="C46" s="2"/>
      <c r="D46" s="24" t="s">
        <v>48</v>
      </c>
      <c r="F46" s="23">
        <f>SUM(C26:G28)</f>
        <v>404894.76</v>
      </c>
      <c r="G46" s="20"/>
      <c r="H46" s="2"/>
    </row>
    <row r="47" spans="1:15" x14ac:dyDescent="0.2">
      <c r="C47" s="2"/>
      <c r="D47" s="2"/>
      <c r="F47" s="2">
        <f>SUM(F45:F46)</f>
        <v>818202.76</v>
      </c>
      <c r="G47" s="2"/>
      <c r="H47" s="2"/>
    </row>
    <row r="48" spans="1:15" x14ac:dyDescent="0.2">
      <c r="C48" s="2" t="s">
        <v>49</v>
      </c>
      <c r="F48" s="2">
        <v>30000</v>
      </c>
      <c r="G48" s="2"/>
      <c r="H48" s="21"/>
    </row>
    <row r="49" spans="3:8" x14ac:dyDescent="0.2">
      <c r="C49" s="2"/>
      <c r="G49" s="2"/>
      <c r="H49" s="21"/>
    </row>
    <row r="50" spans="3:8" ht="13.5" thickBot="1" x14ac:dyDescent="0.25">
      <c r="C50" s="2" t="s">
        <v>50</v>
      </c>
      <c r="D50" s="2"/>
      <c r="F50" s="7">
        <f>SUM(F47:F49)</f>
        <v>848202.76</v>
      </c>
      <c r="G50" s="2"/>
      <c r="H50" s="2"/>
    </row>
    <row r="51" spans="3:8" ht="13.5" thickTop="1" x14ac:dyDescent="0.2">
      <c r="C51" s="2"/>
      <c r="D51" s="2"/>
      <c r="E51" s="2"/>
      <c r="F51" s="2"/>
      <c r="G51" s="2"/>
      <c r="H51" s="2"/>
    </row>
    <row r="52" spans="3:8" x14ac:dyDescent="0.2">
      <c r="C52" s="2"/>
      <c r="D52" s="2"/>
      <c r="E52" s="2"/>
      <c r="F52" s="2"/>
      <c r="G52" s="2"/>
      <c r="H52" s="2"/>
    </row>
    <row r="53" spans="3:8" x14ac:dyDescent="0.2">
      <c r="C53" s="2"/>
      <c r="D53" s="2"/>
      <c r="E53" s="2"/>
      <c r="F53" s="2"/>
      <c r="G53" s="2"/>
      <c r="H53" s="2"/>
    </row>
  </sheetData>
  <phoneticPr fontId="0" type="noConversion"/>
  <pageMargins left="0.25" right="0.25" top="0.25" bottom="0.25" header="0" footer="0"/>
  <pageSetup paperSize="5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50"/>
  <sheetViews>
    <sheetView showGridLines="0" topLeftCell="A10" zoomScaleNormal="100" workbookViewId="0">
      <selection activeCell="F24" sqref="F24"/>
    </sheetView>
  </sheetViews>
  <sheetFormatPr defaultRowHeight="12.75" x14ac:dyDescent="0.2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6" width="17.28515625" customWidth="1"/>
    <col min="7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 x14ac:dyDescent="0.25">
      <c r="B1" s="87"/>
      <c r="C1" s="87"/>
      <c r="D1" s="87"/>
    </row>
    <row r="2" spans="2:17" ht="20.25" customHeight="1" thickTop="1" thickBot="1" x14ac:dyDescent="0.3">
      <c r="B2" s="88" t="s">
        <v>65</v>
      </c>
      <c r="C2" s="139" t="s">
        <v>83</v>
      </c>
      <c r="D2" s="139"/>
      <c r="E2" s="140" t="s">
        <v>99</v>
      </c>
      <c r="F2" s="140"/>
      <c r="G2" s="140"/>
      <c r="H2" s="140"/>
      <c r="I2" s="140"/>
      <c r="J2" s="140"/>
      <c r="K2" s="140"/>
      <c r="L2" s="140"/>
      <c r="M2" s="140"/>
    </row>
    <row r="3" spans="2:17" ht="20.25" customHeight="1" thickTop="1" thickBot="1" x14ac:dyDescent="0.3">
      <c r="B3" s="89" t="s">
        <v>57</v>
      </c>
      <c r="C3" s="141">
        <v>44111</v>
      </c>
      <c r="D3" s="141"/>
      <c r="E3" s="140"/>
      <c r="F3" s="140"/>
      <c r="G3" s="140"/>
      <c r="H3" s="140"/>
      <c r="I3" s="140"/>
      <c r="J3" s="140"/>
      <c r="K3" s="140"/>
      <c r="L3" s="140"/>
      <c r="M3" s="140"/>
    </row>
    <row r="4" spans="2:17" ht="7.5" customHeight="1" thickTop="1" x14ac:dyDescent="0.2">
      <c r="B4" s="86"/>
    </row>
    <row r="5" spans="2:17" ht="20.25" customHeight="1" x14ac:dyDescent="0.3">
      <c r="B5" s="83" t="s">
        <v>126</v>
      </c>
      <c r="C5" s="61"/>
      <c r="D5" s="61"/>
      <c r="F5" s="61"/>
      <c r="G5" s="61"/>
      <c r="H5" s="61"/>
      <c r="I5" s="61"/>
      <c r="J5" s="61"/>
      <c r="K5" s="61"/>
      <c r="L5" s="61"/>
      <c r="M5" s="61"/>
      <c r="N5" s="61"/>
      <c r="O5" s="61"/>
      <c r="Q5" s="61"/>
    </row>
    <row r="6" spans="2:17" ht="18" x14ac:dyDescent="0.25">
      <c r="B6" s="61" t="s">
        <v>69</v>
      </c>
    </row>
    <row r="7" spans="2:17" ht="14.25" x14ac:dyDescent="0.2">
      <c r="B7" s="29" t="s">
        <v>117</v>
      </c>
    </row>
    <row r="8" spans="2:17" ht="14.25" x14ac:dyDescent="0.2">
      <c r="B8" s="29" t="s">
        <v>100</v>
      </c>
    </row>
    <row r="9" spans="2:17" ht="14.25" x14ac:dyDescent="0.2">
      <c r="B9" s="29" t="s">
        <v>104</v>
      </c>
    </row>
    <row r="10" spans="2:17" ht="14.25" x14ac:dyDescent="0.2">
      <c r="B10" s="29"/>
    </row>
    <row r="11" spans="2:17" ht="14.25" x14ac:dyDescent="0.2">
      <c r="B11" s="29" t="s">
        <v>101</v>
      </c>
    </row>
    <row r="12" spans="2:17" ht="15" x14ac:dyDescent="0.25">
      <c r="B12" s="29" t="s">
        <v>66</v>
      </c>
    </row>
    <row r="13" spans="2:17" ht="14.25" x14ac:dyDescent="0.2">
      <c r="B13" s="29" t="s">
        <v>103</v>
      </c>
    </row>
    <row r="14" spans="2:17" ht="15" x14ac:dyDescent="0.25">
      <c r="B14" s="29" t="s">
        <v>67</v>
      </c>
    </row>
    <row r="15" spans="2:17" ht="14.25" x14ac:dyDescent="0.2">
      <c r="B15" s="29" t="s">
        <v>73</v>
      </c>
    </row>
    <row r="16" spans="2:17" ht="14.25" x14ac:dyDescent="0.2">
      <c r="B16" s="29" t="s">
        <v>105</v>
      </c>
    </row>
    <row r="17" spans="2:18" ht="15" customHeight="1" x14ac:dyDescent="0.25">
      <c r="B17" s="29" t="s">
        <v>108</v>
      </c>
    </row>
    <row r="18" spans="2:18" ht="14.25" x14ac:dyDescent="0.2">
      <c r="B18" s="29" t="s">
        <v>106</v>
      </c>
    </row>
    <row r="19" spans="2:18" ht="14.25" x14ac:dyDescent="0.2">
      <c r="B19" s="29" t="s">
        <v>102</v>
      </c>
    </row>
    <row r="20" spans="2:18" ht="15.75" x14ac:dyDescent="0.25">
      <c r="B20" s="94"/>
      <c r="C20" s="142"/>
      <c r="D20" s="142"/>
      <c r="E20" s="142"/>
      <c r="F20" s="28"/>
      <c r="G20" s="28"/>
    </row>
    <row r="21" spans="2:18" ht="15.75" x14ac:dyDescent="0.25">
      <c r="B21" s="94"/>
      <c r="C21" s="142"/>
      <c r="D21" s="142"/>
      <c r="E21" s="142"/>
      <c r="F21" s="28"/>
      <c r="G21" s="28"/>
    </row>
    <row r="22" spans="2:18" ht="39.75" customHeight="1" x14ac:dyDescent="0.25">
      <c r="B22" s="58"/>
      <c r="C22" s="112">
        <v>43709</v>
      </c>
      <c r="D22" s="113">
        <f>C22+31</f>
        <v>43740</v>
      </c>
      <c r="E22" s="113">
        <f t="shared" ref="E22:N22" si="0">D22+30</f>
        <v>43770</v>
      </c>
      <c r="F22" s="113">
        <f t="shared" si="0"/>
        <v>43800</v>
      </c>
      <c r="G22" s="113">
        <f>F22+31</f>
        <v>43831</v>
      </c>
      <c r="H22" s="113">
        <f>G22+31</f>
        <v>43862</v>
      </c>
      <c r="I22" s="113">
        <f t="shared" si="0"/>
        <v>43892</v>
      </c>
      <c r="J22" s="113">
        <f t="shared" si="0"/>
        <v>43922</v>
      </c>
      <c r="K22" s="113">
        <f t="shared" si="0"/>
        <v>43952</v>
      </c>
      <c r="L22" s="113">
        <f>K22+31</f>
        <v>43983</v>
      </c>
      <c r="M22" s="113">
        <f>L22+31</f>
        <v>44014</v>
      </c>
      <c r="N22" s="114">
        <f t="shared" si="0"/>
        <v>44044</v>
      </c>
      <c r="O22" s="114">
        <f>N22+31</f>
        <v>44075</v>
      </c>
      <c r="Q22" s="125" t="s">
        <v>127</v>
      </c>
    </row>
    <row r="23" spans="2:18" ht="29.25" customHeight="1" x14ac:dyDescent="0.2">
      <c r="B23" s="110" t="s">
        <v>23</v>
      </c>
      <c r="C23" s="106">
        <v>-561139.03000000049</v>
      </c>
      <c r="D23" s="96">
        <f>C31</f>
        <v>-589802.21000000066</v>
      </c>
      <c r="E23" s="96">
        <f>D31</f>
        <v>-588925.17000000074</v>
      </c>
      <c r="F23" s="96">
        <f>E31</f>
        <v>-581862.54000000074</v>
      </c>
      <c r="G23" s="96">
        <f>F31</f>
        <v>-617037.1300000007</v>
      </c>
      <c r="H23" s="96">
        <f>G31</f>
        <v>-626293.7500000007</v>
      </c>
      <c r="I23" s="96">
        <f t="shared" ref="I23:J23" si="1">H31</f>
        <v>-613065.80000000063</v>
      </c>
      <c r="J23" s="96">
        <f t="shared" si="1"/>
        <v>-611766.71000000078</v>
      </c>
      <c r="K23" s="96">
        <f>J31</f>
        <v>-588188.8600000008</v>
      </c>
      <c r="L23" s="96">
        <f>K31</f>
        <v>-543747.21000000078</v>
      </c>
      <c r="M23" s="96">
        <f>L31</f>
        <v>-483497.95000000071</v>
      </c>
      <c r="N23" s="97">
        <f>M31</f>
        <v>-441589.84000000072</v>
      </c>
      <c r="O23" s="97">
        <f>N31</f>
        <v>-422693.61000000068</v>
      </c>
      <c r="P23" s="98"/>
      <c r="Q23" s="119">
        <f>+D23</f>
        <v>-589802.21000000066</v>
      </c>
    </row>
    <row r="24" spans="2:18" ht="27.75" customHeight="1" x14ac:dyDescent="0.2">
      <c r="B24" s="93" t="s">
        <v>120</v>
      </c>
      <c r="C24" s="107">
        <v>-38568.800000000003</v>
      </c>
      <c r="D24" s="99">
        <v>-57139.67</v>
      </c>
      <c r="E24" s="99">
        <f>-77838.55</f>
        <v>-77838.55</v>
      </c>
      <c r="F24" s="99">
        <v>-107660.51</v>
      </c>
      <c r="G24" s="99">
        <v>-130571.85</v>
      </c>
      <c r="H24" s="99">
        <v>-109157.47</v>
      </c>
      <c r="I24" s="99">
        <v>-107810.69</v>
      </c>
      <c r="J24" s="99">
        <v>-91600.74</v>
      </c>
      <c r="K24" s="99">
        <v>-52372.9</v>
      </c>
      <c r="L24" s="99">
        <v>-37148.47</v>
      </c>
      <c r="M24" s="99">
        <v>-32253.14</v>
      </c>
      <c r="N24" s="100">
        <v>-30629.23</v>
      </c>
      <c r="O24" s="100">
        <v>-35900.46</v>
      </c>
      <c r="P24" s="98"/>
      <c r="Q24" s="120">
        <f>SUM(D24:O24)</f>
        <v>-870083.67999999993</v>
      </c>
    </row>
    <row r="25" spans="2:18" ht="30" customHeight="1" x14ac:dyDescent="0.2">
      <c r="B25" s="95" t="s">
        <v>114</v>
      </c>
      <c r="C25" s="134">
        <v>14035.23</v>
      </c>
      <c r="D25" s="134">
        <v>69928.539999999994</v>
      </c>
      <c r="E25" s="134">
        <f>74201.63+2</f>
        <v>74203.63</v>
      </c>
      <c r="F25" s="134">
        <v>63639.57</v>
      </c>
      <c r="G25" s="134">
        <v>88784.58</v>
      </c>
      <c r="H25" s="134">
        <f>76424.49+2.05</f>
        <v>76426.540000000008</v>
      </c>
      <c r="I25" s="134">
        <v>94029.91</v>
      </c>
      <c r="J25" s="134">
        <v>28333.88</v>
      </c>
      <c r="K25" s="134">
        <v>67256.22</v>
      </c>
      <c r="L25" s="134">
        <v>71622.39</v>
      </c>
      <c r="M25" s="134">
        <v>50608.88</v>
      </c>
      <c r="N25" s="137">
        <v>39691.31</v>
      </c>
      <c r="O25" s="102">
        <v>58773.93</v>
      </c>
      <c r="P25" s="98"/>
      <c r="Q25" s="121">
        <f t="shared" ref="Q25:Q30" si="2">SUM(D25:O25)</f>
        <v>783299.38</v>
      </c>
    </row>
    <row r="26" spans="2:18" ht="29.25" customHeight="1" x14ac:dyDescent="0.2">
      <c r="B26" s="93" t="s">
        <v>115</v>
      </c>
      <c r="C26" s="107">
        <v>-36699.769999999997</v>
      </c>
      <c r="D26" s="99">
        <v>-56212.68</v>
      </c>
      <c r="E26" s="99">
        <f>-1476.45-78099.95</f>
        <v>-79576.399999999994</v>
      </c>
      <c r="F26" s="99">
        <v>-93573.71</v>
      </c>
      <c r="G26" s="99">
        <v>-79578.06</v>
      </c>
      <c r="H26" s="99">
        <v>-75508.59</v>
      </c>
      <c r="I26" s="99">
        <v>-68337.429999999993</v>
      </c>
      <c r="J26" s="99">
        <v>-37427.769999999997</v>
      </c>
      <c r="K26" s="99">
        <v>-23138.84</v>
      </c>
      <c r="L26" s="99">
        <v>-17343.5</v>
      </c>
      <c r="M26" s="99">
        <v>-19651.13</v>
      </c>
      <c r="N26" s="100">
        <v>-26686.98</v>
      </c>
      <c r="O26" s="100">
        <v>-31857.77</v>
      </c>
      <c r="P26" s="98"/>
      <c r="Q26" s="120">
        <f t="shared" si="2"/>
        <v>-608892.86</v>
      </c>
      <c r="R26" s="74"/>
    </row>
    <row r="27" spans="2:18" ht="30" customHeight="1" x14ac:dyDescent="0.2">
      <c r="B27" s="95" t="s">
        <v>116</v>
      </c>
      <c r="C27" s="108">
        <v>28209.22</v>
      </c>
      <c r="D27" s="101">
        <f>-C26</f>
        <v>36699.769999999997</v>
      </c>
      <c r="E27" s="101">
        <f t="shared" ref="E27:O27" si="3">-D26</f>
        <v>56212.68</v>
      </c>
      <c r="F27" s="101">
        <f t="shared" si="3"/>
        <v>79576.399999999994</v>
      </c>
      <c r="G27" s="101">
        <f t="shared" si="3"/>
        <v>93573.71</v>
      </c>
      <c r="H27" s="101">
        <f t="shared" si="3"/>
        <v>79578.06</v>
      </c>
      <c r="I27" s="101">
        <f t="shared" si="3"/>
        <v>75508.59</v>
      </c>
      <c r="J27" s="101">
        <f t="shared" si="3"/>
        <v>68337.429999999993</v>
      </c>
      <c r="K27" s="101">
        <f t="shared" si="3"/>
        <v>37427.769999999997</v>
      </c>
      <c r="L27" s="101">
        <f t="shared" si="3"/>
        <v>23138.84</v>
      </c>
      <c r="M27" s="101">
        <f t="shared" si="3"/>
        <v>17343.5</v>
      </c>
      <c r="N27" s="102">
        <f t="shared" si="3"/>
        <v>19651.13</v>
      </c>
      <c r="O27" s="102">
        <f t="shared" si="3"/>
        <v>26686.98</v>
      </c>
      <c r="P27" s="98"/>
      <c r="Q27" s="121">
        <f t="shared" si="2"/>
        <v>613734.85999999987</v>
      </c>
    </row>
    <row r="28" spans="2:18" ht="29.25" customHeight="1" x14ac:dyDescent="0.2">
      <c r="B28" s="93" t="s">
        <v>25</v>
      </c>
      <c r="C28" s="107">
        <v>4200</v>
      </c>
      <c r="D28" s="99">
        <f>225+750+1275+150+450+75+150+600</f>
        <v>3675</v>
      </c>
      <c r="E28" s="99">
        <f>275+760+665+95+7980+10935+190+3190</f>
        <v>24090</v>
      </c>
      <c r="F28" s="99">
        <f>2535+4225+6065+2570+2375+1615+1755+380+570+150</f>
        <v>22240</v>
      </c>
      <c r="G28" s="99">
        <f>500+1860+1195+770+190+95+1765+2080+5225+3645+1210</f>
        <v>18535</v>
      </c>
      <c r="H28" s="99">
        <f>4825+1045+2430+445+450+2520+2890+150+3230+6440+250+250+200</f>
        <v>25125</v>
      </c>
      <c r="I28" s="99"/>
      <c r="J28" s="99">
        <f>1235+225+2360+3020+3430+370+445+5930+675+6875+3760+6080+1985+2375+1700+645+600+1375+2595+470</f>
        <v>46150</v>
      </c>
      <c r="K28" s="99">
        <f>2640+2500+1045+825+945+455+465+255+300+1155</f>
        <v>10585</v>
      </c>
      <c r="L28" s="99">
        <f>2640+1855+300+4950+630+755+825+925</f>
        <v>12880</v>
      </c>
      <c r="M28" s="99">
        <f>445+815+205+375+3290+3720+1980+150</f>
        <v>10980</v>
      </c>
      <c r="N28" s="100">
        <f>215+150+770+425+150+1575+2880+1150+425</f>
        <v>7740</v>
      </c>
      <c r="O28" s="100">
        <f>75+1100+170+240+1405+1045+3090+250</f>
        <v>7375</v>
      </c>
      <c r="P28" s="98"/>
      <c r="Q28" s="120">
        <f t="shared" si="2"/>
        <v>189375</v>
      </c>
      <c r="R28" s="74"/>
    </row>
    <row r="29" spans="2:18" ht="30" customHeight="1" x14ac:dyDescent="0.2">
      <c r="B29" s="95" t="s">
        <v>107</v>
      </c>
      <c r="C29" s="108">
        <v>160.94</v>
      </c>
      <c r="D29" s="101">
        <f>810+586.43+1257.75+530+530+211.9</f>
        <v>3926.08</v>
      </c>
      <c r="E29" s="101">
        <f>9760+211.27</f>
        <v>9971.27</v>
      </c>
      <c r="F29" s="101">
        <f>169.29+20.44+96.39+213.42+104.12</f>
        <v>603.66</v>
      </c>
      <c r="G29" s="101"/>
      <c r="H29" s="101">
        <f>9760+839.36+4176.6+228.92+90.77+314.28+310.02+314.82+314.82+100+314.82</f>
        <v>16764.410000000003</v>
      </c>
      <c r="I29" s="101">
        <f>5168.8-839.36+649.69+289.58+880+880+880</f>
        <v>7908.7100000000009</v>
      </c>
      <c r="J29" s="101">
        <f>10+69.89+70+70+40+40.11+2640+6161+70+78.11+535.94</f>
        <v>9785.0500000000011</v>
      </c>
      <c r="K29" s="101">
        <v>4684.3999999999996</v>
      </c>
      <c r="L29" s="101">
        <v>7100</v>
      </c>
      <c r="M29" s="101">
        <f>7100+2640+880+880+880+2500</f>
        <v>14880</v>
      </c>
      <c r="N29" s="102">
        <f>2500-2640+6400+880+10+70+10+70+70+880+880</f>
        <v>9130</v>
      </c>
      <c r="O29" s="102">
        <v>1600</v>
      </c>
      <c r="P29" s="98"/>
      <c r="Q29" s="121">
        <f t="shared" si="2"/>
        <v>86353.580000000016</v>
      </c>
    </row>
    <row r="30" spans="2:18" ht="29.25" customHeight="1" x14ac:dyDescent="0.2">
      <c r="B30" s="93" t="s">
        <v>87</v>
      </c>
      <c r="C30" s="107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100">
        <v>-32890.46</v>
      </c>
      <c r="P30" s="98"/>
      <c r="Q30" s="123">
        <f t="shared" si="2"/>
        <v>-32890.46</v>
      </c>
      <c r="R30" s="74"/>
    </row>
    <row r="31" spans="2:18" ht="27" customHeight="1" x14ac:dyDescent="0.2">
      <c r="B31" s="110" t="s">
        <v>27</v>
      </c>
      <c r="C31" s="116">
        <v>-589802.21000000066</v>
      </c>
      <c r="D31" s="96">
        <f t="shared" ref="D31:O31" si="4">SUM(D23:D30)</f>
        <v>-588925.17000000074</v>
      </c>
      <c r="E31" s="96">
        <f t="shared" si="4"/>
        <v>-581862.54000000074</v>
      </c>
      <c r="F31" s="96">
        <f t="shared" si="4"/>
        <v>-617037.1300000007</v>
      </c>
      <c r="G31" s="96">
        <f t="shared" si="4"/>
        <v>-626293.7500000007</v>
      </c>
      <c r="H31" s="96">
        <f t="shared" si="4"/>
        <v>-613065.80000000063</v>
      </c>
      <c r="I31" s="96">
        <f t="shared" si="4"/>
        <v>-611766.71000000078</v>
      </c>
      <c r="J31" s="96">
        <f t="shared" si="4"/>
        <v>-588188.8600000008</v>
      </c>
      <c r="K31" s="96">
        <f t="shared" si="4"/>
        <v>-543747.21000000078</v>
      </c>
      <c r="L31" s="96">
        <f t="shared" si="4"/>
        <v>-483497.95000000071</v>
      </c>
      <c r="M31" s="96">
        <f t="shared" si="4"/>
        <v>-441589.84000000072</v>
      </c>
      <c r="N31" s="97">
        <f t="shared" si="4"/>
        <v>-422693.61000000068</v>
      </c>
      <c r="O31" s="97">
        <f t="shared" si="4"/>
        <v>-428906.39000000077</v>
      </c>
      <c r="P31" s="98"/>
      <c r="Q31" s="122">
        <f>SUM(Q23:Q30)</f>
        <v>-428906.39000000071</v>
      </c>
    </row>
    <row r="32" spans="2:18" ht="25.5" customHeight="1" x14ac:dyDescent="0.2">
      <c r="B32" s="111" t="s">
        <v>59</v>
      </c>
      <c r="C32" s="109">
        <v>-589802.21</v>
      </c>
      <c r="D32" s="103">
        <v>-588925.17000000004</v>
      </c>
      <c r="E32" s="104">
        <v>-581862.54</v>
      </c>
      <c r="F32" s="104">
        <v>-617037.13</v>
      </c>
      <c r="G32" s="104">
        <v>-626293.75</v>
      </c>
      <c r="H32" s="104">
        <v>-613065.80000000005</v>
      </c>
      <c r="I32" s="104">
        <v>-611766.71</v>
      </c>
      <c r="J32" s="104">
        <v>-588188.86</v>
      </c>
      <c r="K32" s="103">
        <v>-543747.21</v>
      </c>
      <c r="L32" s="104">
        <v>-483497.95</v>
      </c>
      <c r="M32" s="104">
        <v>-441589.84</v>
      </c>
      <c r="N32" s="105">
        <v>-422693.61</v>
      </c>
      <c r="O32" s="105">
        <v>-428906.39</v>
      </c>
      <c r="P32" s="98"/>
      <c r="Q32" s="117"/>
      <c r="R32" s="74"/>
    </row>
    <row r="33" spans="2:18" ht="15.75" customHeight="1" x14ac:dyDescent="0.2">
      <c r="B33" s="29" t="s">
        <v>60</v>
      </c>
      <c r="C33" s="2">
        <f t="shared" ref="C33:O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-6.9849193096160889E-10</v>
      </c>
      <c r="M33" s="2">
        <f t="shared" si="5"/>
        <v>-6.9849193096160889E-10</v>
      </c>
      <c r="N33" s="2">
        <f t="shared" si="5"/>
        <v>-6.9849193096160889E-10</v>
      </c>
      <c r="O33" s="2">
        <f t="shared" si="5"/>
        <v>-7.5669959187507629E-10</v>
      </c>
      <c r="P33" s="2"/>
      <c r="Q33" s="2"/>
    </row>
    <row r="34" spans="2:18" ht="15.75" customHeight="1" x14ac:dyDescent="0.2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4"/>
      <c r="O34" s="2"/>
      <c r="P34" s="2"/>
      <c r="Q34" s="2"/>
      <c r="R34" s="74"/>
    </row>
    <row r="35" spans="2:18" s="29" customFormat="1" ht="14.25" x14ac:dyDescent="0.2">
      <c r="C35" s="28"/>
      <c r="D35" s="28"/>
      <c r="E35" s="34"/>
      <c r="F35" s="28"/>
      <c r="G35" s="28"/>
      <c r="H35" s="28"/>
      <c r="I35" s="28"/>
      <c r="J35" s="28"/>
      <c r="K35" s="28"/>
      <c r="L35" s="28"/>
      <c r="P35" s="28"/>
      <c r="R35" s="74"/>
    </row>
    <row r="36" spans="2:18" ht="18" customHeight="1" thickBot="1" x14ac:dyDescent="0.4">
      <c r="B36" s="143" t="s">
        <v>34</v>
      </c>
      <c r="C36" s="143"/>
      <c r="D36" s="2"/>
      <c r="E36" s="115" t="s">
        <v>111</v>
      </c>
      <c r="F36" s="126" t="s">
        <v>128</v>
      </c>
      <c r="G36" s="2"/>
      <c r="I36" s="2"/>
      <c r="J36" s="2"/>
      <c r="K36" s="2"/>
      <c r="P36" s="2"/>
    </row>
    <row r="37" spans="2:18" ht="13.5" customHeight="1" x14ac:dyDescent="0.2">
      <c r="B37" s="82" t="s">
        <v>77</v>
      </c>
      <c r="C37" s="22"/>
      <c r="D37" s="2"/>
      <c r="E37" s="91"/>
      <c r="F37" s="131" t="s">
        <v>132</v>
      </c>
      <c r="I37" s="2"/>
      <c r="J37" s="2"/>
      <c r="K37" s="2"/>
      <c r="L37" s="136" t="s">
        <v>136</v>
      </c>
      <c r="P37" s="2"/>
      <c r="R37" s="74"/>
    </row>
    <row r="38" spans="2:18" ht="13.5" customHeight="1" x14ac:dyDescent="0.2">
      <c r="B38" s="82" t="s">
        <v>130</v>
      </c>
      <c r="C38" s="22"/>
      <c r="D38" s="2"/>
      <c r="E38" s="91"/>
      <c r="F38" s="131">
        <f>SUM(C25:K25)</f>
        <v>576638.1</v>
      </c>
      <c r="I38" s="2"/>
      <c r="J38" s="2"/>
      <c r="K38" s="2"/>
      <c r="L38" s="135">
        <f>SUM(L25:N25)</f>
        <v>161922.57999999999</v>
      </c>
      <c r="P38" s="2"/>
      <c r="R38" s="9"/>
    </row>
    <row r="39" spans="2:18" ht="13.5" customHeight="1" x14ac:dyDescent="0.2">
      <c r="B39" s="82" t="s">
        <v>125</v>
      </c>
      <c r="C39" s="138" t="s">
        <v>71</v>
      </c>
      <c r="D39" s="2"/>
      <c r="E39" s="2"/>
      <c r="F39" s="131" t="s">
        <v>131</v>
      </c>
      <c r="I39" s="2"/>
      <c r="J39" s="2"/>
      <c r="K39" s="2"/>
      <c r="P39" s="2"/>
    </row>
    <row r="40" spans="2:18" ht="13.5" customHeight="1" x14ac:dyDescent="0.2">
      <c r="B40" s="82" t="s">
        <v>94</v>
      </c>
      <c r="C40" s="138"/>
      <c r="D40" s="2"/>
      <c r="E40" s="2"/>
      <c r="F40" s="131">
        <v>78276.239999999991</v>
      </c>
      <c r="I40" s="2"/>
      <c r="J40" s="2"/>
      <c r="K40" s="2"/>
      <c r="P40" s="2"/>
    </row>
    <row r="41" spans="2:18" ht="13.5" customHeight="1" x14ac:dyDescent="0.2">
      <c r="B41" s="82" t="s">
        <v>121</v>
      </c>
      <c r="C41" s="127"/>
      <c r="D41" s="2"/>
      <c r="E41" s="2"/>
      <c r="F41" s="132" t="s">
        <v>133</v>
      </c>
      <c r="I41" s="2"/>
      <c r="J41" s="2"/>
      <c r="K41" s="2"/>
      <c r="P41" s="2"/>
    </row>
    <row r="42" spans="2:18" ht="13.5" customHeight="1" x14ac:dyDescent="0.2">
      <c r="B42" s="82" t="s">
        <v>81</v>
      </c>
      <c r="C42" s="30"/>
      <c r="D42" s="2"/>
      <c r="E42" s="2"/>
      <c r="F42" s="132">
        <f>F40+F38</f>
        <v>654914.34</v>
      </c>
      <c r="I42" s="2"/>
      <c r="J42" s="2"/>
      <c r="K42" s="2"/>
      <c r="P42" s="2"/>
    </row>
    <row r="43" spans="2:18" ht="13.5" customHeight="1" x14ac:dyDescent="0.2">
      <c r="B43" s="82" t="s">
        <v>129</v>
      </c>
      <c r="C43" s="30"/>
      <c r="D43" s="2"/>
      <c r="E43" s="2"/>
      <c r="F43" s="2"/>
      <c r="I43" s="2"/>
      <c r="J43" s="2"/>
      <c r="K43" s="2"/>
      <c r="P43" s="2"/>
    </row>
    <row r="50" spans="2:2" ht="14.25" x14ac:dyDescent="0.2">
      <c r="B50" s="78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scale="54" orientation="landscape" cellComments="asDisplayed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50"/>
  <sheetViews>
    <sheetView showGridLines="0" topLeftCell="A13" zoomScaleNormal="100" workbookViewId="0">
      <selection activeCell="L37" sqref="L37:L38"/>
    </sheetView>
  </sheetViews>
  <sheetFormatPr defaultRowHeight="12.75" x14ac:dyDescent="0.2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 x14ac:dyDescent="0.25">
      <c r="B1" s="87"/>
      <c r="C1" s="87"/>
      <c r="D1" s="87"/>
    </row>
    <row r="2" spans="2:17" ht="20.25" customHeight="1" thickTop="1" thickBot="1" x14ac:dyDescent="0.3">
      <c r="B2" s="88" t="s">
        <v>65</v>
      </c>
      <c r="C2" s="139" t="s">
        <v>83</v>
      </c>
      <c r="D2" s="139"/>
      <c r="E2" s="140" t="s">
        <v>99</v>
      </c>
      <c r="F2" s="140"/>
      <c r="G2" s="140"/>
      <c r="H2" s="140"/>
      <c r="I2" s="140"/>
      <c r="J2" s="140"/>
      <c r="K2" s="140"/>
      <c r="L2" s="140"/>
      <c r="M2" s="140"/>
    </row>
    <row r="3" spans="2:17" ht="20.25" customHeight="1" thickTop="1" thickBot="1" x14ac:dyDescent="0.3">
      <c r="B3" s="89" t="s">
        <v>57</v>
      </c>
      <c r="C3" s="141">
        <v>43748</v>
      </c>
      <c r="D3" s="141"/>
      <c r="E3" s="140"/>
      <c r="F3" s="140"/>
      <c r="G3" s="140"/>
      <c r="H3" s="140"/>
      <c r="I3" s="140"/>
      <c r="J3" s="140"/>
      <c r="K3" s="140"/>
      <c r="L3" s="140"/>
      <c r="M3" s="140"/>
    </row>
    <row r="4" spans="2:17" ht="7.5" customHeight="1" thickTop="1" x14ac:dyDescent="0.2">
      <c r="B4" s="86"/>
    </row>
    <row r="5" spans="2:17" ht="20.25" customHeight="1" x14ac:dyDescent="0.3">
      <c r="B5" s="83" t="s">
        <v>122</v>
      </c>
      <c r="C5" s="61"/>
      <c r="D5" s="61"/>
      <c r="F5" s="61"/>
      <c r="G5" s="61"/>
      <c r="H5" s="61"/>
      <c r="I5" s="61"/>
      <c r="J5" s="61"/>
      <c r="K5" s="61"/>
      <c r="L5" s="61"/>
      <c r="M5" s="61"/>
      <c r="N5" s="61"/>
      <c r="O5" s="61"/>
      <c r="Q5" s="61"/>
    </row>
    <row r="6" spans="2:17" ht="18" x14ac:dyDescent="0.25">
      <c r="B6" s="61" t="s">
        <v>69</v>
      </c>
    </row>
    <row r="7" spans="2:17" ht="14.25" x14ac:dyDescent="0.2">
      <c r="B7" s="29" t="s">
        <v>117</v>
      </c>
    </row>
    <row r="8" spans="2:17" ht="14.25" x14ac:dyDescent="0.2">
      <c r="B8" s="29" t="s">
        <v>100</v>
      </c>
    </row>
    <row r="9" spans="2:17" ht="14.25" x14ac:dyDescent="0.2">
      <c r="B9" s="29" t="s">
        <v>104</v>
      </c>
    </row>
    <row r="10" spans="2:17" ht="14.25" x14ac:dyDescent="0.2">
      <c r="B10" s="29"/>
    </row>
    <row r="11" spans="2:17" ht="14.25" x14ac:dyDescent="0.2">
      <c r="B11" s="29" t="s">
        <v>101</v>
      </c>
    </row>
    <row r="12" spans="2:17" ht="15" x14ac:dyDescent="0.25">
      <c r="B12" s="29" t="s">
        <v>66</v>
      </c>
    </row>
    <row r="13" spans="2:17" ht="14.25" x14ac:dyDescent="0.2">
      <c r="B13" s="29" t="s">
        <v>103</v>
      </c>
    </row>
    <row r="14" spans="2:17" ht="15" x14ac:dyDescent="0.25">
      <c r="B14" s="29" t="s">
        <v>67</v>
      </c>
    </row>
    <row r="15" spans="2:17" ht="14.25" x14ac:dyDescent="0.2">
      <c r="B15" s="29" t="s">
        <v>73</v>
      </c>
    </row>
    <row r="16" spans="2:17" ht="14.25" x14ac:dyDescent="0.2">
      <c r="B16" s="29" t="s">
        <v>105</v>
      </c>
    </row>
    <row r="17" spans="2:18" ht="15" customHeight="1" x14ac:dyDescent="0.25">
      <c r="B17" s="29" t="s">
        <v>108</v>
      </c>
    </row>
    <row r="18" spans="2:18" ht="14.25" x14ac:dyDescent="0.2">
      <c r="B18" s="29" t="s">
        <v>106</v>
      </c>
    </row>
    <row r="19" spans="2:18" ht="14.25" x14ac:dyDescent="0.2">
      <c r="B19" s="29" t="s">
        <v>102</v>
      </c>
    </row>
    <row r="20" spans="2:18" ht="15.75" x14ac:dyDescent="0.25">
      <c r="B20" s="94"/>
      <c r="C20" s="142"/>
      <c r="D20" s="142"/>
      <c r="E20" s="142"/>
      <c r="F20" s="28"/>
      <c r="G20" s="28"/>
    </row>
    <row r="21" spans="2:18" ht="15.75" x14ac:dyDescent="0.25">
      <c r="B21" s="94"/>
      <c r="C21" s="142"/>
      <c r="D21" s="142"/>
      <c r="E21" s="142"/>
      <c r="F21" s="28"/>
      <c r="G21" s="28"/>
    </row>
    <row r="22" spans="2:18" ht="39.75" customHeight="1" x14ac:dyDescent="0.25">
      <c r="B22" s="58"/>
      <c r="C22" s="112">
        <v>43344</v>
      </c>
      <c r="D22" s="113">
        <f>C22+34</f>
        <v>43378</v>
      </c>
      <c r="E22" s="113">
        <f t="shared" ref="E22:O22" si="0">D22+30</f>
        <v>43408</v>
      </c>
      <c r="F22" s="113">
        <f t="shared" si="0"/>
        <v>43438</v>
      </c>
      <c r="G22" s="113">
        <f t="shared" si="0"/>
        <v>43468</v>
      </c>
      <c r="H22" s="113">
        <f t="shared" si="0"/>
        <v>43498</v>
      </c>
      <c r="I22" s="113">
        <f t="shared" si="0"/>
        <v>43528</v>
      </c>
      <c r="J22" s="113">
        <f t="shared" si="0"/>
        <v>43558</v>
      </c>
      <c r="K22" s="113">
        <f t="shared" si="0"/>
        <v>43588</v>
      </c>
      <c r="L22" s="113">
        <f t="shared" si="0"/>
        <v>43618</v>
      </c>
      <c r="M22" s="113">
        <f>L22+31</f>
        <v>43649</v>
      </c>
      <c r="N22" s="114">
        <f t="shared" si="0"/>
        <v>43679</v>
      </c>
      <c r="O22" s="114">
        <f t="shared" si="0"/>
        <v>43709</v>
      </c>
      <c r="Q22" s="125" t="s">
        <v>123</v>
      </c>
    </row>
    <row r="23" spans="2:18" ht="29.25" customHeight="1" x14ac:dyDescent="0.2">
      <c r="B23" s="110" t="s">
        <v>23</v>
      </c>
      <c r="C23" s="106">
        <v>-470756.34000000032</v>
      </c>
      <c r="D23" s="96">
        <f>C31</f>
        <v>-520349.30000000034</v>
      </c>
      <c r="E23" s="96">
        <f>D31</f>
        <v>-547799.33000000031</v>
      </c>
      <c r="F23" s="96">
        <f>E31</f>
        <v>-510360.20000000042</v>
      </c>
      <c r="G23" s="96">
        <f>F31</f>
        <v>-525935.20000000042</v>
      </c>
      <c r="H23" s="96">
        <f>G31</f>
        <v>-535814.96000000043</v>
      </c>
      <c r="I23" s="96">
        <f t="shared" ref="I23:J23" si="1">H31</f>
        <v>-589535.40000000061</v>
      </c>
      <c r="J23" s="96">
        <f t="shared" si="1"/>
        <v>-596096.1400000006</v>
      </c>
      <c r="K23" s="96">
        <f>J31</f>
        <v>-543837.22000000044</v>
      </c>
      <c r="L23" s="96">
        <f>K31</f>
        <v>-520139.56000000041</v>
      </c>
      <c r="M23" s="96">
        <f>L31</f>
        <v>-517620.87000000034</v>
      </c>
      <c r="N23" s="97">
        <f>M31</f>
        <v>-514170.53000000044</v>
      </c>
      <c r="O23" s="97">
        <f>N31</f>
        <v>-561139.03000000049</v>
      </c>
      <c r="P23" s="98"/>
      <c r="Q23" s="119">
        <f>+D23</f>
        <v>-520349.30000000034</v>
      </c>
    </row>
    <row r="24" spans="2:18" ht="27.75" customHeight="1" x14ac:dyDescent="0.2">
      <c r="B24" s="93" t="s">
        <v>120</v>
      </c>
      <c r="C24" s="107">
        <v>-31217.84</v>
      </c>
      <c r="D24" s="99">
        <v>-43381.46</v>
      </c>
      <c r="E24" s="99">
        <v>-53474.42</v>
      </c>
      <c r="F24" s="99">
        <v>-89314.87</v>
      </c>
      <c r="G24" s="99">
        <f>-0.44-116738.35</f>
        <v>-116738.79000000001</v>
      </c>
      <c r="H24" s="99">
        <v>-124506.55</v>
      </c>
      <c r="I24" s="99">
        <v>-133284.76999999999</v>
      </c>
      <c r="J24" s="99">
        <v>-80433.929999999993</v>
      </c>
      <c r="K24" s="99">
        <v>-52191.4</v>
      </c>
      <c r="L24" s="99">
        <v>-34976.32</v>
      </c>
      <c r="M24" s="99">
        <v>-33180.92</v>
      </c>
      <c r="N24" s="100">
        <v>-36245.5</v>
      </c>
      <c r="O24" s="100">
        <v>-38568.800000000003</v>
      </c>
      <c r="P24" s="98"/>
      <c r="Q24" s="120">
        <f>SUM(D24:O24)</f>
        <v>-836297.7300000001</v>
      </c>
    </row>
    <row r="25" spans="2:18" ht="30" customHeight="1" x14ac:dyDescent="0.2">
      <c r="B25" s="95" t="s">
        <v>114</v>
      </c>
      <c r="C25" s="108">
        <v>18168.780000000002</v>
      </c>
      <c r="D25" s="101">
        <v>19076.04</v>
      </c>
      <c r="E25" s="101">
        <f>107741.95-1.24</f>
        <v>107740.70999999999</v>
      </c>
      <c r="F25" s="101">
        <v>77991.759999999995</v>
      </c>
      <c r="G25" s="101">
        <v>88625.79</v>
      </c>
      <c r="H25" s="101">
        <v>59246.89</v>
      </c>
      <c r="I25" s="101">
        <f>76018.51+614</f>
        <v>76632.509999999995</v>
      </c>
      <c r="J25" s="101">
        <f>81586.66-614+0.01</f>
        <v>80972.67</v>
      </c>
      <c r="K25" s="101">
        <v>40972.78</v>
      </c>
      <c r="L25" s="128">
        <v>24765.4</v>
      </c>
      <c r="M25" s="128">
        <v>34608.089999999997</v>
      </c>
      <c r="N25" s="129">
        <f>18901.67+1.08</f>
        <v>18902.75</v>
      </c>
      <c r="O25" s="102">
        <v>14035.23</v>
      </c>
      <c r="P25" s="98"/>
      <c r="Q25" s="121">
        <f t="shared" ref="Q25:Q30" si="2">SUM(D25:O25)</f>
        <v>643570.62</v>
      </c>
    </row>
    <row r="26" spans="2:18" ht="29.25" customHeight="1" x14ac:dyDescent="0.2">
      <c r="B26" s="93" t="s">
        <v>115</v>
      </c>
      <c r="C26" s="107">
        <v>-27163.64</v>
      </c>
      <c r="D26" s="99">
        <v>-35183.25</v>
      </c>
      <c r="E26" s="99">
        <v>-57035.41</v>
      </c>
      <c r="F26" s="99">
        <f>-86071+1224.51</f>
        <v>-84846.49</v>
      </c>
      <c r="G26" s="99">
        <v>-85442.83</v>
      </c>
      <c r="H26" s="99">
        <v>-100835.68</v>
      </c>
      <c r="I26" s="99">
        <v>-70584.45</v>
      </c>
      <c r="J26" s="99">
        <v>-42189.06</v>
      </c>
      <c r="K26" s="99">
        <f>-28642.65</f>
        <v>-28642.65</v>
      </c>
      <c r="L26" s="99">
        <v>-25588.04</v>
      </c>
      <c r="M26" s="99">
        <v>-30839.87</v>
      </c>
      <c r="N26" s="100">
        <v>-28209.22</v>
      </c>
      <c r="O26" s="100">
        <v>-36699.769999999997</v>
      </c>
      <c r="P26" s="98"/>
      <c r="Q26" s="120">
        <f t="shared" si="2"/>
        <v>-626096.72000000009</v>
      </c>
      <c r="R26" s="74"/>
    </row>
    <row r="27" spans="2:18" ht="30" customHeight="1" x14ac:dyDescent="0.2">
      <c r="B27" s="95" t="s">
        <v>116</v>
      </c>
      <c r="C27" s="108">
        <v>21704.49</v>
      </c>
      <c r="D27" s="101">
        <f>-C26</f>
        <v>27163.64</v>
      </c>
      <c r="E27" s="101">
        <f t="shared" ref="E27:O27" si="3">-D26</f>
        <v>35183.25</v>
      </c>
      <c r="F27" s="101">
        <f t="shared" si="3"/>
        <v>57035.41</v>
      </c>
      <c r="G27" s="101">
        <f t="shared" si="3"/>
        <v>84846.49</v>
      </c>
      <c r="H27" s="101">
        <f t="shared" si="3"/>
        <v>85442.83</v>
      </c>
      <c r="I27" s="101">
        <f t="shared" si="3"/>
        <v>100835.68</v>
      </c>
      <c r="J27" s="101">
        <f t="shared" si="3"/>
        <v>70584.45</v>
      </c>
      <c r="K27" s="101">
        <f t="shared" si="3"/>
        <v>42189.06</v>
      </c>
      <c r="L27" s="101">
        <f t="shared" si="3"/>
        <v>28642.65</v>
      </c>
      <c r="M27" s="101">
        <f t="shared" si="3"/>
        <v>25588.04</v>
      </c>
      <c r="N27" s="102">
        <f t="shared" si="3"/>
        <v>30839.87</v>
      </c>
      <c r="O27" s="102">
        <f t="shared" si="3"/>
        <v>28209.22</v>
      </c>
      <c r="P27" s="98"/>
      <c r="Q27" s="121">
        <f t="shared" si="2"/>
        <v>616560.59</v>
      </c>
    </row>
    <row r="28" spans="2:18" ht="29.25" customHeight="1" x14ac:dyDescent="0.2">
      <c r="B28" s="93" t="s">
        <v>25</v>
      </c>
      <c r="C28" s="107">
        <v>3825</v>
      </c>
      <c r="D28" s="99">
        <f>375+75+600+75+225+1050+2475</f>
        <v>4875</v>
      </c>
      <c r="E28" s="99">
        <f>75+600+1425+225+150+750+1800</f>
        <v>5025</v>
      </c>
      <c r="F28" s="99">
        <f>1725+1125+1125+450+75+12900+4125+1575+225</f>
        <v>23325</v>
      </c>
      <c r="G28" s="99">
        <f>2625+450+2775+300+2550+1800+150+2850+5025</f>
        <v>18525</v>
      </c>
      <c r="H28" s="99">
        <f>3450+150+1650+4200+4800+1425+1875+450+150+4050</f>
        <v>22200</v>
      </c>
      <c r="I28" s="99">
        <f>1950+150+1050+225+1650+1425+375+4500+2700</f>
        <v>14025</v>
      </c>
      <c r="J28" s="99">
        <f>450+1650+225+4200+5175+1950+375+1500+2550</f>
        <v>18075</v>
      </c>
      <c r="K28" s="99">
        <f>6750+1650+300+1200+1650+600+150+1875+600+3975</f>
        <v>18750</v>
      </c>
      <c r="L28" s="99">
        <f>150+3375+1050+1200+600+900+375+2025</f>
        <v>9675</v>
      </c>
      <c r="M28" s="99">
        <f>225+1500+2625+75+1500+825+75+75+150+225</f>
        <v>7275</v>
      </c>
      <c r="N28" s="100">
        <f>600+750+1200+525+2475+1575+150</f>
        <v>7275</v>
      </c>
      <c r="O28" s="100">
        <f>75+750+2250+300+150+75+450+150</f>
        <v>4200</v>
      </c>
      <c r="P28" s="98"/>
      <c r="Q28" s="120">
        <f t="shared" si="2"/>
        <v>153225</v>
      </c>
      <c r="R28" s="74"/>
    </row>
    <row r="29" spans="2:18" ht="30" customHeight="1" x14ac:dyDescent="0.2">
      <c r="B29" s="95" t="s">
        <v>107</v>
      </c>
      <c r="C29" s="108"/>
      <c r="D29" s="101"/>
      <c r="E29" s="101">
        <f>3600-3600</f>
        <v>0</v>
      </c>
      <c r="F29" s="101">
        <v>234.19</v>
      </c>
      <c r="G29" s="101">
        <f>209.52+95.06</f>
        <v>304.58000000000004</v>
      </c>
      <c r="H29" s="101">
        <f>4723.74+2.04+6.29</f>
        <v>4732.07</v>
      </c>
      <c r="I29" s="101">
        <f>600+108.52+197.57+4909.2</f>
        <v>5815.29</v>
      </c>
      <c r="J29" s="101">
        <f>5067.36+2.43+180</f>
        <v>5249.79</v>
      </c>
      <c r="K29" s="101">
        <f>2420+32.25+99.87+67.75</f>
        <v>2619.87</v>
      </c>
      <c r="L29" s="101">
        <v>0</v>
      </c>
      <c r="M29" s="101"/>
      <c r="N29" s="102"/>
      <c r="O29" s="102">
        <f>110.14+50.8</f>
        <v>160.94</v>
      </c>
      <c r="P29" s="98"/>
      <c r="Q29" s="121">
        <f t="shared" si="2"/>
        <v>19116.73</v>
      </c>
    </row>
    <row r="30" spans="2:18" ht="29.25" customHeight="1" x14ac:dyDescent="0.2">
      <c r="B30" s="93" t="s">
        <v>87</v>
      </c>
      <c r="C30" s="107">
        <v>-34909.75</v>
      </c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100">
        <v>-39531.4</v>
      </c>
      <c r="O30" s="100"/>
      <c r="P30" s="98"/>
      <c r="Q30" s="123">
        <f t="shared" si="2"/>
        <v>-39531.4</v>
      </c>
      <c r="R30" s="74"/>
    </row>
    <row r="31" spans="2:18" ht="27" customHeight="1" x14ac:dyDescent="0.2">
      <c r="B31" s="110" t="s">
        <v>27</v>
      </c>
      <c r="C31" s="116">
        <f t="shared" ref="C31:O31" si="4">SUM(C23:C30)</f>
        <v>-520349.30000000034</v>
      </c>
      <c r="D31" s="96">
        <f t="shared" si="4"/>
        <v>-547799.33000000031</v>
      </c>
      <c r="E31" s="96">
        <f t="shared" si="4"/>
        <v>-510360.20000000042</v>
      </c>
      <c r="F31" s="96">
        <f t="shared" si="4"/>
        <v>-525935.20000000042</v>
      </c>
      <c r="G31" s="96">
        <f t="shared" si="4"/>
        <v>-535814.96000000043</v>
      </c>
      <c r="H31" s="96">
        <f t="shared" si="4"/>
        <v>-589535.40000000061</v>
      </c>
      <c r="I31" s="96">
        <f t="shared" si="4"/>
        <v>-596096.1400000006</v>
      </c>
      <c r="J31" s="96">
        <f t="shared" si="4"/>
        <v>-543837.22000000044</v>
      </c>
      <c r="K31" s="96">
        <f t="shared" si="4"/>
        <v>-520139.56000000041</v>
      </c>
      <c r="L31" s="96">
        <f t="shared" si="4"/>
        <v>-517620.87000000034</v>
      </c>
      <c r="M31" s="96">
        <f t="shared" si="4"/>
        <v>-514170.53000000044</v>
      </c>
      <c r="N31" s="97">
        <f t="shared" si="4"/>
        <v>-561139.03000000049</v>
      </c>
      <c r="O31" s="97">
        <f t="shared" si="4"/>
        <v>-589802.21000000066</v>
      </c>
      <c r="P31" s="98"/>
      <c r="Q31" s="122">
        <f>SUM(Q23:Q30)</f>
        <v>-589802.21000000066</v>
      </c>
    </row>
    <row r="32" spans="2:18" ht="25.5" customHeight="1" x14ac:dyDescent="0.2">
      <c r="B32" s="111" t="s">
        <v>59</v>
      </c>
      <c r="C32" s="109">
        <v>-520349.3</v>
      </c>
      <c r="D32" s="103">
        <v>-547799.32999999996</v>
      </c>
      <c r="E32" s="104">
        <v>-510360.2</v>
      </c>
      <c r="F32" s="104">
        <v>-525935.19999999995</v>
      </c>
      <c r="G32" s="104">
        <v>-535814.96</v>
      </c>
      <c r="H32" s="104">
        <v>-589535.4</v>
      </c>
      <c r="I32" s="104">
        <v>-596096.14</v>
      </c>
      <c r="J32" s="104">
        <v>-543837.22</v>
      </c>
      <c r="K32" s="103">
        <v>-520139.56</v>
      </c>
      <c r="L32" s="104">
        <f>-482644.55-34976.32</f>
        <v>-517620.87</v>
      </c>
      <c r="M32" s="104">
        <v>-514170.53</v>
      </c>
      <c r="N32" s="105">
        <f>-524893.53-36245.5</f>
        <v>-561139.03</v>
      </c>
      <c r="O32" s="105">
        <v>-589802.21</v>
      </c>
      <c r="P32" s="98"/>
      <c r="Q32" s="117"/>
      <c r="R32" s="74"/>
    </row>
    <row r="33" spans="2:18" ht="15.75" customHeight="1" x14ac:dyDescent="0.2">
      <c r="B33" s="29" t="s">
        <v>60</v>
      </c>
      <c r="C33" s="2">
        <f t="shared" ref="C33:O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  <c r="N33" s="2">
        <f t="shared" si="5"/>
        <v>0</v>
      </c>
      <c r="O33" s="2">
        <f t="shared" si="5"/>
        <v>0</v>
      </c>
      <c r="P33" s="2"/>
      <c r="Q33" s="2"/>
    </row>
    <row r="34" spans="2:18" ht="15.75" customHeight="1" x14ac:dyDescent="0.2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4"/>
      <c r="O34" s="2"/>
      <c r="P34" s="2"/>
      <c r="Q34" s="2"/>
      <c r="R34" s="74"/>
    </row>
    <row r="35" spans="2:18" s="29" customFormat="1" ht="14.25" x14ac:dyDescent="0.2">
      <c r="C35" s="28"/>
      <c r="D35" s="28"/>
      <c r="E35" s="34"/>
      <c r="F35" s="28"/>
      <c r="G35" s="28"/>
      <c r="H35" s="28"/>
      <c r="I35" s="28"/>
      <c r="J35" s="28"/>
      <c r="K35" s="28"/>
      <c r="L35" s="28"/>
      <c r="P35" s="28"/>
      <c r="R35" s="74"/>
    </row>
    <row r="36" spans="2:18" ht="18" customHeight="1" thickBot="1" x14ac:dyDescent="0.4">
      <c r="B36" s="143" t="s">
        <v>34</v>
      </c>
      <c r="C36" s="143"/>
      <c r="D36" s="2"/>
      <c r="E36" s="115" t="s">
        <v>111</v>
      </c>
      <c r="F36" s="126" t="s">
        <v>124</v>
      </c>
      <c r="G36" s="2"/>
      <c r="I36" s="2"/>
      <c r="J36" s="2"/>
      <c r="K36" s="2"/>
      <c r="P36" s="2"/>
    </row>
    <row r="37" spans="2:18" ht="13.5" customHeight="1" x14ac:dyDescent="0.2">
      <c r="B37" s="82" t="s">
        <v>77</v>
      </c>
      <c r="C37" s="22"/>
      <c r="D37" s="2"/>
      <c r="E37" s="91"/>
      <c r="F37" s="2"/>
      <c r="I37" s="2"/>
      <c r="J37" s="2"/>
      <c r="K37" s="2"/>
      <c r="L37" s="130" t="s">
        <v>131</v>
      </c>
      <c r="P37" s="2"/>
      <c r="R37" s="74"/>
    </row>
    <row r="38" spans="2:18" ht="13.5" customHeight="1" x14ac:dyDescent="0.2">
      <c r="B38" s="82" t="s">
        <v>42</v>
      </c>
      <c r="C38" s="22"/>
      <c r="D38" s="2"/>
      <c r="E38" s="91"/>
      <c r="F38" s="2"/>
      <c r="I38" s="2"/>
      <c r="J38" s="2"/>
      <c r="K38" s="2"/>
      <c r="L38" s="131">
        <f>SUM(L25:N25)</f>
        <v>78276.239999999991</v>
      </c>
      <c r="P38" s="2"/>
      <c r="R38" s="9"/>
    </row>
    <row r="39" spans="2:18" ht="13.5" customHeight="1" x14ac:dyDescent="0.2">
      <c r="B39" s="82" t="s">
        <v>125</v>
      </c>
      <c r="C39" s="138" t="s">
        <v>71</v>
      </c>
      <c r="D39" s="2"/>
      <c r="E39" s="2"/>
      <c r="F39" s="2"/>
      <c r="I39" s="2"/>
      <c r="J39" s="2"/>
      <c r="K39" s="2"/>
      <c r="P39" s="2"/>
    </row>
    <row r="40" spans="2:18" ht="13.5" customHeight="1" x14ac:dyDescent="0.2">
      <c r="B40" s="82" t="s">
        <v>94</v>
      </c>
      <c r="C40" s="138"/>
      <c r="D40" s="2"/>
      <c r="E40" s="2"/>
      <c r="F40" s="2"/>
      <c r="I40" s="2"/>
      <c r="J40" s="2"/>
      <c r="K40" s="2"/>
      <c r="P40" s="2"/>
    </row>
    <row r="41" spans="2:18" ht="13.5" customHeight="1" x14ac:dyDescent="0.2">
      <c r="B41" s="82" t="s">
        <v>121</v>
      </c>
      <c r="C41" s="92"/>
      <c r="D41" s="2"/>
      <c r="E41" s="2"/>
      <c r="F41" s="2"/>
      <c r="I41" s="2"/>
      <c r="J41" s="2"/>
      <c r="K41" s="2"/>
      <c r="P41" s="2"/>
    </row>
    <row r="42" spans="2:18" ht="13.5" customHeight="1" x14ac:dyDescent="0.2">
      <c r="B42" s="82" t="s">
        <v>81</v>
      </c>
      <c r="C42" s="30"/>
      <c r="D42" s="2"/>
      <c r="E42" s="2"/>
      <c r="F42" s="2"/>
      <c r="I42" s="2"/>
      <c r="J42" s="2"/>
      <c r="K42" s="2"/>
      <c r="P42" s="2"/>
    </row>
    <row r="43" spans="2:18" ht="13.5" customHeight="1" x14ac:dyDescent="0.2">
      <c r="B43" s="82" t="s">
        <v>36</v>
      </c>
      <c r="C43" s="30"/>
      <c r="D43" s="2"/>
      <c r="E43" s="2"/>
      <c r="F43" s="2"/>
      <c r="I43" s="2"/>
      <c r="J43" s="2"/>
      <c r="K43" s="2"/>
      <c r="P43" s="2"/>
    </row>
    <row r="50" spans="2:2" ht="14.25" x14ac:dyDescent="0.2">
      <c r="B50" s="78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paperSize="5" scale="70" orientation="landscape" cellComments="asDisplayed" r:id="rId1"/>
  <headerFooter alignWithMargins="0"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50"/>
  <sheetViews>
    <sheetView showGridLines="0" topLeftCell="A4" zoomScaleNormal="100" workbookViewId="0">
      <selection activeCell="L25" sqref="L25:N25"/>
    </sheetView>
  </sheetViews>
  <sheetFormatPr defaultRowHeight="12.75" x14ac:dyDescent="0.2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 x14ac:dyDescent="0.25">
      <c r="B1" s="87"/>
      <c r="C1" s="87"/>
      <c r="D1" s="87"/>
    </row>
    <row r="2" spans="2:17" ht="20.25" customHeight="1" thickTop="1" thickBot="1" x14ac:dyDescent="0.3">
      <c r="B2" s="88" t="s">
        <v>65</v>
      </c>
      <c r="C2" s="139" t="s">
        <v>83</v>
      </c>
      <c r="D2" s="139"/>
      <c r="E2" s="140" t="s">
        <v>99</v>
      </c>
      <c r="F2" s="140"/>
      <c r="G2" s="140"/>
      <c r="H2" s="140"/>
      <c r="I2" s="140"/>
      <c r="J2" s="140"/>
      <c r="K2" s="140"/>
      <c r="L2" s="140"/>
      <c r="M2" s="140"/>
    </row>
    <row r="3" spans="2:17" ht="20.25" customHeight="1" thickTop="1" thickBot="1" x14ac:dyDescent="0.3">
      <c r="B3" s="89" t="s">
        <v>57</v>
      </c>
      <c r="C3" s="141">
        <v>43381</v>
      </c>
      <c r="D3" s="141"/>
      <c r="E3" s="140"/>
      <c r="F3" s="140"/>
      <c r="G3" s="140"/>
      <c r="H3" s="140"/>
      <c r="I3" s="140"/>
      <c r="J3" s="140"/>
      <c r="K3" s="140"/>
      <c r="L3" s="140"/>
      <c r="M3" s="140"/>
    </row>
    <row r="4" spans="2:17" ht="7.5" customHeight="1" thickTop="1" x14ac:dyDescent="0.2">
      <c r="B4" s="86"/>
    </row>
    <row r="5" spans="2:17" ht="20.25" customHeight="1" x14ac:dyDescent="0.3">
      <c r="B5" s="83" t="s">
        <v>112</v>
      </c>
      <c r="C5" s="61"/>
      <c r="D5" s="61"/>
      <c r="F5" s="61"/>
      <c r="G5" s="61"/>
      <c r="H5" s="61"/>
      <c r="I5" s="61"/>
      <c r="J5" s="61"/>
      <c r="K5" s="61"/>
      <c r="L5" s="61"/>
      <c r="M5" s="61"/>
      <c r="N5" s="61"/>
      <c r="O5" s="61"/>
      <c r="Q5" s="61"/>
    </row>
    <row r="6" spans="2:17" ht="18" x14ac:dyDescent="0.25">
      <c r="B6" s="61" t="s">
        <v>69</v>
      </c>
    </row>
    <row r="7" spans="2:17" ht="14.25" x14ac:dyDescent="0.2">
      <c r="B7" s="29" t="s">
        <v>117</v>
      </c>
    </row>
    <row r="8" spans="2:17" ht="14.25" x14ac:dyDescent="0.2">
      <c r="B8" s="29" t="s">
        <v>100</v>
      </c>
    </row>
    <row r="9" spans="2:17" ht="14.25" x14ac:dyDescent="0.2">
      <c r="B9" s="29" t="s">
        <v>104</v>
      </c>
    </row>
    <row r="10" spans="2:17" ht="14.25" x14ac:dyDescent="0.2">
      <c r="B10" s="29"/>
    </row>
    <row r="11" spans="2:17" ht="14.25" x14ac:dyDescent="0.2">
      <c r="B11" s="29" t="s">
        <v>101</v>
      </c>
    </row>
    <row r="12" spans="2:17" ht="15" x14ac:dyDescent="0.25">
      <c r="B12" s="29" t="s">
        <v>66</v>
      </c>
    </row>
    <row r="13" spans="2:17" ht="14.25" x14ac:dyDescent="0.2">
      <c r="B13" s="29" t="s">
        <v>103</v>
      </c>
    </row>
    <row r="14" spans="2:17" ht="15" x14ac:dyDescent="0.25">
      <c r="B14" s="29" t="s">
        <v>67</v>
      </c>
    </row>
    <row r="15" spans="2:17" ht="14.25" x14ac:dyDescent="0.2">
      <c r="B15" s="29" t="s">
        <v>73</v>
      </c>
    </row>
    <row r="16" spans="2:17" ht="14.25" x14ac:dyDescent="0.2">
      <c r="B16" s="29" t="s">
        <v>105</v>
      </c>
    </row>
    <row r="17" spans="2:18" ht="15" customHeight="1" x14ac:dyDescent="0.25">
      <c r="B17" s="29" t="s">
        <v>108</v>
      </c>
    </row>
    <row r="18" spans="2:18" ht="14.25" x14ac:dyDescent="0.2">
      <c r="B18" s="29" t="s">
        <v>106</v>
      </c>
    </row>
    <row r="19" spans="2:18" ht="14.25" x14ac:dyDescent="0.2">
      <c r="B19" s="29" t="s">
        <v>102</v>
      </c>
    </row>
    <row r="20" spans="2:18" ht="15.75" x14ac:dyDescent="0.25">
      <c r="B20" s="94"/>
      <c r="C20" s="142"/>
      <c r="D20" s="142"/>
      <c r="E20" s="142"/>
      <c r="F20" s="28"/>
      <c r="G20" s="28"/>
    </row>
    <row r="21" spans="2:18" ht="15.75" x14ac:dyDescent="0.25">
      <c r="B21" s="94"/>
      <c r="C21" s="142"/>
      <c r="D21" s="142"/>
      <c r="E21" s="142"/>
      <c r="F21" s="28"/>
      <c r="G21" s="28"/>
    </row>
    <row r="22" spans="2:18" ht="39.75" customHeight="1" x14ac:dyDescent="0.25">
      <c r="B22" s="58"/>
      <c r="C22" s="112">
        <v>42979</v>
      </c>
      <c r="D22" s="113">
        <f>C22+34</f>
        <v>43013</v>
      </c>
      <c r="E22" s="113">
        <f t="shared" ref="E22:O22" si="0">D22+30</f>
        <v>43043</v>
      </c>
      <c r="F22" s="113">
        <f t="shared" si="0"/>
        <v>43073</v>
      </c>
      <c r="G22" s="113">
        <f t="shared" si="0"/>
        <v>43103</v>
      </c>
      <c r="H22" s="113">
        <f t="shared" si="0"/>
        <v>43133</v>
      </c>
      <c r="I22" s="113">
        <f t="shared" si="0"/>
        <v>43163</v>
      </c>
      <c r="J22" s="113">
        <f t="shared" si="0"/>
        <v>43193</v>
      </c>
      <c r="K22" s="113">
        <f t="shared" si="0"/>
        <v>43223</v>
      </c>
      <c r="L22" s="113">
        <f t="shared" si="0"/>
        <v>43253</v>
      </c>
      <c r="M22" s="113">
        <f>L22+31</f>
        <v>43284</v>
      </c>
      <c r="N22" s="114">
        <f t="shared" si="0"/>
        <v>43314</v>
      </c>
      <c r="O22" s="114">
        <f t="shared" si="0"/>
        <v>43344</v>
      </c>
      <c r="Q22" s="118" t="s">
        <v>118</v>
      </c>
    </row>
    <row r="23" spans="2:18" ht="29.25" customHeight="1" x14ac:dyDescent="0.2">
      <c r="B23" s="110" t="s">
        <v>23</v>
      </c>
      <c r="C23" s="106">
        <v>-610514.36000000034</v>
      </c>
      <c r="D23" s="96">
        <f>C31</f>
        <v>-671105.51000000036</v>
      </c>
      <c r="E23" s="96">
        <f>D31</f>
        <v>-689004.2000000003</v>
      </c>
      <c r="F23" s="96">
        <f>E31</f>
        <v>-678446.51000000024</v>
      </c>
      <c r="G23" s="96">
        <f>F31</f>
        <v>-679958.24000000022</v>
      </c>
      <c r="H23" s="96">
        <f>G31</f>
        <v>-649386.94000000029</v>
      </c>
      <c r="I23" s="96">
        <f t="shared" ref="I23:J23" si="1">H31</f>
        <v>-657967.3000000004</v>
      </c>
      <c r="J23" s="96">
        <f t="shared" si="1"/>
        <v>-637058.73000000045</v>
      </c>
      <c r="K23" s="96">
        <f>J31</f>
        <v>-581935.12000000034</v>
      </c>
      <c r="L23" s="96">
        <f>K31</f>
        <v>-523095.22000000032</v>
      </c>
      <c r="M23" s="96">
        <f>L31</f>
        <v>-485005.71000000031</v>
      </c>
      <c r="N23" s="97">
        <f>M31</f>
        <v>-469403.86000000028</v>
      </c>
      <c r="O23" s="97">
        <f>N31</f>
        <v>-470756.34000000032</v>
      </c>
      <c r="P23" s="98"/>
      <c r="Q23" s="119">
        <f>+D23</f>
        <v>-671105.51000000036</v>
      </c>
    </row>
    <row r="24" spans="2:18" ht="27.75" customHeight="1" x14ac:dyDescent="0.2">
      <c r="B24" s="93" t="s">
        <v>120</v>
      </c>
      <c r="C24" s="107">
        <v>-46941.599999999999</v>
      </c>
      <c r="D24" s="99">
        <f>-65622.23+25.73</f>
        <v>-65596.5</v>
      </c>
      <c r="E24" s="99">
        <f>-75747.66+51.78-16753.1+3392.6</f>
        <v>-89056.38</v>
      </c>
      <c r="F24" s="99">
        <f>-3424.8+36.99-83646.08</f>
        <v>-87033.89</v>
      </c>
      <c r="G24" s="99">
        <f>-31.91+45.8-114608.54</f>
        <v>-114594.65</v>
      </c>
      <c r="H24" s="99">
        <f>-82543.43+26.87-1.6</f>
        <v>-82518.16</v>
      </c>
      <c r="I24" s="99">
        <f>-95080.22+4.07+3.02</f>
        <v>-95073.12999999999</v>
      </c>
      <c r="J24" s="99">
        <f>-69359.37-63.2</f>
        <v>-69422.569999999992</v>
      </c>
      <c r="K24" s="99">
        <f>-43889.03+6.2</f>
        <v>-43882.83</v>
      </c>
      <c r="L24" s="99">
        <f>-30592.15+0.96</f>
        <v>-30591.190000000002</v>
      </c>
      <c r="M24" s="99">
        <f>-25924.88+19.54</f>
        <v>-25905.34</v>
      </c>
      <c r="N24" s="100">
        <v>-30484.19</v>
      </c>
      <c r="O24" s="100">
        <v>-31217.84</v>
      </c>
      <c r="P24" s="98"/>
      <c r="Q24" s="120">
        <f>SUM(D24:O24)</f>
        <v>-765376.66999999993</v>
      </c>
    </row>
    <row r="25" spans="2:18" ht="30" customHeight="1" x14ac:dyDescent="0.2">
      <c r="B25" s="95" t="s">
        <v>114</v>
      </c>
      <c r="C25" s="108">
        <v>20026.87</v>
      </c>
      <c r="D25" s="101">
        <f>65812.95-57.95</f>
        <v>65755</v>
      </c>
      <c r="E25" s="101">
        <v>76777.53</v>
      </c>
      <c r="F25" s="101">
        <v>81061.41</v>
      </c>
      <c r="G25" s="101">
        <v>110449.59</v>
      </c>
      <c r="H25" s="101">
        <v>54941.39</v>
      </c>
      <c r="I25" s="101">
        <v>80925.490000000005</v>
      </c>
      <c r="J25" s="101">
        <v>79566.570000000007</v>
      </c>
      <c r="K25" s="101">
        <v>73831.259999999995</v>
      </c>
      <c r="L25" s="101">
        <v>49296.53</v>
      </c>
      <c r="M25" s="101">
        <v>36633.57</v>
      </c>
      <c r="N25" s="102">
        <f>14364+810.85</f>
        <v>15174.85</v>
      </c>
      <c r="O25" s="102">
        <f>18183.97-15.19</f>
        <v>18168.780000000002</v>
      </c>
      <c r="P25" s="98"/>
      <c r="Q25" s="121">
        <f t="shared" ref="Q25:Q30" si="2">SUM(D25:O25)</f>
        <v>742581.97</v>
      </c>
    </row>
    <row r="26" spans="2:18" ht="29.25" customHeight="1" x14ac:dyDescent="0.2">
      <c r="B26" s="93" t="s">
        <v>115</v>
      </c>
      <c r="C26" s="107">
        <v>-41603.300000000003</v>
      </c>
      <c r="D26" s="99">
        <v>-65435.49</v>
      </c>
      <c r="E26" s="99">
        <v>-56623.95</v>
      </c>
      <c r="F26" s="99">
        <v>-83928.2</v>
      </c>
      <c r="G26" s="99">
        <v>-64811.839999999997</v>
      </c>
      <c r="H26" s="99">
        <v>-73083.92</v>
      </c>
      <c r="I26" s="99">
        <v>-54661.91</v>
      </c>
      <c r="J26" s="99">
        <v>-37375.83</v>
      </c>
      <c r="K26" s="99">
        <v>-24259.360000000001</v>
      </c>
      <c r="L26" s="99">
        <v>-22134.97</v>
      </c>
      <c r="M26" s="99">
        <v>-27516.05</v>
      </c>
      <c r="N26" s="100">
        <v>-21704.49</v>
      </c>
      <c r="O26" s="100">
        <v>-27163.64</v>
      </c>
      <c r="P26" s="98"/>
      <c r="Q26" s="120">
        <f t="shared" si="2"/>
        <v>-558699.65</v>
      </c>
      <c r="R26" s="74"/>
    </row>
    <row r="27" spans="2:18" ht="30" customHeight="1" x14ac:dyDescent="0.2">
      <c r="B27" s="95" t="s">
        <v>116</v>
      </c>
      <c r="C27" s="108">
        <v>33811.550000000003</v>
      </c>
      <c r="D27" s="101">
        <f>-C26</f>
        <v>41603.300000000003</v>
      </c>
      <c r="E27" s="101">
        <f t="shared" ref="E27:O27" si="3">-D26</f>
        <v>65435.49</v>
      </c>
      <c r="F27" s="101">
        <f t="shared" si="3"/>
        <v>56623.95</v>
      </c>
      <c r="G27" s="101">
        <f t="shared" si="3"/>
        <v>83928.2</v>
      </c>
      <c r="H27" s="101">
        <f t="shared" si="3"/>
        <v>64811.839999999997</v>
      </c>
      <c r="I27" s="101">
        <f t="shared" si="3"/>
        <v>73083.92</v>
      </c>
      <c r="J27" s="101">
        <f t="shared" si="3"/>
        <v>54661.91</v>
      </c>
      <c r="K27" s="101">
        <f t="shared" si="3"/>
        <v>37375.83</v>
      </c>
      <c r="L27" s="101">
        <f t="shared" si="3"/>
        <v>24259.360000000001</v>
      </c>
      <c r="M27" s="101">
        <f t="shared" si="3"/>
        <v>22134.97</v>
      </c>
      <c r="N27" s="102">
        <f t="shared" si="3"/>
        <v>27516.05</v>
      </c>
      <c r="O27" s="102">
        <f t="shared" si="3"/>
        <v>21704.49</v>
      </c>
      <c r="P27" s="98"/>
      <c r="Q27" s="121">
        <f t="shared" si="2"/>
        <v>573139.31000000006</v>
      </c>
    </row>
    <row r="28" spans="2:18" ht="29.25" customHeight="1" x14ac:dyDescent="0.2">
      <c r="B28" s="93" t="s">
        <v>25</v>
      </c>
      <c r="C28" s="107">
        <v>11250</v>
      </c>
      <c r="D28" s="99">
        <f>1125+825+1350+375+525+75+1500</f>
        <v>5775</v>
      </c>
      <c r="E28" s="99">
        <f>375+1275+525+1725+600+7500+1350+75</f>
        <v>13425</v>
      </c>
      <c r="F28" s="99">
        <f>3375+1125+525+2775+900+675+300+5625+1050+1425</f>
        <v>17775</v>
      </c>
      <c r="G28" s="99">
        <f>212991.68-83928.2-110463.48</f>
        <v>18600</v>
      </c>
      <c r="H28" s="99">
        <f>3225+150+1425+300+2400+2400+4800+750+6975</f>
        <v>22425</v>
      </c>
      <c r="I28" s="99">
        <f>825+3975+300+450+675+1200+1575+675+1200+600</f>
        <v>11475</v>
      </c>
      <c r="J28" s="99">
        <f>1425+3525+3825+1725+375+1800+5250+600+450+525</f>
        <v>19500</v>
      </c>
      <c r="K28" s="99">
        <f>2700+4200+2550+150+975+1725+225+1125+1575+300</f>
        <v>15525</v>
      </c>
      <c r="L28" s="99">
        <f>150+2100+675+2025+6000+2625+300+825+600+150</f>
        <v>15450</v>
      </c>
      <c r="M28" s="99">
        <f>1125+75+600+150+375+150+1725+75+4275+1575</f>
        <v>10125</v>
      </c>
      <c r="N28" s="100">
        <f>150+75+3900+1725+225+450+150+1350</f>
        <v>8025</v>
      </c>
      <c r="O28" s="100">
        <f>150+1575+525+975+600</f>
        <v>3825</v>
      </c>
      <c r="P28" s="98"/>
      <c r="Q28" s="120">
        <f t="shared" si="2"/>
        <v>161925</v>
      </c>
      <c r="R28" s="74"/>
    </row>
    <row r="29" spans="2:18" ht="30" customHeight="1" x14ac:dyDescent="0.2">
      <c r="B29" s="95" t="s">
        <v>107</v>
      </c>
      <c r="C29" s="108"/>
      <c r="D29" s="101"/>
      <c r="E29" s="101">
        <v>600</v>
      </c>
      <c r="F29" s="101">
        <v>13990</v>
      </c>
      <c r="G29" s="101">
        <v>-3000</v>
      </c>
      <c r="H29" s="101">
        <f>4538.28+232.52+22.69+50</f>
        <v>4843.49</v>
      </c>
      <c r="I29" s="101">
        <f>4909.2+250</f>
        <v>5159.2</v>
      </c>
      <c r="J29" s="101">
        <f>4352.82+1225+105.35+384+33.02+1400+120.4+203+17.46+170+14.62+2.58+30+124.57+10.71</f>
        <v>8193.5299999999988</v>
      </c>
      <c r="K29" s="101">
        <f>163.24+86.76</f>
        <v>250</v>
      </c>
      <c r="L29" s="101">
        <v>1809.78</v>
      </c>
      <c r="M29" s="101">
        <v>129.69999999999999</v>
      </c>
      <c r="N29" s="102">
        <v>120.3</v>
      </c>
      <c r="O29" s="102"/>
      <c r="P29" s="98"/>
      <c r="Q29" s="121">
        <f t="shared" si="2"/>
        <v>32095.999999999996</v>
      </c>
    </row>
    <row r="30" spans="2:18" ht="29.25" customHeight="1" x14ac:dyDescent="0.2">
      <c r="B30" s="93" t="s">
        <v>87</v>
      </c>
      <c r="C30" s="107">
        <v>-37134.67</v>
      </c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100">
        <v>-34909.75</v>
      </c>
      <c r="P30" s="98"/>
      <c r="Q30" s="123">
        <f t="shared" si="2"/>
        <v>-34909.75</v>
      </c>
      <c r="R30" s="74"/>
    </row>
    <row r="31" spans="2:18" ht="27" customHeight="1" x14ac:dyDescent="0.2">
      <c r="B31" s="110" t="s">
        <v>27</v>
      </c>
      <c r="C31" s="116">
        <f t="shared" ref="C31:O31" si="4">SUM(C23:C30)</f>
        <v>-671105.51000000036</v>
      </c>
      <c r="D31" s="96">
        <f t="shared" si="4"/>
        <v>-689004.2000000003</v>
      </c>
      <c r="E31" s="96">
        <f t="shared" si="4"/>
        <v>-678446.51000000024</v>
      </c>
      <c r="F31" s="96">
        <f t="shared" si="4"/>
        <v>-679958.24000000022</v>
      </c>
      <c r="G31" s="96">
        <f t="shared" si="4"/>
        <v>-649386.94000000029</v>
      </c>
      <c r="H31" s="96">
        <f t="shared" si="4"/>
        <v>-657967.3000000004</v>
      </c>
      <c r="I31" s="96">
        <f t="shared" si="4"/>
        <v>-637058.73000000045</v>
      </c>
      <c r="J31" s="96">
        <f t="shared" si="4"/>
        <v>-581935.12000000034</v>
      </c>
      <c r="K31" s="96">
        <f t="shared" si="4"/>
        <v>-523095.22000000032</v>
      </c>
      <c r="L31" s="96">
        <f t="shared" si="4"/>
        <v>-485005.71000000031</v>
      </c>
      <c r="M31" s="96">
        <f t="shared" si="4"/>
        <v>-469403.86000000028</v>
      </c>
      <c r="N31" s="97">
        <f t="shared" si="4"/>
        <v>-470756.34000000032</v>
      </c>
      <c r="O31" s="97">
        <f t="shared" si="4"/>
        <v>-520349.30000000034</v>
      </c>
      <c r="P31" s="98"/>
      <c r="Q31" s="122">
        <f>SUM(Q23:Q30)</f>
        <v>-520349.30000000028</v>
      </c>
    </row>
    <row r="32" spans="2:18" ht="25.5" customHeight="1" x14ac:dyDescent="0.2">
      <c r="B32" s="111" t="s">
        <v>59</v>
      </c>
      <c r="C32" s="109">
        <v>-671105.51</v>
      </c>
      <c r="D32" s="103">
        <v>-689004.2</v>
      </c>
      <c r="E32" s="104">
        <v>-678446.51</v>
      </c>
      <c r="F32" s="104">
        <f>-596312.16-83646.08</f>
        <v>-679958.24</v>
      </c>
      <c r="G32" s="104">
        <v>-649386.93999999994</v>
      </c>
      <c r="H32" s="104">
        <v>-657967.30000000005</v>
      </c>
      <c r="I32" s="104">
        <v>-637058.73</v>
      </c>
      <c r="J32" s="104">
        <v>-581935.12</v>
      </c>
      <c r="K32" s="103">
        <v>-523095.22</v>
      </c>
      <c r="L32" s="104">
        <v>-485005.71</v>
      </c>
      <c r="M32" s="104">
        <v>-469403.86</v>
      </c>
      <c r="N32" s="105">
        <v>-470756.34</v>
      </c>
      <c r="O32" s="105">
        <v>-520349.3</v>
      </c>
      <c r="P32" s="98"/>
      <c r="Q32" s="117"/>
      <c r="R32" s="74"/>
    </row>
    <row r="33" spans="2:18" ht="15.75" customHeight="1" x14ac:dyDescent="0.2">
      <c r="B33" s="29" t="s">
        <v>60</v>
      </c>
      <c r="C33" s="2">
        <f t="shared" ref="C33:O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  <c r="N33" s="2">
        <f t="shared" si="5"/>
        <v>0</v>
      </c>
      <c r="O33" s="2">
        <f t="shared" si="5"/>
        <v>0</v>
      </c>
      <c r="P33" s="2"/>
      <c r="Q33" s="2"/>
    </row>
    <row r="34" spans="2:18" ht="15.75" customHeight="1" x14ac:dyDescent="0.2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4"/>
      <c r="O34" s="2"/>
      <c r="P34" s="2"/>
      <c r="Q34" s="2"/>
      <c r="R34" s="74"/>
    </row>
    <row r="35" spans="2:18" s="29" customFormat="1" ht="14.25" x14ac:dyDescent="0.2">
      <c r="C35" s="28"/>
      <c r="D35" s="28"/>
      <c r="E35" s="34"/>
      <c r="F35" s="28"/>
      <c r="G35" s="28"/>
      <c r="H35" s="28"/>
      <c r="I35" s="28"/>
      <c r="J35" s="28"/>
      <c r="K35" s="28"/>
      <c r="L35" s="28"/>
      <c r="P35" s="28"/>
      <c r="R35" s="74"/>
    </row>
    <row r="36" spans="2:18" ht="18" customHeight="1" thickBot="1" x14ac:dyDescent="0.4">
      <c r="B36" s="143" t="s">
        <v>34</v>
      </c>
      <c r="C36" s="143"/>
      <c r="D36" s="2"/>
      <c r="E36" s="115" t="s">
        <v>111</v>
      </c>
      <c r="F36" s="91" t="s">
        <v>119</v>
      </c>
      <c r="G36" s="2"/>
      <c r="I36" s="2"/>
      <c r="J36" s="2"/>
      <c r="K36" s="2"/>
      <c r="P36" s="2"/>
    </row>
    <row r="37" spans="2:18" ht="13.5" customHeight="1" x14ac:dyDescent="0.2">
      <c r="B37" s="82" t="s">
        <v>77</v>
      </c>
      <c r="C37" s="22"/>
      <c r="D37" s="2"/>
      <c r="E37" s="91"/>
      <c r="F37" s="2"/>
      <c r="I37" s="2"/>
      <c r="J37" s="2"/>
      <c r="K37" s="2"/>
      <c r="P37" s="2"/>
      <c r="R37" s="74"/>
    </row>
    <row r="38" spans="2:18" ht="13.5" customHeight="1" x14ac:dyDescent="0.2">
      <c r="B38" s="82" t="s">
        <v>42</v>
      </c>
      <c r="C38" s="22"/>
      <c r="D38" s="2"/>
      <c r="E38" s="91"/>
      <c r="F38" s="2"/>
      <c r="I38" s="2"/>
      <c r="J38" s="2"/>
      <c r="K38" s="2"/>
      <c r="P38" s="2"/>
      <c r="R38" s="9"/>
    </row>
    <row r="39" spans="2:18" ht="13.5" customHeight="1" x14ac:dyDescent="0.2">
      <c r="B39" s="82" t="s">
        <v>62</v>
      </c>
      <c r="C39" s="138" t="s">
        <v>71</v>
      </c>
      <c r="D39" s="2"/>
      <c r="E39" s="2"/>
      <c r="F39" s="2"/>
      <c r="I39" s="2"/>
      <c r="J39" s="2"/>
      <c r="K39" s="2"/>
      <c r="P39" s="2"/>
    </row>
    <row r="40" spans="2:18" ht="13.5" customHeight="1" x14ac:dyDescent="0.2">
      <c r="B40" s="82" t="s">
        <v>94</v>
      </c>
      <c r="C40" s="138"/>
      <c r="D40" s="2"/>
      <c r="E40" s="2"/>
      <c r="F40" s="2"/>
      <c r="I40" s="2"/>
      <c r="J40" s="2"/>
      <c r="K40" s="2"/>
      <c r="P40" s="2"/>
    </row>
    <row r="41" spans="2:18" ht="13.5" customHeight="1" x14ac:dyDescent="0.2">
      <c r="B41" s="82" t="s">
        <v>121</v>
      </c>
      <c r="C41" s="92"/>
      <c r="D41" s="2"/>
      <c r="E41" s="2"/>
      <c r="F41" s="2"/>
      <c r="I41" s="2"/>
      <c r="J41" s="2"/>
      <c r="K41" s="2"/>
      <c r="P41" s="2"/>
    </row>
    <row r="42" spans="2:18" ht="13.5" customHeight="1" x14ac:dyDescent="0.2">
      <c r="B42" s="82" t="s">
        <v>81</v>
      </c>
      <c r="C42" s="30"/>
      <c r="D42" s="2"/>
      <c r="E42" s="2"/>
      <c r="F42" s="2"/>
      <c r="I42" s="2"/>
      <c r="J42" s="2"/>
      <c r="K42" s="2"/>
      <c r="P42" s="2"/>
    </row>
    <row r="43" spans="2:18" ht="13.5" customHeight="1" x14ac:dyDescent="0.2">
      <c r="B43" s="82" t="s">
        <v>36</v>
      </c>
      <c r="C43" s="30"/>
      <c r="D43" s="2"/>
      <c r="E43" s="2"/>
      <c r="F43" s="2"/>
      <c r="I43" s="2"/>
      <c r="J43" s="2"/>
      <c r="K43" s="2"/>
      <c r="P43" s="2"/>
    </row>
    <row r="50" spans="2:2" ht="14.25" x14ac:dyDescent="0.2">
      <c r="B50" s="78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paperSize="5" scale="71" orientation="landscape" cellComments="asDisplayed" r:id="rId1"/>
  <headerFooter alignWithMargins="0"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R50"/>
  <sheetViews>
    <sheetView showGridLines="0" topLeftCell="A22" zoomScaleNormal="100" workbookViewId="0">
      <selection activeCell="G19" sqref="G19"/>
    </sheetView>
  </sheetViews>
  <sheetFormatPr defaultRowHeight="12.75" x14ac:dyDescent="0.2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 x14ac:dyDescent="0.25">
      <c r="B1" s="87"/>
      <c r="C1" s="87"/>
      <c r="D1" s="87"/>
    </row>
    <row r="2" spans="2:17" ht="20.25" customHeight="1" thickTop="1" thickBot="1" x14ac:dyDescent="0.3">
      <c r="B2" s="88" t="s">
        <v>65</v>
      </c>
      <c r="C2" s="139" t="s">
        <v>83</v>
      </c>
      <c r="D2" s="139"/>
      <c r="E2" s="140" t="s">
        <v>99</v>
      </c>
      <c r="F2" s="140"/>
      <c r="G2" s="140"/>
      <c r="H2" s="140"/>
      <c r="I2" s="140"/>
      <c r="J2" s="140"/>
      <c r="K2" s="140"/>
      <c r="L2" s="140"/>
      <c r="M2" s="140"/>
    </row>
    <row r="3" spans="2:17" ht="20.25" customHeight="1" thickTop="1" thickBot="1" x14ac:dyDescent="0.3">
      <c r="B3" s="89" t="s">
        <v>57</v>
      </c>
      <c r="C3" s="141">
        <v>43017</v>
      </c>
      <c r="D3" s="141"/>
      <c r="E3" s="140"/>
      <c r="F3" s="140"/>
      <c r="G3" s="140"/>
      <c r="H3" s="140"/>
      <c r="I3" s="140"/>
      <c r="J3" s="140"/>
      <c r="K3" s="140"/>
      <c r="L3" s="140"/>
      <c r="M3" s="140"/>
    </row>
    <row r="4" spans="2:17" ht="7.5" customHeight="1" thickTop="1" x14ac:dyDescent="0.2">
      <c r="B4" s="86"/>
    </row>
    <row r="5" spans="2:17" ht="20.25" customHeight="1" x14ac:dyDescent="0.3">
      <c r="B5" s="83" t="s">
        <v>112</v>
      </c>
      <c r="C5" s="61"/>
      <c r="D5" s="61"/>
      <c r="F5" s="61"/>
      <c r="G5" s="61"/>
      <c r="H5" s="61"/>
      <c r="I5" s="61"/>
      <c r="J5" s="61"/>
      <c r="K5" s="61"/>
      <c r="L5" s="61"/>
      <c r="M5" s="61"/>
      <c r="N5" s="61"/>
      <c r="O5" s="61"/>
      <c r="Q5" s="61"/>
    </row>
    <row r="6" spans="2:17" ht="18" x14ac:dyDescent="0.25">
      <c r="B6" s="61" t="s">
        <v>69</v>
      </c>
    </row>
    <row r="7" spans="2:17" ht="14.25" x14ac:dyDescent="0.2">
      <c r="B7" s="29" t="s">
        <v>117</v>
      </c>
    </row>
    <row r="8" spans="2:17" ht="14.25" x14ac:dyDescent="0.2">
      <c r="B8" s="29" t="s">
        <v>100</v>
      </c>
    </row>
    <row r="9" spans="2:17" ht="14.25" x14ac:dyDescent="0.2">
      <c r="B9" s="29" t="s">
        <v>104</v>
      </c>
    </row>
    <row r="10" spans="2:17" ht="14.25" x14ac:dyDescent="0.2">
      <c r="B10" s="29"/>
    </row>
    <row r="11" spans="2:17" ht="14.25" x14ac:dyDescent="0.2">
      <c r="B11" s="29" t="s">
        <v>101</v>
      </c>
    </row>
    <row r="12" spans="2:17" ht="15" x14ac:dyDescent="0.25">
      <c r="B12" s="29" t="s">
        <v>66</v>
      </c>
    </row>
    <row r="13" spans="2:17" ht="14.25" x14ac:dyDescent="0.2">
      <c r="B13" s="29" t="s">
        <v>103</v>
      </c>
    </row>
    <row r="14" spans="2:17" ht="15" x14ac:dyDescent="0.25">
      <c r="B14" s="29" t="s">
        <v>67</v>
      </c>
    </row>
    <row r="15" spans="2:17" ht="14.25" x14ac:dyDescent="0.2">
      <c r="B15" s="29" t="s">
        <v>73</v>
      </c>
    </row>
    <row r="16" spans="2:17" ht="14.25" x14ac:dyDescent="0.2">
      <c r="B16" s="29" t="s">
        <v>105</v>
      </c>
    </row>
    <row r="17" spans="2:18" ht="15" customHeight="1" x14ac:dyDescent="0.25">
      <c r="B17" s="29" t="s">
        <v>108</v>
      </c>
    </row>
    <row r="18" spans="2:18" ht="14.25" x14ac:dyDescent="0.2">
      <c r="B18" s="29" t="s">
        <v>106</v>
      </c>
    </row>
    <row r="19" spans="2:18" ht="14.25" x14ac:dyDescent="0.2">
      <c r="B19" s="29" t="s">
        <v>102</v>
      </c>
    </row>
    <row r="20" spans="2:18" ht="15.75" x14ac:dyDescent="0.25">
      <c r="B20" s="94"/>
      <c r="C20" s="142"/>
      <c r="D20" s="142"/>
      <c r="E20" s="142"/>
      <c r="F20" s="28"/>
      <c r="G20" s="28"/>
    </row>
    <row r="21" spans="2:18" ht="15.75" x14ac:dyDescent="0.25">
      <c r="B21" s="94"/>
      <c r="C21" s="142"/>
      <c r="D21" s="142"/>
      <c r="E21" s="142"/>
      <c r="F21" s="28"/>
      <c r="G21" s="28"/>
    </row>
    <row r="22" spans="2:18" ht="39.75" customHeight="1" x14ac:dyDescent="0.25">
      <c r="B22" s="58"/>
      <c r="C22" s="112">
        <v>42614</v>
      </c>
      <c r="D22" s="113">
        <f>C22+34</f>
        <v>42648</v>
      </c>
      <c r="E22" s="113">
        <f t="shared" ref="E22:O22" si="0">D22+30</f>
        <v>42678</v>
      </c>
      <c r="F22" s="113">
        <f t="shared" si="0"/>
        <v>42708</v>
      </c>
      <c r="G22" s="113">
        <f t="shared" si="0"/>
        <v>42738</v>
      </c>
      <c r="H22" s="113">
        <f t="shared" si="0"/>
        <v>42768</v>
      </c>
      <c r="I22" s="113">
        <f t="shared" si="0"/>
        <v>42798</v>
      </c>
      <c r="J22" s="113">
        <f t="shared" si="0"/>
        <v>42828</v>
      </c>
      <c r="K22" s="113">
        <f t="shared" si="0"/>
        <v>42858</v>
      </c>
      <c r="L22" s="113">
        <f t="shared" si="0"/>
        <v>42888</v>
      </c>
      <c r="M22" s="113">
        <f>L22+31</f>
        <v>42919</v>
      </c>
      <c r="N22" s="114">
        <f t="shared" si="0"/>
        <v>42949</v>
      </c>
      <c r="O22" s="114">
        <f t="shared" si="0"/>
        <v>42979</v>
      </c>
      <c r="Q22" s="118" t="s">
        <v>109</v>
      </c>
    </row>
    <row r="23" spans="2:18" ht="29.25" customHeight="1" x14ac:dyDescent="0.2">
      <c r="B23" s="110" t="s">
        <v>23</v>
      </c>
      <c r="C23" s="106">
        <v>-439588.96</v>
      </c>
      <c r="D23" s="96">
        <f>C31</f>
        <v>-444840.23</v>
      </c>
      <c r="E23" s="96">
        <f>D31</f>
        <v>-470185.19000000006</v>
      </c>
      <c r="F23" s="96">
        <f>E31</f>
        <v>-507488.89000000013</v>
      </c>
      <c r="G23" s="96">
        <f>F31</f>
        <v>-618515.05000000016</v>
      </c>
      <c r="H23" s="96">
        <f>G31</f>
        <v>-727443.3400000002</v>
      </c>
      <c r="I23" s="96">
        <f t="shared" ref="I23:J23" si="1">H31</f>
        <v>-759685.2000000003</v>
      </c>
      <c r="J23" s="96">
        <f t="shared" si="1"/>
        <v>-759958.24000000034</v>
      </c>
      <c r="K23" s="96">
        <f>J31</f>
        <v>-736808.71000000031</v>
      </c>
      <c r="L23" s="96">
        <f>K31</f>
        <v>-683214.08000000031</v>
      </c>
      <c r="M23" s="96">
        <f>L31</f>
        <v>-648993.88000000035</v>
      </c>
      <c r="N23" s="97">
        <f>M31</f>
        <v>-621212.53000000026</v>
      </c>
      <c r="O23" s="97">
        <f>N31</f>
        <v>-610514.36000000034</v>
      </c>
      <c r="P23" s="98"/>
      <c r="Q23" s="119">
        <f>+D23</f>
        <v>-444840.23</v>
      </c>
    </row>
    <row r="24" spans="2:18" ht="27.75" customHeight="1" x14ac:dyDescent="0.2">
      <c r="B24" s="52" t="s">
        <v>113</v>
      </c>
      <c r="C24" s="107">
        <f>-11220.41+2.11</f>
        <v>-11218.3</v>
      </c>
      <c r="D24" s="99">
        <f>-60208.98+8.39</f>
        <v>-60200.590000000004</v>
      </c>
      <c r="E24" s="99">
        <f>-74803.19+17.64</f>
        <v>-74785.55</v>
      </c>
      <c r="F24" s="99">
        <f>-136786.69+58.13</f>
        <v>-136728.56</v>
      </c>
      <c r="G24" s="99">
        <f>-228949.54+87.27</f>
        <v>-228862.27000000002</v>
      </c>
      <c r="H24" s="99">
        <f>-184296.25+92.06</f>
        <v>-184204.19</v>
      </c>
      <c r="I24" s="99">
        <f>-165554.23+150.62</f>
        <v>-165403.61000000002</v>
      </c>
      <c r="J24" s="99">
        <f>-105016.27+108.69</f>
        <v>-104907.58</v>
      </c>
      <c r="K24" s="99">
        <f>-81102.29-44.05</f>
        <v>-81146.34</v>
      </c>
      <c r="L24" s="99">
        <f>-53898.13+38.26</f>
        <v>-53859.869999999995</v>
      </c>
      <c r="M24" s="99">
        <f>-39599.37-567.8</f>
        <v>-40167.170000000006</v>
      </c>
      <c r="N24" s="100">
        <f>-45431.35+33.17-10.85</f>
        <v>-45409.03</v>
      </c>
      <c r="O24" s="100">
        <f>-46982.93+30.48+10.85</f>
        <v>-46941.599999999999</v>
      </c>
      <c r="P24" s="98"/>
      <c r="Q24" s="120">
        <f>SUM(D24:O24)</f>
        <v>-1222616.3600000001</v>
      </c>
    </row>
    <row r="25" spans="2:18" ht="30" customHeight="1" x14ac:dyDescent="0.2">
      <c r="B25" s="95" t="s">
        <v>114</v>
      </c>
      <c r="C25" s="108">
        <v>34832.93</v>
      </c>
      <c r="D25" s="101">
        <f>44834.54+209</f>
        <v>45043.54</v>
      </c>
      <c r="E25" s="101">
        <f>58130.66-209</f>
        <v>57921.66</v>
      </c>
      <c r="F25" s="101">
        <v>78591.710000000006</v>
      </c>
      <c r="G25" s="101">
        <v>90026.75</v>
      </c>
      <c r="H25" s="101">
        <v>98211.61</v>
      </c>
      <c r="I25" s="101">
        <v>107807.83</v>
      </c>
      <c r="J25" s="101">
        <v>93488.46</v>
      </c>
      <c r="K25" s="101">
        <v>89198.76</v>
      </c>
      <c r="L25" s="101">
        <v>42949.67</v>
      </c>
      <c r="M25" s="101">
        <v>44952.77</v>
      </c>
      <c r="N25" s="102">
        <v>45691.42</v>
      </c>
      <c r="O25" s="102">
        <v>20026.87</v>
      </c>
      <c r="P25" s="98"/>
      <c r="Q25" s="121">
        <f t="shared" ref="Q25:Q30" si="2">SUM(D25:O25)</f>
        <v>813911.05000000016</v>
      </c>
    </row>
    <row r="26" spans="2:18" ht="29.25" customHeight="1" x14ac:dyDescent="0.2">
      <c r="B26" s="93" t="s">
        <v>115</v>
      </c>
      <c r="C26" s="107">
        <v>-38512.300000000003</v>
      </c>
      <c r="D26" s="99">
        <v>-56537.61</v>
      </c>
      <c r="E26" s="99">
        <v>-86077.42</v>
      </c>
      <c r="F26" s="99">
        <v>-154366.73000000001</v>
      </c>
      <c r="G26" s="99">
        <v>-144034.5</v>
      </c>
      <c r="H26" s="99">
        <v>-119461.78</v>
      </c>
      <c r="I26" s="99">
        <v>-83039.039999999994</v>
      </c>
      <c r="J26" s="99">
        <v>-71420.39</v>
      </c>
      <c r="K26" s="99">
        <v>-51887.38</v>
      </c>
      <c r="L26" s="99">
        <v>-30222.560000000001</v>
      </c>
      <c r="M26" s="99">
        <v>-35002.33</v>
      </c>
      <c r="N26" s="100">
        <v>-33811.550000000003</v>
      </c>
      <c r="O26" s="100">
        <v>-41603.300000000003</v>
      </c>
      <c r="P26" s="98"/>
      <c r="Q26" s="120">
        <f t="shared" si="2"/>
        <v>-907464.5900000002</v>
      </c>
      <c r="R26" s="74"/>
    </row>
    <row r="27" spans="2:18" ht="30" customHeight="1" x14ac:dyDescent="0.2">
      <c r="B27" s="95" t="s">
        <v>116</v>
      </c>
      <c r="C27" s="108">
        <v>0</v>
      </c>
      <c r="D27" s="101">
        <f>-C26</f>
        <v>38512.300000000003</v>
      </c>
      <c r="E27" s="101">
        <f t="shared" ref="E27:O27" si="3">-D26</f>
        <v>56537.61</v>
      </c>
      <c r="F27" s="101">
        <f t="shared" si="3"/>
        <v>86077.42</v>
      </c>
      <c r="G27" s="101">
        <f t="shared" si="3"/>
        <v>154366.73000000001</v>
      </c>
      <c r="H27" s="101">
        <f t="shared" si="3"/>
        <v>144034.5</v>
      </c>
      <c r="I27" s="101">
        <f t="shared" si="3"/>
        <v>119461.78</v>
      </c>
      <c r="J27" s="101">
        <f t="shared" si="3"/>
        <v>83039.039999999994</v>
      </c>
      <c r="K27" s="101">
        <f t="shared" si="3"/>
        <v>71420.39</v>
      </c>
      <c r="L27" s="101">
        <f t="shared" si="3"/>
        <v>51887.38</v>
      </c>
      <c r="M27" s="101">
        <f t="shared" si="3"/>
        <v>30222.560000000001</v>
      </c>
      <c r="N27" s="102">
        <f t="shared" si="3"/>
        <v>35002.33</v>
      </c>
      <c r="O27" s="102">
        <f t="shared" si="3"/>
        <v>33811.550000000003</v>
      </c>
      <c r="P27" s="98"/>
      <c r="Q27" s="121">
        <f t="shared" si="2"/>
        <v>904373.5900000002</v>
      </c>
    </row>
    <row r="28" spans="2:18" ht="29.25" customHeight="1" x14ac:dyDescent="0.2">
      <c r="B28" s="93" t="s">
        <v>25</v>
      </c>
      <c r="C28" s="107">
        <f>33261.03-23614.63</f>
        <v>9646.3999999999978</v>
      </c>
      <c r="D28" s="99">
        <f>46349.7-38512.3</f>
        <v>7837.3999999999942</v>
      </c>
      <c r="E28" s="99">
        <f>1200+1200+5125+1575</f>
        <v>9100</v>
      </c>
      <c r="F28" s="99">
        <f>101477.42-86077.42</f>
        <v>15400</v>
      </c>
      <c r="G28" s="99">
        <f>375+2250+3975+1950+2925+4050+75+75+675+1650+1575</f>
        <v>19575</v>
      </c>
      <c r="H28" s="99">
        <f>225+1425+2775+1950+75+450+3750+6578+1650+300</f>
        <v>19178</v>
      </c>
      <c r="I28" s="99">
        <f>140361.78-119461.78</f>
        <v>20900</v>
      </c>
      <c r="J28" s="99">
        <f>105989.04-83039.04</f>
        <v>22950</v>
      </c>
      <c r="K28" s="99">
        <f>105482.01-7109.2-71420.39-8052.42</f>
        <v>18900</v>
      </c>
      <c r="L28" s="99">
        <f>75352.96-51887.38-5465.58</f>
        <v>18000.000000000007</v>
      </c>
      <c r="M28" s="99">
        <f>2625+75+1125+2475+525+1350+1425</f>
        <v>9600</v>
      </c>
      <c r="N28" s="100">
        <f>375+75+900+75+1200+525+3675+1800+75+525</f>
        <v>9225</v>
      </c>
      <c r="O28" s="100">
        <f>1650+750+225+75+75+750+3300+450+3975</f>
        <v>11250</v>
      </c>
      <c r="P28" s="98"/>
      <c r="Q28" s="120">
        <f t="shared" si="2"/>
        <v>181915.4</v>
      </c>
      <c r="R28" s="74"/>
    </row>
    <row r="29" spans="2:18" ht="30" customHeight="1" x14ac:dyDescent="0.2">
      <c r="B29" s="95" t="s">
        <v>107</v>
      </c>
      <c r="C29" s="108"/>
      <c r="D29" s="101"/>
      <c r="E29" s="101"/>
      <c r="F29" s="101"/>
      <c r="G29" s="101"/>
      <c r="H29" s="101">
        <v>10000</v>
      </c>
      <c r="I29" s="101"/>
      <c r="J29" s="101"/>
      <c r="K29" s="101">
        <v>7109.2</v>
      </c>
      <c r="L29" s="101">
        <v>5465.58</v>
      </c>
      <c r="M29" s="101">
        <f>14750+3425.52</f>
        <v>18175.52</v>
      </c>
      <c r="N29" s="102"/>
      <c r="O29" s="102"/>
      <c r="P29" s="98"/>
      <c r="Q29" s="121">
        <f t="shared" si="2"/>
        <v>40750.300000000003</v>
      </c>
    </row>
    <row r="30" spans="2:18" ht="29.25" customHeight="1" x14ac:dyDescent="0.2">
      <c r="B30" s="93" t="s">
        <v>87</v>
      </c>
      <c r="C30" s="107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100">
        <v>-37134.67</v>
      </c>
      <c r="P30" s="98"/>
      <c r="Q30" s="123">
        <f t="shared" si="2"/>
        <v>-37134.67</v>
      </c>
      <c r="R30" s="74"/>
    </row>
    <row r="31" spans="2:18" ht="27" customHeight="1" x14ac:dyDescent="0.2">
      <c r="B31" s="110" t="s">
        <v>27</v>
      </c>
      <c r="C31" s="116">
        <f t="shared" ref="C31:O31" si="4">SUM(C23:C30)</f>
        <v>-444840.23</v>
      </c>
      <c r="D31" s="96">
        <f t="shared" si="4"/>
        <v>-470185.19000000006</v>
      </c>
      <c r="E31" s="96">
        <f t="shared" si="4"/>
        <v>-507488.89000000013</v>
      </c>
      <c r="F31" s="96">
        <f t="shared" si="4"/>
        <v>-618515.05000000016</v>
      </c>
      <c r="G31" s="96">
        <f t="shared" si="4"/>
        <v>-727443.3400000002</v>
      </c>
      <c r="H31" s="96">
        <f t="shared" si="4"/>
        <v>-759685.2000000003</v>
      </c>
      <c r="I31" s="96">
        <f t="shared" si="4"/>
        <v>-759958.24000000034</v>
      </c>
      <c r="J31" s="96">
        <f t="shared" si="4"/>
        <v>-736808.71000000031</v>
      </c>
      <c r="K31" s="96">
        <f t="shared" si="4"/>
        <v>-683214.08000000031</v>
      </c>
      <c r="L31" s="96">
        <f t="shared" si="4"/>
        <v>-648993.88000000035</v>
      </c>
      <c r="M31" s="96">
        <f t="shared" si="4"/>
        <v>-621212.53000000026</v>
      </c>
      <c r="N31" s="97">
        <f t="shared" si="4"/>
        <v>-610514.36000000034</v>
      </c>
      <c r="O31" s="97">
        <f t="shared" si="4"/>
        <v>-671105.51000000036</v>
      </c>
      <c r="P31" s="98"/>
      <c r="Q31" s="122">
        <f>SUM(Q23:Q30)</f>
        <v>-671105.50999999989</v>
      </c>
    </row>
    <row r="32" spans="2:18" ht="25.5" customHeight="1" x14ac:dyDescent="0.2">
      <c r="B32" s="111" t="s">
        <v>59</v>
      </c>
      <c r="C32" s="109">
        <v>-444840.23</v>
      </c>
      <c r="D32" s="103">
        <v>-470185.19</v>
      </c>
      <c r="E32" s="104">
        <v>-507488.89</v>
      </c>
      <c r="F32" s="104">
        <v>-618515.05000000005</v>
      </c>
      <c r="G32" s="104">
        <v>-727443.34</v>
      </c>
      <c r="H32" s="104">
        <v>-759685.2</v>
      </c>
      <c r="I32" s="104">
        <v>-759958.24</v>
      </c>
      <c r="J32" s="104">
        <v>-736808.71</v>
      </c>
      <c r="K32" s="103">
        <v>-683214.08</v>
      </c>
      <c r="L32" s="104">
        <v>-648993.88</v>
      </c>
      <c r="M32" s="104">
        <v>-621212.53</v>
      </c>
      <c r="N32" s="105">
        <v>-610514.36</v>
      </c>
      <c r="O32" s="105">
        <v>-671105.51</v>
      </c>
      <c r="P32" s="98"/>
      <c r="Q32" s="117"/>
      <c r="R32" s="74"/>
    </row>
    <row r="33" spans="2:18" ht="15.75" customHeight="1" x14ac:dyDescent="0.2">
      <c r="B33" s="29" t="s">
        <v>60</v>
      </c>
      <c r="C33" s="2">
        <f t="shared" ref="C33:N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  <c r="N33" s="2">
        <f t="shared" si="5"/>
        <v>0</v>
      </c>
      <c r="O33" s="2">
        <f t="shared" ref="O33" si="6">O31-O32</f>
        <v>0</v>
      </c>
      <c r="P33" s="2"/>
      <c r="Q33" s="2"/>
    </row>
    <row r="34" spans="2:18" ht="15.75" customHeight="1" x14ac:dyDescent="0.2">
      <c r="B34" s="2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74"/>
    </row>
    <row r="35" spans="2:18" s="29" customFormat="1" ht="14.25" x14ac:dyDescent="0.2">
      <c r="C35" s="28"/>
      <c r="D35" s="28"/>
      <c r="E35" s="34"/>
      <c r="F35" s="28"/>
      <c r="G35" s="28"/>
      <c r="H35" s="28"/>
      <c r="I35" s="28"/>
      <c r="J35" s="28"/>
      <c r="K35" s="28"/>
      <c r="L35" s="28"/>
      <c r="P35" s="28"/>
      <c r="R35" s="74"/>
    </row>
    <row r="36" spans="2:18" ht="18" customHeight="1" thickBot="1" x14ac:dyDescent="0.4">
      <c r="B36" s="143" t="s">
        <v>34</v>
      </c>
      <c r="C36" s="143"/>
      <c r="D36" s="2"/>
      <c r="E36" s="115" t="s">
        <v>111</v>
      </c>
      <c r="F36" s="91" t="s">
        <v>110</v>
      </c>
      <c r="G36" s="2"/>
      <c r="I36" s="2"/>
      <c r="J36" s="2"/>
      <c r="K36" s="2"/>
      <c r="P36" s="2"/>
    </row>
    <row r="37" spans="2:18" ht="13.5" customHeight="1" x14ac:dyDescent="0.2">
      <c r="B37" s="82" t="s">
        <v>77</v>
      </c>
      <c r="C37" s="22"/>
      <c r="D37" s="2"/>
      <c r="E37" s="91"/>
      <c r="F37" s="2"/>
      <c r="I37" s="2"/>
      <c r="J37" s="2"/>
      <c r="K37" s="2"/>
      <c r="P37" s="2"/>
      <c r="R37" s="74"/>
    </row>
    <row r="38" spans="2:18" ht="13.5" customHeight="1" x14ac:dyDescent="0.2">
      <c r="B38" s="82" t="s">
        <v>42</v>
      </c>
      <c r="C38" s="22"/>
      <c r="D38" s="2"/>
      <c r="E38" s="91"/>
      <c r="F38" s="2"/>
      <c r="I38" s="2"/>
      <c r="J38" s="2"/>
      <c r="K38" s="2"/>
      <c r="P38" s="2"/>
      <c r="R38" s="9"/>
    </row>
    <row r="39" spans="2:18" ht="13.5" customHeight="1" x14ac:dyDescent="0.2">
      <c r="B39" s="82" t="s">
        <v>62</v>
      </c>
      <c r="C39" s="138" t="s">
        <v>71</v>
      </c>
      <c r="D39" s="2"/>
      <c r="E39" s="2"/>
      <c r="F39" s="2"/>
      <c r="I39" s="2"/>
      <c r="J39" s="2"/>
      <c r="K39" s="2"/>
      <c r="P39" s="2"/>
    </row>
    <row r="40" spans="2:18" ht="13.5" customHeight="1" x14ac:dyDescent="0.2">
      <c r="B40" s="82" t="s">
        <v>94</v>
      </c>
      <c r="C40" s="138"/>
      <c r="D40" s="2"/>
      <c r="E40" s="2"/>
      <c r="F40" s="2"/>
      <c r="I40" s="2"/>
      <c r="J40" s="2"/>
      <c r="K40" s="2"/>
      <c r="P40" s="2"/>
    </row>
    <row r="41" spans="2:18" ht="13.5" customHeight="1" x14ac:dyDescent="0.2">
      <c r="B41" s="82" t="s">
        <v>97</v>
      </c>
      <c r="C41" s="92"/>
      <c r="D41" s="2"/>
      <c r="E41" s="2"/>
      <c r="F41" s="2"/>
      <c r="I41" s="2"/>
      <c r="J41" s="2"/>
      <c r="K41" s="2"/>
      <c r="P41" s="2"/>
    </row>
    <row r="42" spans="2:18" ht="13.5" customHeight="1" x14ac:dyDescent="0.2">
      <c r="B42" s="82" t="s">
        <v>81</v>
      </c>
      <c r="C42" s="30"/>
      <c r="D42" s="2"/>
      <c r="E42" s="2"/>
      <c r="F42" s="2"/>
      <c r="I42" s="2"/>
      <c r="J42" s="2"/>
      <c r="K42" s="2"/>
      <c r="P42" s="2"/>
    </row>
    <row r="43" spans="2:18" ht="13.5" customHeight="1" x14ac:dyDescent="0.2">
      <c r="B43" s="82" t="s">
        <v>36</v>
      </c>
      <c r="C43" s="30"/>
      <c r="D43" s="2"/>
      <c r="E43" s="2"/>
      <c r="F43" s="2"/>
      <c r="I43" s="2"/>
      <c r="J43" s="2"/>
      <c r="K43" s="2"/>
      <c r="P43" s="2"/>
    </row>
    <row r="50" spans="2:2" ht="14.25" x14ac:dyDescent="0.2">
      <c r="B50" s="78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paperSize="5" scale="71" orientation="landscape" cellComments="asDisplayed" r:id="rId1"/>
  <headerFooter alignWithMargins="0"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Q51"/>
  <sheetViews>
    <sheetView showGridLines="0" topLeftCell="A10" zoomScaleNormal="100" workbookViewId="0">
      <selection activeCell="M10" sqref="M10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 x14ac:dyDescent="0.25">
      <c r="B1" s="87"/>
      <c r="C1" s="87"/>
      <c r="D1" s="87"/>
    </row>
    <row r="2" spans="2:14" ht="20.25" customHeight="1" thickTop="1" thickBot="1" x14ac:dyDescent="0.3">
      <c r="B2" s="88" t="s">
        <v>65</v>
      </c>
      <c r="C2" s="139" t="s">
        <v>83</v>
      </c>
      <c r="D2" s="139"/>
      <c r="E2" s="140" t="s">
        <v>68</v>
      </c>
      <c r="F2" s="140"/>
      <c r="G2" s="140"/>
      <c r="H2" s="140"/>
      <c r="I2" s="140"/>
      <c r="J2" s="140"/>
      <c r="K2" s="140"/>
      <c r="L2" s="140"/>
      <c r="M2" s="140"/>
    </row>
    <row r="3" spans="2:14" ht="20.25" customHeight="1" thickTop="1" thickBot="1" x14ac:dyDescent="0.3">
      <c r="B3" s="89" t="s">
        <v>57</v>
      </c>
      <c r="C3" s="141">
        <v>42586</v>
      </c>
      <c r="D3" s="141"/>
      <c r="E3" s="140"/>
      <c r="F3" s="140"/>
      <c r="G3" s="140"/>
      <c r="H3" s="140"/>
      <c r="I3" s="140"/>
      <c r="J3" s="140"/>
      <c r="K3" s="140"/>
      <c r="L3" s="140"/>
      <c r="M3" s="140"/>
    </row>
    <row r="4" spans="2:14" ht="7.5" customHeight="1" thickTop="1" x14ac:dyDescent="0.2">
      <c r="B4" s="86"/>
    </row>
    <row r="5" spans="2:14" ht="20.25" customHeight="1" x14ac:dyDescent="0.3">
      <c r="B5" s="83">
        <v>2016</v>
      </c>
      <c r="C5" s="61"/>
      <c r="D5" s="61"/>
      <c r="F5" s="61"/>
      <c r="G5" s="61"/>
      <c r="H5" s="61"/>
      <c r="I5" s="61"/>
      <c r="J5" s="61"/>
      <c r="K5" s="61"/>
      <c r="L5" s="61"/>
      <c r="M5" s="61"/>
      <c r="N5" s="61"/>
    </row>
    <row r="6" spans="2:14" ht="18" x14ac:dyDescent="0.25">
      <c r="B6" s="61" t="s">
        <v>69</v>
      </c>
    </row>
    <row r="7" spans="2:14" ht="14.25" x14ac:dyDescent="0.2">
      <c r="B7" s="29" t="s">
        <v>90</v>
      </c>
    </row>
    <row r="8" spans="2:14" ht="14.25" x14ac:dyDescent="0.2">
      <c r="B8" s="29" t="s">
        <v>91</v>
      </c>
    </row>
    <row r="9" spans="2:14" ht="14.25" x14ac:dyDescent="0.2">
      <c r="B9" s="29" t="s">
        <v>86</v>
      </c>
    </row>
    <row r="10" spans="2:14" ht="14.25" x14ac:dyDescent="0.2">
      <c r="B10" s="29"/>
    </row>
    <row r="11" spans="2:14" ht="10.5" customHeight="1" x14ac:dyDescent="0.2">
      <c r="B11" s="29"/>
    </row>
    <row r="12" spans="2:14" ht="14.25" x14ac:dyDescent="0.2">
      <c r="B12" s="29" t="s">
        <v>79</v>
      </c>
    </row>
    <row r="13" spans="2:14" ht="15" x14ac:dyDescent="0.25">
      <c r="B13" s="29" t="s">
        <v>66</v>
      </c>
    </row>
    <row r="14" spans="2:14" ht="14.25" x14ac:dyDescent="0.2">
      <c r="B14" s="29" t="s">
        <v>88</v>
      </c>
    </row>
    <row r="15" spans="2:14" ht="15" x14ac:dyDescent="0.25">
      <c r="B15" s="29" t="s">
        <v>67</v>
      </c>
    </row>
    <row r="16" spans="2:14" ht="14.25" x14ac:dyDescent="0.2">
      <c r="B16" s="29" t="s">
        <v>73</v>
      </c>
    </row>
    <row r="17" spans="2:17" ht="14.25" x14ac:dyDescent="0.2">
      <c r="B17" s="29" t="s">
        <v>89</v>
      </c>
    </row>
    <row r="18" spans="2:17" ht="11.25" customHeight="1" x14ac:dyDescent="0.2">
      <c r="B18" s="29"/>
    </row>
    <row r="19" spans="2:17" ht="14.25" x14ac:dyDescent="0.2">
      <c r="B19" s="29" t="s">
        <v>7</v>
      </c>
    </row>
    <row r="20" spans="2:17" ht="10.5" customHeight="1" x14ac:dyDescent="0.2"/>
    <row r="21" spans="2:17" ht="15.75" x14ac:dyDescent="0.25">
      <c r="B21" s="67" t="s">
        <v>84</v>
      </c>
      <c r="C21" s="144" t="s">
        <v>10</v>
      </c>
      <c r="D21" s="144"/>
      <c r="E21" s="144"/>
      <c r="F21" s="69">
        <f>-J28</f>
        <v>66666.67</v>
      </c>
      <c r="G21" s="69"/>
    </row>
    <row r="22" spans="2:17" ht="15.75" x14ac:dyDescent="0.25">
      <c r="B22" s="67" t="s">
        <v>85</v>
      </c>
      <c r="C22" s="144" t="s">
        <v>11</v>
      </c>
      <c r="D22" s="144"/>
      <c r="E22" s="144"/>
      <c r="F22" s="69"/>
      <c r="G22" s="69">
        <f>-F21</f>
        <v>-66666.67</v>
      </c>
    </row>
    <row r="23" spans="2:17" ht="9.75" customHeight="1" x14ac:dyDescent="0.2">
      <c r="E23" s="2"/>
      <c r="F23" s="2"/>
      <c r="G23" s="2"/>
    </row>
    <row r="24" spans="2:17" ht="14.25" x14ac:dyDescent="0.2">
      <c r="B24" s="29"/>
    </row>
    <row r="25" spans="2:17" ht="9.75" customHeight="1" x14ac:dyDescent="0.2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</row>
    <row r="26" spans="2:17" ht="21.75" customHeight="1" x14ac:dyDescent="0.25">
      <c r="B26" s="58"/>
      <c r="C26" s="77">
        <v>42370</v>
      </c>
      <c r="D26" s="77">
        <f>C26+34</f>
        <v>42404</v>
      </c>
      <c r="E26" s="77">
        <f t="shared" ref="E26:N26" si="0">D26+30</f>
        <v>42434</v>
      </c>
      <c r="F26" s="77">
        <f t="shared" si="0"/>
        <v>42464</v>
      </c>
      <c r="G26" s="77">
        <f t="shared" si="0"/>
        <v>42494</v>
      </c>
      <c r="H26" s="77">
        <f t="shared" si="0"/>
        <v>42524</v>
      </c>
      <c r="I26" s="77">
        <f t="shared" si="0"/>
        <v>42554</v>
      </c>
      <c r="J26" s="77">
        <f t="shared" si="0"/>
        <v>42584</v>
      </c>
      <c r="K26" s="77">
        <f t="shared" si="0"/>
        <v>42614</v>
      </c>
      <c r="L26" s="77">
        <f t="shared" si="0"/>
        <v>42644</v>
      </c>
      <c r="M26" s="77">
        <f>L26+31</f>
        <v>42675</v>
      </c>
      <c r="N26" s="80">
        <f t="shared" si="0"/>
        <v>42705</v>
      </c>
    </row>
    <row r="27" spans="2:17" ht="22.5" customHeight="1" x14ac:dyDescent="0.25">
      <c r="B27" s="51" t="s">
        <v>23</v>
      </c>
      <c r="C27" s="76">
        <v>-447780.24</v>
      </c>
      <c r="D27" s="43">
        <f>C32</f>
        <v>-438794.62</v>
      </c>
      <c r="E27" s="43">
        <f>D32</f>
        <v>-437104.26999999996</v>
      </c>
      <c r="F27" s="43">
        <f>E32</f>
        <v>-408920.08999999997</v>
      </c>
      <c r="G27" s="43">
        <f>F32</f>
        <v>-394129.13</v>
      </c>
      <c r="H27" s="43">
        <f>G32</f>
        <v>-399812.54</v>
      </c>
      <c r="I27" s="43">
        <f t="shared" ref="I27:J27" si="1">H32</f>
        <v>-371146.23</v>
      </c>
      <c r="J27" s="43">
        <f t="shared" si="1"/>
        <v>-385064.24999999994</v>
      </c>
      <c r="K27" s="43">
        <f>J32</f>
        <v>-439588.9599999999</v>
      </c>
      <c r="L27" s="43">
        <f>K32</f>
        <v>-439588.9599999999</v>
      </c>
      <c r="M27" s="43">
        <f>L32</f>
        <v>-439588.9599999999</v>
      </c>
      <c r="N27" s="73">
        <f>M32</f>
        <v>-439588.9599999999</v>
      </c>
      <c r="O27" s="2"/>
    </row>
    <row r="28" spans="2:17" ht="30" customHeight="1" x14ac:dyDescent="0.2">
      <c r="B28" s="63" t="s">
        <v>24</v>
      </c>
      <c r="C28" s="65">
        <v>-66666.67</v>
      </c>
      <c r="D28" s="65">
        <v>-66666.67</v>
      </c>
      <c r="E28" s="66">
        <v>-66666.66</v>
      </c>
      <c r="F28" s="65">
        <v>-66666.67</v>
      </c>
      <c r="G28" s="65">
        <v>-66666.67</v>
      </c>
      <c r="H28" s="66">
        <v>-66666.66</v>
      </c>
      <c r="I28" s="65">
        <v>-66666.67</v>
      </c>
      <c r="J28" s="65">
        <v>-66666.67</v>
      </c>
      <c r="K28" s="66"/>
      <c r="L28" s="65"/>
      <c r="M28" s="65"/>
      <c r="N28" s="66"/>
      <c r="O28" s="2"/>
      <c r="P28" s="2">
        <f>SUM(C28:O28)</f>
        <v>-533333.34</v>
      </c>
    </row>
    <row r="29" spans="2:17" ht="22.5" customHeight="1" x14ac:dyDescent="0.2">
      <c r="B29" s="52" t="s">
        <v>25</v>
      </c>
      <c r="C29" s="40">
        <f>123.4+518.2+267+524.5+1073.6+2465+943.8+194.6+411+2618.2</f>
        <v>9139.2999999999993</v>
      </c>
      <c r="D29" s="44">
        <f>68357.02-57327.32</f>
        <v>11029.700000000004</v>
      </c>
      <c r="E29" s="44">
        <f>94850.84-82885.84</f>
        <v>11965</v>
      </c>
      <c r="F29" s="44">
        <f>81457.63-64197.34</f>
        <v>17260.290000000008</v>
      </c>
      <c r="G29" s="44">
        <f>60983.26-47700.76</f>
        <v>13282.5</v>
      </c>
      <c r="H29" s="44">
        <f>95332.97-88464.98</f>
        <v>6867.9900000000052</v>
      </c>
      <c r="I29" s="44">
        <f>52748.65-34463.25</f>
        <v>18285.400000000001</v>
      </c>
      <c r="J29" s="44">
        <f>58369.81-50876.38</f>
        <v>7493.43</v>
      </c>
      <c r="K29" s="44"/>
      <c r="L29" s="44"/>
      <c r="M29" s="44"/>
      <c r="N29" s="47"/>
      <c r="O29" s="2"/>
      <c r="P29" s="2">
        <f t="shared" ref="P29:P31" si="2">SUM(C29:O29)</f>
        <v>95323.610000000015</v>
      </c>
    </row>
    <row r="30" spans="2:17" ht="30" customHeight="1" x14ac:dyDescent="0.2">
      <c r="B30" s="63" t="s">
        <v>98</v>
      </c>
      <c r="C30" s="64">
        <v>66512.990000000005</v>
      </c>
      <c r="D30" s="65">
        <v>57327.32</v>
      </c>
      <c r="E30" s="65">
        <v>82885.84</v>
      </c>
      <c r="F30" s="65">
        <v>64197.34</v>
      </c>
      <c r="G30" s="65">
        <v>47700.76</v>
      </c>
      <c r="H30" s="65">
        <v>88464.98</v>
      </c>
      <c r="I30" s="65">
        <v>34463.25</v>
      </c>
      <c r="J30" s="65">
        <v>50876.38</v>
      </c>
      <c r="K30" s="65"/>
      <c r="L30" s="65"/>
      <c r="M30" s="65"/>
      <c r="N30" s="66"/>
      <c r="O30" s="2"/>
      <c r="P30" s="2">
        <f t="shared" si="2"/>
        <v>492428.86</v>
      </c>
    </row>
    <row r="31" spans="2:17" ht="29.25" customHeight="1" x14ac:dyDescent="0.2">
      <c r="B31" s="53" t="s">
        <v>87</v>
      </c>
      <c r="C31" s="41"/>
      <c r="D31" s="45"/>
      <c r="E31" s="45"/>
      <c r="F31" s="45"/>
      <c r="G31" s="45"/>
      <c r="H31" s="45"/>
      <c r="I31" s="45"/>
      <c r="J31" s="45">
        <v>-46227.85</v>
      </c>
      <c r="K31" s="45"/>
      <c r="L31" s="45"/>
      <c r="M31" s="45"/>
      <c r="N31" s="48"/>
      <c r="O31" s="2"/>
      <c r="P31" s="2">
        <f t="shared" si="2"/>
        <v>-46227.85</v>
      </c>
      <c r="Q31" s="74"/>
    </row>
    <row r="32" spans="2:17" ht="23.25" customHeight="1" thickBot="1" x14ac:dyDescent="0.3">
      <c r="B32" s="59" t="s">
        <v>27</v>
      </c>
      <c r="C32" s="42">
        <f t="shared" ref="C32:N32" si="3">SUM(C27:C31)</f>
        <v>-438794.62</v>
      </c>
      <c r="D32" s="46">
        <f t="shared" si="3"/>
        <v>-437104.26999999996</v>
      </c>
      <c r="E32" s="36">
        <f t="shared" si="3"/>
        <v>-408920.08999999997</v>
      </c>
      <c r="F32" s="36">
        <f t="shared" si="3"/>
        <v>-394129.13</v>
      </c>
      <c r="G32" s="36">
        <f>SUM(G27:G31)</f>
        <v>-399812.54</v>
      </c>
      <c r="H32" s="36">
        <f>SUM(H27:H31)</f>
        <v>-371146.23</v>
      </c>
      <c r="I32" s="36">
        <f t="shared" si="3"/>
        <v>-385064.24999999994</v>
      </c>
      <c r="J32" s="36">
        <f t="shared" si="3"/>
        <v>-439588.9599999999</v>
      </c>
      <c r="K32" s="36">
        <f t="shared" si="3"/>
        <v>-439588.9599999999</v>
      </c>
      <c r="L32" s="36">
        <f t="shared" si="3"/>
        <v>-439588.9599999999</v>
      </c>
      <c r="M32" s="36">
        <f t="shared" si="3"/>
        <v>-439588.9599999999</v>
      </c>
      <c r="N32" s="49">
        <f t="shared" si="3"/>
        <v>-439588.9599999999</v>
      </c>
      <c r="O32" s="2"/>
      <c r="P32" s="7">
        <f>SUM(P28:P31)</f>
        <v>8191.2800000000061</v>
      </c>
    </row>
    <row r="33" spans="2:17" ht="23.25" customHeight="1" thickTop="1" x14ac:dyDescent="0.2">
      <c r="B33" s="60" t="s">
        <v>59</v>
      </c>
      <c r="C33" s="38">
        <v>-438794.62</v>
      </c>
      <c r="D33" s="38">
        <v>-437104.27</v>
      </c>
      <c r="E33" s="37">
        <v>-408920.09</v>
      </c>
      <c r="F33" s="37">
        <v>-394129.13</v>
      </c>
      <c r="G33" s="37">
        <v>-399812.54</v>
      </c>
      <c r="H33" s="37">
        <v>-371146.23</v>
      </c>
      <c r="I33" s="37">
        <v>-385064.25</v>
      </c>
      <c r="J33" s="37">
        <v>-439588.96</v>
      </c>
      <c r="K33" s="38">
        <v>0</v>
      </c>
      <c r="L33" s="37">
        <v>0</v>
      </c>
      <c r="M33" s="37">
        <v>0</v>
      </c>
      <c r="N33" s="50"/>
      <c r="O33" s="2"/>
      <c r="Q33" s="74"/>
    </row>
    <row r="34" spans="2:17" ht="15.75" customHeight="1" x14ac:dyDescent="0.2">
      <c r="B34" s="29" t="s">
        <v>60</v>
      </c>
      <c r="C34" s="2">
        <f t="shared" ref="C34:N34" si="4">C32-C33</f>
        <v>0</v>
      </c>
      <c r="D34" s="2">
        <f t="shared" si="4"/>
        <v>0</v>
      </c>
      <c r="E34" s="2">
        <f t="shared" si="4"/>
        <v>0</v>
      </c>
      <c r="F34" s="2">
        <f t="shared" si="4"/>
        <v>0</v>
      </c>
      <c r="G34" s="2">
        <f t="shared" si="4"/>
        <v>0</v>
      </c>
      <c r="H34" s="2">
        <f t="shared" si="4"/>
        <v>0</v>
      </c>
      <c r="I34" s="2">
        <f t="shared" si="4"/>
        <v>0</v>
      </c>
      <c r="J34" s="2">
        <f t="shared" si="4"/>
        <v>0</v>
      </c>
      <c r="K34" s="2">
        <f t="shared" si="4"/>
        <v>-439588.9599999999</v>
      </c>
      <c r="L34" s="2">
        <f t="shared" si="4"/>
        <v>-439588.9599999999</v>
      </c>
      <c r="M34" s="2">
        <f t="shared" si="4"/>
        <v>-439588.9599999999</v>
      </c>
      <c r="N34" s="2">
        <f t="shared" si="4"/>
        <v>-439588.9599999999</v>
      </c>
      <c r="O34" s="2"/>
    </row>
    <row r="35" spans="2:17" ht="15.75" customHeight="1" x14ac:dyDescent="0.2">
      <c r="B35" s="2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74"/>
    </row>
    <row r="36" spans="2:17" s="29" customFormat="1" ht="14.25" x14ac:dyDescent="0.2">
      <c r="C36" s="28"/>
      <c r="D36" s="28"/>
      <c r="E36" s="34"/>
      <c r="F36" s="28"/>
      <c r="G36" s="28"/>
      <c r="H36" s="28"/>
      <c r="I36" s="28"/>
      <c r="J36" s="28"/>
      <c r="K36" s="28"/>
      <c r="L36" s="28"/>
      <c r="O36" s="28"/>
      <c r="Q36" s="74"/>
    </row>
    <row r="37" spans="2:17" ht="18" customHeight="1" thickBot="1" x14ac:dyDescent="0.4">
      <c r="B37" s="143" t="s">
        <v>34</v>
      </c>
      <c r="C37" s="143"/>
      <c r="D37" s="2"/>
      <c r="E37" s="2"/>
      <c r="F37" s="2"/>
      <c r="G37" s="2"/>
      <c r="I37" s="2"/>
      <c r="J37" s="2"/>
      <c r="K37" s="2"/>
      <c r="O37" s="2"/>
    </row>
    <row r="38" spans="2:17" ht="13.5" customHeight="1" x14ac:dyDescent="0.2">
      <c r="B38" s="82" t="s">
        <v>77</v>
      </c>
      <c r="C38" s="22"/>
      <c r="D38" s="2"/>
      <c r="E38" s="91"/>
      <c r="F38" s="2"/>
      <c r="I38" s="2"/>
      <c r="J38" s="2"/>
      <c r="K38" s="2"/>
      <c r="O38" s="2"/>
      <c r="Q38" s="74"/>
    </row>
    <row r="39" spans="2:17" ht="13.5" customHeight="1" x14ac:dyDescent="0.2">
      <c r="B39" s="82" t="s">
        <v>42</v>
      </c>
      <c r="C39" s="22"/>
      <c r="D39" s="2"/>
      <c r="E39" s="91"/>
      <c r="F39" s="2"/>
      <c r="I39" s="2"/>
      <c r="J39" s="2"/>
      <c r="K39" s="2"/>
      <c r="O39" s="2"/>
      <c r="Q39" s="9"/>
    </row>
    <row r="40" spans="2:17" ht="13.5" customHeight="1" x14ac:dyDescent="0.2">
      <c r="B40" s="82" t="s">
        <v>62</v>
      </c>
      <c r="C40" s="138" t="s">
        <v>71</v>
      </c>
      <c r="D40" s="2"/>
      <c r="E40" s="2"/>
      <c r="F40" s="2"/>
      <c r="I40" s="2"/>
      <c r="J40" s="2"/>
      <c r="K40" s="2"/>
      <c r="O40" s="2"/>
    </row>
    <row r="41" spans="2:17" ht="13.5" customHeight="1" x14ac:dyDescent="0.2">
      <c r="B41" s="82" t="s">
        <v>94</v>
      </c>
      <c r="C41" s="138"/>
      <c r="D41" s="2"/>
      <c r="E41" s="2"/>
      <c r="F41" s="2"/>
      <c r="I41" s="2"/>
      <c r="J41" s="2"/>
      <c r="K41" s="2"/>
      <c r="O41" s="2"/>
    </row>
    <row r="42" spans="2:17" ht="13.5" customHeight="1" x14ac:dyDescent="0.2">
      <c r="B42" s="82" t="s">
        <v>97</v>
      </c>
      <c r="C42" s="92"/>
      <c r="D42" s="2"/>
      <c r="E42" s="2"/>
      <c r="F42" s="2"/>
      <c r="I42" s="2"/>
      <c r="J42" s="2"/>
      <c r="K42" s="2"/>
      <c r="O42" s="2"/>
    </row>
    <row r="43" spans="2:17" ht="13.5" customHeight="1" x14ac:dyDescent="0.2">
      <c r="B43" s="82" t="s">
        <v>81</v>
      </c>
      <c r="C43" s="30"/>
      <c r="D43" s="2"/>
      <c r="E43" s="2"/>
      <c r="F43" s="2"/>
      <c r="I43" s="2"/>
      <c r="J43" s="2"/>
      <c r="K43" s="2"/>
      <c r="O43" s="2"/>
    </row>
    <row r="44" spans="2:17" ht="13.5" customHeight="1" x14ac:dyDescent="0.2">
      <c r="B44" s="82" t="s">
        <v>36</v>
      </c>
      <c r="C44" s="30"/>
      <c r="D44" s="2"/>
      <c r="E44" s="2"/>
      <c r="F44" s="2"/>
      <c r="I44" s="2"/>
      <c r="J44" s="2"/>
      <c r="K44" s="2"/>
      <c r="O44" s="2"/>
    </row>
    <row r="51" spans="2:2" ht="14.25" x14ac:dyDescent="0.2">
      <c r="B51" s="78" t="str">
        <f ca="1">CELL("filename")</f>
        <v>C:\Users\ISAAC.MYHRUM\AppData\Local\Microsoft\Windows\INetCache\Content.Outlook\HMSW6VJP\[47WA.2429.02 WA Low Income 2021 (004).xlsx]WA 2020-21 Plan Year</v>
      </c>
    </row>
  </sheetData>
  <mergeCells count="7">
    <mergeCell ref="C40:C41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52"/>
  <sheetViews>
    <sheetView showGridLines="0" topLeftCell="A19" zoomScaleNormal="100" workbookViewId="0">
      <selection activeCell="E36" sqref="E36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 x14ac:dyDescent="0.25">
      <c r="B1" s="87"/>
      <c r="C1" s="87"/>
      <c r="D1" s="87"/>
    </row>
    <row r="2" spans="2:14" ht="20.25" customHeight="1" thickTop="1" thickBot="1" x14ac:dyDescent="0.3">
      <c r="B2" s="88" t="s">
        <v>65</v>
      </c>
      <c r="C2" s="139" t="s">
        <v>83</v>
      </c>
      <c r="D2" s="139"/>
      <c r="E2" s="140" t="s">
        <v>68</v>
      </c>
      <c r="F2" s="140"/>
      <c r="G2" s="140"/>
      <c r="H2" s="140"/>
      <c r="I2" s="140"/>
      <c r="J2" s="140"/>
      <c r="K2" s="140"/>
      <c r="L2" s="140"/>
      <c r="M2" s="140"/>
    </row>
    <row r="3" spans="2:14" ht="20.25" customHeight="1" thickTop="1" thickBot="1" x14ac:dyDescent="0.3">
      <c r="B3" s="89" t="s">
        <v>57</v>
      </c>
      <c r="C3" s="141">
        <v>42374</v>
      </c>
      <c r="D3" s="141"/>
      <c r="E3" s="140"/>
      <c r="F3" s="140"/>
      <c r="G3" s="140"/>
      <c r="H3" s="140"/>
      <c r="I3" s="140"/>
      <c r="J3" s="140"/>
      <c r="K3" s="140"/>
      <c r="L3" s="140"/>
      <c r="M3" s="140"/>
    </row>
    <row r="4" spans="2:14" ht="11.25" customHeight="1" thickTop="1" x14ac:dyDescent="0.2">
      <c r="B4" s="86"/>
    </row>
    <row r="5" spans="2:14" ht="15.75" customHeight="1" x14ac:dyDescent="0.3">
      <c r="B5" s="83">
        <v>2015</v>
      </c>
      <c r="C5" s="61"/>
      <c r="D5" s="61"/>
      <c r="F5" s="61"/>
      <c r="G5" s="61"/>
      <c r="H5" s="61"/>
      <c r="I5" s="61"/>
      <c r="J5" s="61"/>
      <c r="K5" s="61"/>
      <c r="L5" s="61"/>
      <c r="M5" s="61"/>
      <c r="N5" s="61"/>
    </row>
    <row r="6" spans="2:14" ht="18" x14ac:dyDescent="0.25">
      <c r="B6" s="61" t="s">
        <v>69</v>
      </c>
    </row>
    <row r="7" spans="2:14" ht="14.25" x14ac:dyDescent="0.2">
      <c r="B7" s="29" t="s">
        <v>90</v>
      </c>
    </row>
    <row r="8" spans="2:14" ht="14.25" x14ac:dyDescent="0.2">
      <c r="B8" s="29" t="s">
        <v>91</v>
      </c>
    </row>
    <row r="9" spans="2:14" ht="14.25" x14ac:dyDescent="0.2">
      <c r="B9" s="29" t="s">
        <v>86</v>
      </c>
    </row>
    <row r="10" spans="2:14" ht="14.25" x14ac:dyDescent="0.2">
      <c r="B10" s="29"/>
    </row>
    <row r="11" spans="2:14" ht="10.5" customHeight="1" x14ac:dyDescent="0.2">
      <c r="B11" s="29"/>
    </row>
    <row r="12" spans="2:14" ht="14.25" x14ac:dyDescent="0.2">
      <c r="B12" s="29" t="s">
        <v>79</v>
      </c>
    </row>
    <row r="13" spans="2:14" ht="15" x14ac:dyDescent="0.25">
      <c r="B13" s="29" t="s">
        <v>66</v>
      </c>
    </row>
    <row r="14" spans="2:14" ht="14.25" x14ac:dyDescent="0.2">
      <c r="B14" s="29" t="s">
        <v>88</v>
      </c>
    </row>
    <row r="15" spans="2:14" ht="15" x14ac:dyDescent="0.25">
      <c r="B15" s="29" t="s">
        <v>67</v>
      </c>
    </row>
    <row r="16" spans="2:14" ht="14.25" x14ac:dyDescent="0.2">
      <c r="B16" s="29" t="s">
        <v>73</v>
      </c>
    </row>
    <row r="17" spans="2:17" ht="14.25" x14ac:dyDescent="0.2">
      <c r="B17" s="29" t="s">
        <v>89</v>
      </c>
    </row>
    <row r="18" spans="2:17" ht="11.25" customHeight="1" x14ac:dyDescent="0.2">
      <c r="B18" s="29"/>
    </row>
    <row r="19" spans="2:17" ht="14.25" x14ac:dyDescent="0.2">
      <c r="B19" s="29" t="s">
        <v>7</v>
      </c>
    </row>
    <row r="20" spans="2:17" ht="10.5" customHeight="1" x14ac:dyDescent="0.2"/>
    <row r="21" spans="2:17" ht="15.75" x14ac:dyDescent="0.25">
      <c r="B21" s="67" t="s">
        <v>84</v>
      </c>
      <c r="C21" s="144" t="s">
        <v>10</v>
      </c>
      <c r="D21" s="144"/>
      <c r="E21" s="144"/>
      <c r="F21" s="69">
        <f>-N28</f>
        <v>66666.66</v>
      </c>
      <c r="G21" s="69"/>
    </row>
    <row r="22" spans="2:17" ht="15.75" x14ac:dyDescent="0.25">
      <c r="B22" s="67" t="s">
        <v>85</v>
      </c>
      <c r="C22" s="144" t="s">
        <v>11</v>
      </c>
      <c r="D22" s="144"/>
      <c r="E22" s="144"/>
      <c r="F22" s="69"/>
      <c r="G22" s="69">
        <f>-F21</f>
        <v>-66666.66</v>
      </c>
    </row>
    <row r="23" spans="2:17" ht="9.75" customHeight="1" x14ac:dyDescent="0.2">
      <c r="E23" s="2"/>
      <c r="F23" s="2"/>
      <c r="G23" s="2"/>
    </row>
    <row r="24" spans="2:17" ht="14.25" x14ac:dyDescent="0.2">
      <c r="B24" s="29"/>
    </row>
    <row r="25" spans="2:17" ht="9.75" customHeight="1" x14ac:dyDescent="0.2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</row>
    <row r="26" spans="2:17" ht="21.75" customHeight="1" x14ac:dyDescent="0.25">
      <c r="B26" s="58"/>
      <c r="C26" s="77">
        <v>42005</v>
      </c>
      <c r="D26" s="77">
        <f>C26+34</f>
        <v>42039</v>
      </c>
      <c r="E26" s="77">
        <f t="shared" ref="E26:N26" si="0">D26+30</f>
        <v>42069</v>
      </c>
      <c r="F26" s="77">
        <f t="shared" si="0"/>
        <v>42099</v>
      </c>
      <c r="G26" s="77">
        <f t="shared" si="0"/>
        <v>42129</v>
      </c>
      <c r="H26" s="77">
        <f t="shared" si="0"/>
        <v>42159</v>
      </c>
      <c r="I26" s="77">
        <f t="shared" si="0"/>
        <v>42189</v>
      </c>
      <c r="J26" s="77">
        <f t="shared" si="0"/>
        <v>42219</v>
      </c>
      <c r="K26" s="77">
        <f t="shared" si="0"/>
        <v>42249</v>
      </c>
      <c r="L26" s="77">
        <f t="shared" si="0"/>
        <v>42279</v>
      </c>
      <c r="M26" s="77">
        <f>L26+31</f>
        <v>42310</v>
      </c>
      <c r="N26" s="80">
        <f t="shared" si="0"/>
        <v>42340</v>
      </c>
    </row>
    <row r="27" spans="2:17" ht="22.5" customHeight="1" x14ac:dyDescent="0.25">
      <c r="B27" s="51" t="s">
        <v>23</v>
      </c>
      <c r="C27" s="76">
        <v>-589264.5</v>
      </c>
      <c r="D27" s="43">
        <f>C32</f>
        <v>-561738.44999999995</v>
      </c>
      <c r="E27" s="43">
        <f>D32</f>
        <v>-526472.83000000007</v>
      </c>
      <c r="F27" s="43">
        <f>E32</f>
        <v>-481609.55000000016</v>
      </c>
      <c r="G27" s="43">
        <f>F32</f>
        <v>-469182.73000000021</v>
      </c>
      <c r="H27" s="43">
        <f>G32</f>
        <v>-457572.08000000019</v>
      </c>
      <c r="I27" s="43">
        <f t="shared" ref="I27:J27" si="1">H32</f>
        <v>-461977.27000000025</v>
      </c>
      <c r="J27" s="43">
        <f t="shared" si="1"/>
        <v>-479965.39000000031</v>
      </c>
      <c r="K27" s="43">
        <f>J32</f>
        <v>-481711.7600000003</v>
      </c>
      <c r="L27" s="43">
        <f>K32</f>
        <v>-488166.23000000021</v>
      </c>
      <c r="M27" s="43">
        <f>L32</f>
        <v>-500096.72000000026</v>
      </c>
      <c r="N27" s="73">
        <f>M32</f>
        <v>-441839.70000000024</v>
      </c>
      <c r="O27" s="2"/>
    </row>
    <row r="28" spans="2:17" ht="30" customHeight="1" x14ac:dyDescent="0.2">
      <c r="B28" s="63" t="s">
        <v>24</v>
      </c>
      <c r="C28" s="65">
        <v>-66666.67</v>
      </c>
      <c r="D28" s="65">
        <v>-66666.67</v>
      </c>
      <c r="E28" s="66">
        <v>-66666.66</v>
      </c>
      <c r="F28" s="65">
        <v>-66666.67</v>
      </c>
      <c r="G28" s="65">
        <v>-66666.67</v>
      </c>
      <c r="H28" s="66">
        <v>-66666.66</v>
      </c>
      <c r="I28" s="65">
        <v>-66666.67</v>
      </c>
      <c r="J28" s="65">
        <v>-66666.67</v>
      </c>
      <c r="K28" s="66">
        <v>-66666.66</v>
      </c>
      <c r="L28" s="65">
        <v>-66666.67</v>
      </c>
      <c r="M28" s="65">
        <v>-66666.67</v>
      </c>
      <c r="N28" s="66">
        <v>-66666.66</v>
      </c>
      <c r="O28" s="2"/>
      <c r="P28" s="2">
        <f>SUM(C28:O28)</f>
        <v>-800000.00000000012</v>
      </c>
    </row>
    <row r="29" spans="2:17" ht="22.5" customHeight="1" x14ac:dyDescent="0.2">
      <c r="B29" s="52" t="s">
        <v>25</v>
      </c>
      <c r="C29" s="40">
        <f>1750.35+2298.6+75.75+380.2+1528.43+2555.7+274.6+6794.05</f>
        <v>15657.68</v>
      </c>
      <c r="D29" s="44">
        <f>761.1+979.2+4486.95+163.05+38.4+5403.2+386.4+1644.9</f>
        <v>13863.199999999999</v>
      </c>
      <c r="E29" s="44">
        <f>864.3+134.7+3959.4+1704.15+2496.6+1368.15+133.6+1195.05+1239.15+274.5</f>
        <v>13369.599999999999</v>
      </c>
      <c r="F29" s="44">
        <f>882+195.6+9189.6+968.85+38.57+1450.2+185+489+1211.8+2255.1+2638.65+1536</f>
        <v>21040.370000000003</v>
      </c>
      <c r="G29" s="44">
        <f>2918.55+1140.9+1342.8+160.5+141.6+3351+850.35+335.4+237.2</f>
        <v>10478.300000000001</v>
      </c>
      <c r="H29" s="44">
        <f>24.75+2522.25+98.4+2689.65+1577.55+259.8+2612.4+1485.4+380.6</f>
        <v>11650.800000000001</v>
      </c>
      <c r="I29" s="44">
        <f>1547.8+1365.6+134.25+12.9+287.8+1685.4+2216+71.6+3681.85</f>
        <v>11003.2</v>
      </c>
      <c r="J29" s="44">
        <f>116.4+232.95+1026.6+863.1+2560+3272.2</f>
        <v>8071.2499999999991</v>
      </c>
      <c r="K29" s="44">
        <f>341.1+15722+301.95+1366+1796.4+1574.6</f>
        <v>21102.050000000003</v>
      </c>
      <c r="L29" s="44">
        <f>884.6+1765.35+1828.6+115+100+2408.8+593</f>
        <v>7695.3499999999995</v>
      </c>
      <c r="M29" s="44">
        <f>4897.8+1488+95.6+279+990+379.2+200+961.88</f>
        <v>9291.48</v>
      </c>
      <c r="N29" s="47">
        <v>19602</v>
      </c>
      <c r="O29" s="2"/>
      <c r="P29" s="2">
        <f t="shared" ref="P29:P31" si="2">SUM(C29:O29)</f>
        <v>162825.28</v>
      </c>
    </row>
    <row r="30" spans="2:17" ht="30" customHeight="1" x14ac:dyDescent="0.2">
      <c r="B30" s="63" t="s">
        <v>96</v>
      </c>
      <c r="C30" s="64">
        <v>78535.039999999994</v>
      </c>
      <c r="D30" s="65">
        <v>88069.09</v>
      </c>
      <c r="E30" s="65">
        <v>98160.34</v>
      </c>
      <c r="F30" s="65">
        <v>58053.120000000003</v>
      </c>
      <c r="G30" s="65">
        <v>67799.02</v>
      </c>
      <c r="H30" s="65">
        <v>50610.67</v>
      </c>
      <c r="I30" s="65">
        <v>37675.35</v>
      </c>
      <c r="J30" s="65">
        <v>102411.67</v>
      </c>
      <c r="K30" s="65">
        <v>39110.14</v>
      </c>
      <c r="L30" s="65">
        <v>47040.83</v>
      </c>
      <c r="M30" s="65">
        <v>115632.21</v>
      </c>
      <c r="N30" s="66">
        <v>41124.120000000003</v>
      </c>
      <c r="O30" s="2"/>
      <c r="P30" s="2">
        <f t="shared" si="2"/>
        <v>824221.59999999986</v>
      </c>
    </row>
    <row r="31" spans="2:17" ht="29.25" customHeight="1" x14ac:dyDescent="0.2">
      <c r="B31" s="53" t="s">
        <v>87</v>
      </c>
      <c r="C31" s="41"/>
      <c r="D31" s="45"/>
      <c r="E31" s="45"/>
      <c r="F31" s="45"/>
      <c r="G31" s="45"/>
      <c r="H31" s="45"/>
      <c r="I31" s="45"/>
      <c r="J31" s="45">
        <v>-45562.62</v>
      </c>
      <c r="K31" s="45"/>
      <c r="L31" s="45"/>
      <c r="M31" s="45"/>
      <c r="N31" s="48"/>
      <c r="O31" s="2"/>
      <c r="P31" s="2">
        <f t="shared" si="2"/>
        <v>-45562.62</v>
      </c>
      <c r="Q31" s="74"/>
    </row>
    <row r="32" spans="2:17" ht="23.25" customHeight="1" thickBot="1" x14ac:dyDescent="0.3">
      <c r="B32" s="59" t="s">
        <v>27</v>
      </c>
      <c r="C32" s="42">
        <f t="shared" ref="C32:N32" si="3">SUM(C27:C31)</f>
        <v>-561738.44999999995</v>
      </c>
      <c r="D32" s="46">
        <f t="shared" si="3"/>
        <v>-526472.83000000007</v>
      </c>
      <c r="E32" s="36">
        <f t="shared" si="3"/>
        <v>-481609.55000000016</v>
      </c>
      <c r="F32" s="36">
        <f t="shared" si="3"/>
        <v>-469182.73000000021</v>
      </c>
      <c r="G32" s="36">
        <f>SUM(G27:G31)</f>
        <v>-457572.08000000019</v>
      </c>
      <c r="H32" s="36">
        <f>SUM(H27:H31)</f>
        <v>-461977.27000000025</v>
      </c>
      <c r="I32" s="36">
        <f t="shared" si="3"/>
        <v>-479965.39000000031</v>
      </c>
      <c r="J32" s="36">
        <f t="shared" si="3"/>
        <v>-481711.7600000003</v>
      </c>
      <c r="K32" s="36">
        <f t="shared" si="3"/>
        <v>-488166.23000000021</v>
      </c>
      <c r="L32" s="36">
        <f t="shared" si="3"/>
        <v>-500096.72000000026</v>
      </c>
      <c r="M32" s="36">
        <f t="shared" si="3"/>
        <v>-441839.70000000024</v>
      </c>
      <c r="N32" s="49">
        <f t="shared" si="3"/>
        <v>-447780.24000000022</v>
      </c>
      <c r="O32" s="2"/>
      <c r="P32" s="7">
        <f>SUM(P28:P31)</f>
        <v>141484.25999999978</v>
      </c>
    </row>
    <row r="33" spans="2:17" ht="23.25" customHeight="1" thickTop="1" x14ac:dyDescent="0.2">
      <c r="B33" s="60" t="s">
        <v>59</v>
      </c>
      <c r="C33" s="38">
        <v>-561738.44999999995</v>
      </c>
      <c r="D33" s="38">
        <v>-526472.82999999996</v>
      </c>
      <c r="E33" s="37">
        <v>-481609.55</v>
      </c>
      <c r="F33" s="37">
        <v>-469182.73</v>
      </c>
      <c r="G33" s="37">
        <v>-457572.08</v>
      </c>
      <c r="H33" s="37">
        <v>-461977.27</v>
      </c>
      <c r="I33" s="37">
        <v>-479965.39</v>
      </c>
      <c r="J33" s="37">
        <v>-481711.76</v>
      </c>
      <c r="K33" s="38">
        <v>-488166.23</v>
      </c>
      <c r="L33" s="37">
        <v>-500096.72</v>
      </c>
      <c r="M33" s="37">
        <v>-441839.7</v>
      </c>
      <c r="N33" s="50">
        <v>-447780.24</v>
      </c>
      <c r="O33" s="2"/>
      <c r="Q33" s="74"/>
    </row>
    <row r="34" spans="2:17" ht="15.75" customHeight="1" x14ac:dyDescent="0.2">
      <c r="B34" s="29" t="s">
        <v>60</v>
      </c>
      <c r="C34" s="2">
        <f t="shared" ref="C34:N34" si="4">C32-C33</f>
        <v>0</v>
      </c>
      <c r="D34" s="2">
        <f t="shared" si="4"/>
        <v>0</v>
      </c>
      <c r="E34" s="2">
        <f t="shared" si="4"/>
        <v>0</v>
      </c>
      <c r="F34" s="2">
        <f t="shared" si="4"/>
        <v>0</v>
      </c>
      <c r="G34" s="2">
        <f t="shared" si="4"/>
        <v>0</v>
      </c>
      <c r="H34" s="2">
        <f t="shared" si="4"/>
        <v>0</v>
      </c>
      <c r="I34" s="2">
        <f t="shared" si="4"/>
        <v>0</v>
      </c>
      <c r="J34" s="2">
        <f t="shared" si="4"/>
        <v>0</v>
      </c>
      <c r="K34" s="2">
        <f t="shared" si="4"/>
        <v>0</v>
      </c>
      <c r="L34" s="2">
        <f t="shared" si="4"/>
        <v>0</v>
      </c>
      <c r="M34" s="2">
        <f t="shared" si="4"/>
        <v>0</v>
      </c>
      <c r="N34" s="2">
        <f t="shared" si="4"/>
        <v>0</v>
      </c>
      <c r="O34" s="2"/>
    </row>
    <row r="35" spans="2:17" ht="15.75" customHeight="1" x14ac:dyDescent="0.2">
      <c r="B35" s="2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74"/>
    </row>
    <row r="36" spans="2:17" s="29" customFormat="1" ht="14.25" x14ac:dyDescent="0.2">
      <c r="C36" s="28"/>
      <c r="D36" s="28"/>
      <c r="E36" s="34"/>
      <c r="F36" s="28"/>
      <c r="G36" s="28"/>
      <c r="H36" s="28"/>
      <c r="I36" s="28"/>
      <c r="J36" s="28"/>
      <c r="K36" s="28"/>
      <c r="L36" s="28"/>
      <c r="O36" s="28"/>
      <c r="Q36" s="74"/>
    </row>
    <row r="37" spans="2:17" ht="18" customHeight="1" thickBot="1" x14ac:dyDescent="0.4">
      <c r="B37" s="143" t="s">
        <v>34</v>
      </c>
      <c r="C37" s="143"/>
      <c r="D37" s="2"/>
      <c r="E37" s="2"/>
      <c r="F37" s="2"/>
      <c r="G37" s="2"/>
      <c r="I37" s="2"/>
      <c r="J37" s="2"/>
      <c r="K37" s="2"/>
      <c r="O37" s="2"/>
    </row>
    <row r="38" spans="2:17" ht="13.5" customHeight="1" x14ac:dyDescent="0.2">
      <c r="B38" s="82" t="s">
        <v>77</v>
      </c>
      <c r="C38" s="22"/>
      <c r="D38" s="2"/>
      <c r="E38" s="91" t="s">
        <v>95</v>
      </c>
      <c r="F38" s="2"/>
      <c r="I38" s="2"/>
      <c r="J38" s="2"/>
      <c r="K38" s="2"/>
      <c r="O38" s="2"/>
      <c r="Q38" s="74"/>
    </row>
    <row r="39" spans="2:17" ht="13.5" customHeight="1" x14ac:dyDescent="0.2">
      <c r="B39" s="82" t="s">
        <v>42</v>
      </c>
      <c r="C39" s="22"/>
      <c r="D39" s="2"/>
      <c r="E39" s="91" t="s">
        <v>93</v>
      </c>
      <c r="F39" s="2"/>
      <c r="I39" s="2"/>
      <c r="J39" s="2"/>
      <c r="K39" s="2"/>
      <c r="O39" s="2"/>
      <c r="Q39" s="9"/>
    </row>
    <row r="40" spans="2:17" ht="13.5" customHeight="1" x14ac:dyDescent="0.2">
      <c r="B40" s="82" t="s">
        <v>62</v>
      </c>
      <c r="C40" s="138" t="s">
        <v>71</v>
      </c>
      <c r="D40" s="2"/>
      <c r="E40" s="2"/>
      <c r="F40" s="2"/>
      <c r="I40" s="2"/>
      <c r="J40" s="2"/>
      <c r="K40" s="2"/>
      <c r="O40" s="2"/>
    </row>
    <row r="41" spans="2:17" ht="13.5" customHeight="1" x14ac:dyDescent="0.2">
      <c r="B41" s="82" t="s">
        <v>63</v>
      </c>
      <c r="C41" s="138"/>
      <c r="D41" s="2"/>
      <c r="E41" s="2"/>
      <c r="F41" s="2"/>
      <c r="I41" s="2"/>
      <c r="J41" s="2"/>
      <c r="K41" s="2"/>
      <c r="O41" s="2"/>
    </row>
    <row r="42" spans="2:17" ht="13.5" customHeight="1" x14ac:dyDescent="0.2">
      <c r="B42" s="82" t="s">
        <v>94</v>
      </c>
      <c r="C42" s="138"/>
      <c r="D42" s="2"/>
      <c r="E42" s="2"/>
      <c r="F42" s="2"/>
      <c r="I42" s="2"/>
      <c r="J42" s="2"/>
      <c r="K42" s="2"/>
      <c r="O42" s="2"/>
    </row>
    <row r="43" spans="2:17" ht="13.5" customHeight="1" x14ac:dyDescent="0.2">
      <c r="B43" s="82" t="s">
        <v>97</v>
      </c>
      <c r="C43" s="92"/>
      <c r="D43" s="2"/>
      <c r="E43" s="2"/>
      <c r="F43" s="2"/>
      <c r="I43" s="2"/>
      <c r="J43" s="2"/>
      <c r="K43" s="2"/>
      <c r="O43" s="2"/>
    </row>
    <row r="44" spans="2:17" ht="13.5" customHeight="1" x14ac:dyDescent="0.2">
      <c r="B44" s="82" t="s">
        <v>81</v>
      </c>
      <c r="C44" s="30"/>
      <c r="D44" s="2"/>
      <c r="E44" s="2"/>
      <c r="F44" s="2"/>
      <c r="I44" s="2"/>
      <c r="J44" s="2"/>
      <c r="K44" s="2"/>
      <c r="O44" s="2"/>
    </row>
    <row r="45" spans="2:17" ht="13.5" customHeight="1" x14ac:dyDescent="0.2">
      <c r="B45" s="82" t="s">
        <v>36</v>
      </c>
      <c r="C45" s="30"/>
      <c r="D45" s="2"/>
      <c r="E45" s="2"/>
      <c r="F45" s="2"/>
      <c r="I45" s="2"/>
      <c r="J45" s="2"/>
      <c r="K45" s="2"/>
      <c r="O45" s="2"/>
    </row>
    <row r="52" spans="2:2" ht="14.25" x14ac:dyDescent="0.2">
      <c r="B52" s="78" t="str">
        <f ca="1">CELL("filename")</f>
        <v>C:\Users\ISAAC.MYHRUM\AppData\Local\Microsoft\Windows\INetCache\Content.Outlook\HMSW6VJP\[47WA.2429.02 WA Low Income 2021 (004).xlsx]WA 2020-21 Plan Year</v>
      </c>
    </row>
  </sheetData>
  <mergeCells count="7">
    <mergeCell ref="C40:C42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Q51"/>
  <sheetViews>
    <sheetView showGridLines="0" zoomScaleNormal="100" workbookViewId="0">
      <selection activeCell="G15" sqref="G15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 x14ac:dyDescent="0.25">
      <c r="B1" s="87"/>
      <c r="C1" s="87"/>
      <c r="D1" s="87"/>
    </row>
    <row r="2" spans="2:14" ht="20.25" customHeight="1" thickTop="1" thickBot="1" x14ac:dyDescent="0.3">
      <c r="B2" s="88" t="s">
        <v>65</v>
      </c>
      <c r="C2" s="139" t="s">
        <v>83</v>
      </c>
      <c r="D2" s="139"/>
      <c r="E2" s="140" t="s">
        <v>68</v>
      </c>
      <c r="F2" s="140"/>
      <c r="G2" s="140"/>
      <c r="H2" s="140"/>
      <c r="I2" s="140"/>
      <c r="J2" s="140"/>
      <c r="K2" s="140"/>
      <c r="L2" s="140"/>
      <c r="M2" s="140"/>
    </row>
    <row r="3" spans="2:14" ht="20.25" customHeight="1" thickTop="1" thickBot="1" x14ac:dyDescent="0.3">
      <c r="B3" s="89" t="s">
        <v>57</v>
      </c>
      <c r="C3" s="141">
        <v>42011</v>
      </c>
      <c r="D3" s="141"/>
      <c r="E3" s="140"/>
      <c r="F3" s="140"/>
      <c r="G3" s="140"/>
      <c r="H3" s="140"/>
      <c r="I3" s="140"/>
      <c r="J3" s="140"/>
      <c r="K3" s="140"/>
      <c r="L3" s="140"/>
      <c r="M3" s="140"/>
    </row>
    <row r="4" spans="2:14" ht="11.25" customHeight="1" thickTop="1" x14ac:dyDescent="0.2">
      <c r="B4" s="86"/>
    </row>
    <row r="5" spans="2:14" ht="15.75" customHeight="1" x14ac:dyDescent="0.3">
      <c r="B5" s="83">
        <v>2014</v>
      </c>
      <c r="C5" s="61"/>
      <c r="D5" s="61"/>
      <c r="F5" s="61"/>
      <c r="G5" s="61"/>
      <c r="H5" s="61"/>
      <c r="I5" s="61"/>
      <c r="J5" s="61"/>
      <c r="K5" s="61"/>
      <c r="L5" s="61"/>
      <c r="M5" s="61"/>
      <c r="N5" s="61"/>
    </row>
    <row r="6" spans="2:14" ht="18" x14ac:dyDescent="0.25">
      <c r="B6" s="61" t="s">
        <v>69</v>
      </c>
    </row>
    <row r="7" spans="2:14" ht="14.25" x14ac:dyDescent="0.2">
      <c r="B7" s="29" t="s">
        <v>90</v>
      </c>
    </row>
    <row r="8" spans="2:14" ht="14.25" x14ac:dyDescent="0.2">
      <c r="B8" s="29" t="s">
        <v>91</v>
      </c>
    </row>
    <row r="9" spans="2:14" ht="14.25" x14ac:dyDescent="0.2">
      <c r="B9" s="29" t="s">
        <v>86</v>
      </c>
    </row>
    <row r="10" spans="2:14" ht="14.25" x14ac:dyDescent="0.2">
      <c r="B10" s="29"/>
    </row>
    <row r="11" spans="2:14" ht="10.5" customHeight="1" x14ac:dyDescent="0.2">
      <c r="B11" s="29"/>
    </row>
    <row r="12" spans="2:14" ht="14.25" x14ac:dyDescent="0.2">
      <c r="B12" s="29" t="s">
        <v>79</v>
      </c>
    </row>
    <row r="13" spans="2:14" ht="15" x14ac:dyDescent="0.25">
      <c r="B13" s="29" t="s">
        <v>66</v>
      </c>
    </row>
    <row r="14" spans="2:14" ht="14.25" x14ac:dyDescent="0.2">
      <c r="B14" s="29" t="s">
        <v>88</v>
      </c>
    </row>
    <row r="15" spans="2:14" ht="15" x14ac:dyDescent="0.25">
      <c r="B15" s="29" t="s">
        <v>67</v>
      </c>
    </row>
    <row r="16" spans="2:14" ht="14.25" x14ac:dyDescent="0.2">
      <c r="B16" s="29" t="s">
        <v>73</v>
      </c>
    </row>
    <row r="17" spans="2:17" ht="14.25" x14ac:dyDescent="0.2">
      <c r="B17" s="29" t="s">
        <v>89</v>
      </c>
    </row>
    <row r="18" spans="2:17" ht="11.25" customHeight="1" x14ac:dyDescent="0.2">
      <c r="B18" s="29"/>
    </row>
    <row r="19" spans="2:17" ht="14.25" x14ac:dyDescent="0.2">
      <c r="B19" s="29" t="s">
        <v>7</v>
      </c>
    </row>
    <row r="20" spans="2:17" ht="10.5" customHeight="1" x14ac:dyDescent="0.2"/>
    <row r="21" spans="2:17" ht="15.75" x14ac:dyDescent="0.25">
      <c r="B21" s="67" t="s">
        <v>84</v>
      </c>
      <c r="C21" s="144" t="s">
        <v>10</v>
      </c>
      <c r="D21" s="144"/>
      <c r="E21" s="144"/>
      <c r="F21" s="69">
        <f>-N28</f>
        <v>66666.66</v>
      </c>
      <c r="G21" s="69"/>
    </row>
    <row r="22" spans="2:17" ht="15.75" x14ac:dyDescent="0.25">
      <c r="B22" s="67" t="s">
        <v>85</v>
      </c>
      <c r="C22" s="144" t="s">
        <v>11</v>
      </c>
      <c r="D22" s="144"/>
      <c r="E22" s="144"/>
      <c r="F22" s="69"/>
      <c r="G22" s="69">
        <f>-F21</f>
        <v>-66666.66</v>
      </c>
    </row>
    <row r="23" spans="2:17" ht="9.75" customHeight="1" x14ac:dyDescent="0.2">
      <c r="E23" s="2"/>
      <c r="F23" s="2"/>
      <c r="G23" s="2"/>
    </row>
    <row r="24" spans="2:17" ht="14.25" x14ac:dyDescent="0.2">
      <c r="B24" s="29"/>
    </row>
    <row r="25" spans="2:17" ht="9.75" customHeight="1" x14ac:dyDescent="0.2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</row>
    <row r="26" spans="2:17" ht="21.75" customHeight="1" x14ac:dyDescent="0.25">
      <c r="B26" s="58"/>
      <c r="C26" s="77">
        <v>41640</v>
      </c>
      <c r="D26" s="77">
        <f>C26+34</f>
        <v>41674</v>
      </c>
      <c r="E26" s="77">
        <f t="shared" ref="E26:N26" si="0">D26+30</f>
        <v>41704</v>
      </c>
      <c r="F26" s="77">
        <f t="shared" si="0"/>
        <v>41734</v>
      </c>
      <c r="G26" s="77">
        <f t="shared" si="0"/>
        <v>41764</v>
      </c>
      <c r="H26" s="77">
        <f t="shared" si="0"/>
        <v>41794</v>
      </c>
      <c r="I26" s="77">
        <f t="shared" si="0"/>
        <v>41824</v>
      </c>
      <c r="J26" s="77">
        <f t="shared" si="0"/>
        <v>41854</v>
      </c>
      <c r="K26" s="77">
        <f t="shared" si="0"/>
        <v>41884</v>
      </c>
      <c r="L26" s="77">
        <f t="shared" si="0"/>
        <v>41914</v>
      </c>
      <c r="M26" s="77">
        <f>L26+31</f>
        <v>41945</v>
      </c>
      <c r="N26" s="80">
        <f t="shared" si="0"/>
        <v>41975</v>
      </c>
    </row>
    <row r="27" spans="2:17" ht="22.5" customHeight="1" x14ac:dyDescent="0.25">
      <c r="B27" s="51" t="s">
        <v>23</v>
      </c>
      <c r="C27" s="76">
        <v>-758726.58000000101</v>
      </c>
      <c r="D27" s="43">
        <f>C32</f>
        <v>-715018.0600000011</v>
      </c>
      <c r="E27" s="43">
        <f>D32</f>
        <v>-678920.63000000117</v>
      </c>
      <c r="F27" s="43">
        <f>E32</f>
        <v>-645889.5400000012</v>
      </c>
      <c r="G27" s="43">
        <f>F32</f>
        <v>-589392.0400000012</v>
      </c>
      <c r="H27" s="43">
        <f>G32</f>
        <v>-573794.03000000119</v>
      </c>
      <c r="I27" s="43">
        <f t="shared" ref="I27:J27" si="1">H32</f>
        <v>-585672.37000000128</v>
      </c>
      <c r="J27" s="43">
        <f t="shared" si="1"/>
        <v>-605029.80000000133</v>
      </c>
      <c r="K27" s="43">
        <f>J32</f>
        <v>-669564.33000000147</v>
      </c>
      <c r="L27" s="43">
        <f>K32</f>
        <v>-690964.18000000156</v>
      </c>
      <c r="M27" s="43">
        <f>L32</f>
        <v>-682649.48000000161</v>
      </c>
      <c r="N27" s="73">
        <f>M32</f>
        <v>-635165.9500000017</v>
      </c>
      <c r="O27" s="2"/>
    </row>
    <row r="28" spans="2:17" ht="30" customHeight="1" x14ac:dyDescent="0.2">
      <c r="B28" s="63" t="s">
        <v>24</v>
      </c>
      <c r="C28" s="65">
        <v>-66666.67</v>
      </c>
      <c r="D28" s="65">
        <v>-66666.67</v>
      </c>
      <c r="E28" s="66">
        <v>-66666.66</v>
      </c>
      <c r="F28" s="65">
        <v>-66666.66</v>
      </c>
      <c r="G28" s="65">
        <v>-66666.679999999993</v>
      </c>
      <c r="H28" s="66">
        <v>-66666.66</v>
      </c>
      <c r="I28" s="65">
        <v>-66666.67</v>
      </c>
      <c r="J28" s="65">
        <v>-66666.67</v>
      </c>
      <c r="K28" s="66">
        <v>-66666.66</v>
      </c>
      <c r="L28" s="65">
        <v>-66666.67</v>
      </c>
      <c r="M28" s="65">
        <v>-66666.67</v>
      </c>
      <c r="N28" s="66">
        <v>-66666.66</v>
      </c>
      <c r="O28" s="2"/>
      <c r="P28" s="2">
        <f>SUM(C28:O28)</f>
        <v>-800000.00000000012</v>
      </c>
    </row>
    <row r="29" spans="2:17" ht="22.5" customHeight="1" x14ac:dyDescent="0.2">
      <c r="B29" s="52" t="s">
        <v>25</v>
      </c>
      <c r="C29" s="40">
        <v>13333.34</v>
      </c>
      <c r="D29" s="44">
        <v>13333.34</v>
      </c>
      <c r="E29" s="44">
        <v>13333.34</v>
      </c>
      <c r="F29" s="44">
        <v>13333.34</v>
      </c>
      <c r="G29" s="44">
        <v>13333.35</v>
      </c>
      <c r="H29" s="44">
        <f>400+66.67+82.67+1757.33+200+824+210.67+666.67+5248+1986.67+230.67+1660</f>
        <v>13333.35</v>
      </c>
      <c r="I29" s="44">
        <f>400+66.67+82.67+1757.33+200+824+210.67+666.67+5248+1986.67+230.67+1660</f>
        <v>13333.35</v>
      </c>
      <c r="J29" s="44">
        <f>400+66.67+82.67+1757.33+200+824+210.67+666.67+5248+1986.67+230.67+1660</f>
        <v>13333.35</v>
      </c>
      <c r="K29" s="44">
        <f>400+66.67+82.67+1757.33+200+824+210.67+666.67+5248+1986.67+230.67+1660</f>
        <v>13333.35</v>
      </c>
      <c r="L29" s="44"/>
      <c r="M29" s="44">
        <f>530.25+2302.05+2739.75+434.4+221.7+3103.8+692.55+1594.95</f>
        <v>11619.45</v>
      </c>
      <c r="N29" s="47">
        <f>-1594.95+1594.95+1001.7+3624.15+1630.5+2253.6+30.45+369.15+499.6+634.5+1662+4479.3</f>
        <v>16184.95</v>
      </c>
      <c r="O29" s="2"/>
      <c r="P29" s="2">
        <f t="shared" ref="P29:P31" si="2">SUM(C29:O29)</f>
        <v>147804.51000000004</v>
      </c>
    </row>
    <row r="30" spans="2:17" ht="30" customHeight="1" x14ac:dyDescent="0.2">
      <c r="B30" s="63" t="s">
        <v>26</v>
      </c>
      <c r="C30" s="64">
        <v>97041.85</v>
      </c>
      <c r="D30" s="65">
        <v>89430.76</v>
      </c>
      <c r="E30" s="65">
        <v>86364.41</v>
      </c>
      <c r="F30" s="65">
        <v>109830.82</v>
      </c>
      <c r="G30" s="65">
        <v>68931.34</v>
      </c>
      <c r="H30" s="65">
        <v>41454.97</v>
      </c>
      <c r="I30" s="65">
        <v>33975.89</v>
      </c>
      <c r="J30" s="65">
        <v>25807.71</v>
      </c>
      <c r="K30" s="65">
        <v>31933.46</v>
      </c>
      <c r="L30" s="65">
        <v>74981.37</v>
      </c>
      <c r="M30" s="65">
        <v>102530.75</v>
      </c>
      <c r="N30" s="66">
        <v>96383.16</v>
      </c>
      <c r="O30" s="2"/>
      <c r="P30" s="2">
        <f t="shared" si="2"/>
        <v>858666.49</v>
      </c>
    </row>
    <row r="31" spans="2:17" ht="29.25" customHeight="1" x14ac:dyDescent="0.2">
      <c r="B31" s="53" t="s">
        <v>87</v>
      </c>
      <c r="C31" s="41"/>
      <c r="D31" s="45"/>
      <c r="E31" s="45"/>
      <c r="F31" s="45"/>
      <c r="G31" s="45"/>
      <c r="H31" s="45"/>
      <c r="I31" s="45"/>
      <c r="J31" s="45">
        <v>-37008.92</v>
      </c>
      <c r="K31" s="45"/>
      <c r="L31" s="45"/>
      <c r="M31" s="45"/>
      <c r="N31" s="48"/>
      <c r="O31" s="2"/>
      <c r="P31" s="2">
        <f t="shared" si="2"/>
        <v>-37008.92</v>
      </c>
      <c r="Q31" s="74"/>
    </row>
    <row r="32" spans="2:17" ht="23.25" customHeight="1" thickBot="1" x14ac:dyDescent="0.3">
      <c r="B32" s="59" t="s">
        <v>27</v>
      </c>
      <c r="C32" s="42">
        <f t="shared" ref="C32:N32" si="3">SUM(C27:C31)</f>
        <v>-715018.0600000011</v>
      </c>
      <c r="D32" s="46">
        <f t="shared" si="3"/>
        <v>-678920.63000000117</v>
      </c>
      <c r="E32" s="36">
        <f t="shared" si="3"/>
        <v>-645889.5400000012</v>
      </c>
      <c r="F32" s="36">
        <f t="shared" si="3"/>
        <v>-589392.0400000012</v>
      </c>
      <c r="G32" s="36">
        <f>SUM(G27:G31)</f>
        <v>-573794.03000000119</v>
      </c>
      <c r="H32" s="36">
        <f>SUM(H27:H31)</f>
        <v>-585672.37000000128</v>
      </c>
      <c r="I32" s="36">
        <f t="shared" si="3"/>
        <v>-605029.80000000133</v>
      </c>
      <c r="J32" s="36">
        <f t="shared" si="3"/>
        <v>-669564.33000000147</v>
      </c>
      <c r="K32" s="36">
        <f t="shared" si="3"/>
        <v>-690964.18000000156</v>
      </c>
      <c r="L32" s="36">
        <f t="shared" si="3"/>
        <v>-682649.48000000161</v>
      </c>
      <c r="M32" s="36">
        <f t="shared" si="3"/>
        <v>-635165.9500000017</v>
      </c>
      <c r="N32" s="49">
        <f t="shared" si="3"/>
        <v>-589264.50000000175</v>
      </c>
      <c r="O32" s="2"/>
      <c r="P32" s="7">
        <f>SUM(P28:P31)</f>
        <v>169462.0799999999</v>
      </c>
    </row>
    <row r="33" spans="2:17" ht="23.25" customHeight="1" thickTop="1" x14ac:dyDescent="0.2">
      <c r="B33" s="60" t="s">
        <v>59</v>
      </c>
      <c r="C33" s="38">
        <v>-715018.06</v>
      </c>
      <c r="D33" s="38">
        <v>-678920.63</v>
      </c>
      <c r="E33" s="37">
        <f>-665587.29-66666.66+86364.41</f>
        <v>-645889.54</v>
      </c>
      <c r="F33" s="37">
        <v>-589392.04</v>
      </c>
      <c r="G33" s="37">
        <v>-573794.03</v>
      </c>
      <c r="H33" s="37">
        <v>-585672.37</v>
      </c>
      <c r="I33" s="37">
        <v>-605029.80000000005</v>
      </c>
      <c r="J33" s="37">
        <v>-669564.32999999996</v>
      </c>
      <c r="K33" s="38">
        <v>-690964.18</v>
      </c>
      <c r="L33" s="37">
        <v>-682649.48</v>
      </c>
      <c r="M33" s="37">
        <v>-635165.94999999995</v>
      </c>
      <c r="N33" s="50">
        <v>-589264.5</v>
      </c>
      <c r="O33" s="2"/>
      <c r="Q33" s="74"/>
    </row>
    <row r="34" spans="2:17" ht="15.75" customHeight="1" x14ac:dyDescent="0.2">
      <c r="B34" s="29" t="s">
        <v>60</v>
      </c>
      <c r="C34" s="2">
        <f t="shared" ref="C34:N34" si="4">C32-C33</f>
        <v>-1.0477378964424133E-9</v>
      </c>
      <c r="D34" s="2">
        <f t="shared" si="4"/>
        <v>-1.1641532182693481E-9</v>
      </c>
      <c r="E34" s="2">
        <f t="shared" si="4"/>
        <v>-1.1641532182693481E-9</v>
      </c>
      <c r="F34" s="2">
        <f t="shared" si="4"/>
        <v>-1.1641532182693481E-9</v>
      </c>
      <c r="G34" s="2">
        <f t="shared" si="4"/>
        <v>-1.1641532182693481E-9</v>
      </c>
      <c r="H34" s="2">
        <f t="shared" si="4"/>
        <v>-1.280568540096283E-9</v>
      </c>
      <c r="I34" s="2">
        <f t="shared" si="4"/>
        <v>-1.280568540096283E-9</v>
      </c>
      <c r="J34" s="2">
        <f t="shared" si="4"/>
        <v>-1.5133991837501526E-9</v>
      </c>
      <c r="K34" s="2">
        <f t="shared" si="4"/>
        <v>-1.5133991837501526E-9</v>
      </c>
      <c r="L34" s="2">
        <f t="shared" si="4"/>
        <v>-1.6298145055770874E-9</v>
      </c>
      <c r="M34" s="2">
        <f t="shared" si="4"/>
        <v>-1.7462298274040222E-9</v>
      </c>
      <c r="N34" s="2">
        <f t="shared" si="4"/>
        <v>-1.7462298274040222E-9</v>
      </c>
      <c r="O34" s="2"/>
    </row>
    <row r="35" spans="2:17" ht="15.75" customHeight="1" x14ac:dyDescent="0.2">
      <c r="B35" s="2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74"/>
    </row>
    <row r="36" spans="2:17" s="29" customFormat="1" ht="14.25" x14ac:dyDescent="0.2">
      <c r="C36" s="28"/>
      <c r="D36" s="28"/>
      <c r="E36" s="34"/>
      <c r="F36" s="28"/>
      <c r="G36" s="28"/>
      <c r="H36" s="28"/>
      <c r="I36" s="28"/>
      <c r="J36" s="28"/>
      <c r="K36" s="28"/>
      <c r="L36" s="28"/>
      <c r="O36" s="28"/>
      <c r="Q36" s="74"/>
    </row>
    <row r="37" spans="2:17" ht="18" customHeight="1" thickBot="1" x14ac:dyDescent="0.4">
      <c r="B37" s="143" t="s">
        <v>34</v>
      </c>
      <c r="C37" s="143"/>
      <c r="D37" s="2"/>
      <c r="E37" s="2"/>
      <c r="F37" s="2"/>
      <c r="G37" s="2"/>
      <c r="I37" s="2"/>
      <c r="J37" s="2"/>
      <c r="K37" s="2"/>
      <c r="O37" s="2"/>
    </row>
    <row r="38" spans="2:17" ht="13.5" customHeight="1" x14ac:dyDescent="0.2">
      <c r="B38" s="82" t="s">
        <v>77</v>
      </c>
      <c r="C38" s="22"/>
      <c r="D38" s="2"/>
      <c r="E38" s="91" t="s">
        <v>92</v>
      </c>
      <c r="F38" s="2"/>
      <c r="I38" s="2"/>
      <c r="J38" s="2"/>
      <c r="K38" s="2"/>
      <c r="O38" s="2"/>
      <c r="Q38" s="74"/>
    </row>
    <row r="39" spans="2:17" ht="13.5" customHeight="1" x14ac:dyDescent="0.2">
      <c r="B39" s="82" t="s">
        <v>42</v>
      </c>
      <c r="C39" s="22"/>
      <c r="D39" s="2"/>
      <c r="E39" s="91" t="s">
        <v>93</v>
      </c>
      <c r="F39" s="2"/>
      <c r="I39" s="2"/>
      <c r="J39" s="2"/>
      <c r="K39" s="2"/>
      <c r="O39" s="2"/>
      <c r="Q39" s="9"/>
    </row>
    <row r="40" spans="2:17" ht="13.5" customHeight="1" x14ac:dyDescent="0.2">
      <c r="B40" s="82" t="s">
        <v>62</v>
      </c>
      <c r="C40" s="138" t="s">
        <v>71</v>
      </c>
      <c r="D40" s="2"/>
      <c r="E40" s="2"/>
      <c r="F40" s="2"/>
      <c r="I40" s="2"/>
      <c r="J40" s="2"/>
      <c r="K40" s="2"/>
      <c r="O40" s="2"/>
    </row>
    <row r="41" spans="2:17" ht="13.5" customHeight="1" x14ac:dyDescent="0.2">
      <c r="B41" s="82" t="s">
        <v>63</v>
      </c>
      <c r="C41" s="138"/>
      <c r="D41" s="2"/>
      <c r="E41" s="2"/>
      <c r="F41" s="2"/>
      <c r="I41" s="2"/>
      <c r="J41" s="2"/>
      <c r="K41" s="2"/>
      <c r="O41" s="2"/>
    </row>
    <row r="42" spans="2:17" ht="13.5" customHeight="1" x14ac:dyDescent="0.2">
      <c r="B42" s="82" t="s">
        <v>94</v>
      </c>
      <c r="C42" s="138"/>
      <c r="D42" s="2"/>
      <c r="E42" s="2"/>
      <c r="F42" s="2"/>
      <c r="I42" s="2"/>
      <c r="J42" s="2"/>
      <c r="K42" s="2"/>
      <c r="O42" s="2"/>
    </row>
    <row r="43" spans="2:17" ht="13.5" customHeight="1" x14ac:dyDescent="0.2">
      <c r="B43" s="82" t="s">
        <v>81</v>
      </c>
      <c r="C43" s="30"/>
      <c r="D43" s="2"/>
      <c r="E43" s="2"/>
      <c r="F43" s="2"/>
      <c r="I43" s="2"/>
      <c r="J43" s="2"/>
      <c r="K43" s="2"/>
      <c r="O43" s="2"/>
    </row>
    <row r="44" spans="2:17" ht="13.5" customHeight="1" x14ac:dyDescent="0.2">
      <c r="B44" s="82" t="s">
        <v>36</v>
      </c>
      <c r="C44" s="30"/>
      <c r="D44" s="2"/>
      <c r="E44" s="2"/>
      <c r="F44" s="2"/>
      <c r="I44" s="2"/>
      <c r="J44" s="2"/>
      <c r="K44" s="2"/>
      <c r="O44" s="2"/>
    </row>
    <row r="51" spans="2:2" ht="14.25" x14ac:dyDescent="0.2">
      <c r="B51" s="78" t="str">
        <f ca="1">CELL("filename")</f>
        <v>C:\Users\ISAAC.MYHRUM\AppData\Local\Microsoft\Windows\INetCache\Content.Outlook\HMSW6VJP\[47WA.2429.02 WA Low Income 2021 (004).xlsx]WA 2020-21 Plan Year</v>
      </c>
    </row>
  </sheetData>
  <mergeCells count="7">
    <mergeCell ref="C40:C42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49"/>
  <sheetViews>
    <sheetView showGridLines="0" zoomScaleNormal="100" workbookViewId="0">
      <selection activeCell="P31" sqref="P31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 x14ac:dyDescent="0.25">
      <c r="B1" s="87"/>
      <c r="C1" s="87"/>
      <c r="D1" s="87"/>
    </row>
    <row r="2" spans="2:14" ht="20.25" customHeight="1" thickTop="1" thickBot="1" x14ac:dyDescent="0.25">
      <c r="B2" s="84" t="s">
        <v>65</v>
      </c>
      <c r="C2" s="145" t="s">
        <v>64</v>
      </c>
      <c r="D2" s="145"/>
      <c r="E2" s="140" t="s">
        <v>68</v>
      </c>
      <c r="F2" s="140"/>
      <c r="G2" s="140"/>
      <c r="H2" s="140"/>
      <c r="I2" s="140"/>
      <c r="J2" s="140"/>
      <c r="K2" s="140"/>
      <c r="L2" s="140"/>
      <c r="M2" s="140"/>
    </row>
    <row r="3" spans="2:14" ht="20.25" customHeight="1" thickTop="1" thickBot="1" x14ac:dyDescent="0.25">
      <c r="B3" s="85" t="s">
        <v>57</v>
      </c>
      <c r="C3" s="146">
        <v>41646</v>
      </c>
      <c r="D3" s="146"/>
      <c r="E3" s="140"/>
      <c r="F3" s="140"/>
      <c r="G3" s="140"/>
      <c r="H3" s="140"/>
      <c r="I3" s="140"/>
      <c r="J3" s="140"/>
      <c r="K3" s="140"/>
      <c r="L3" s="140"/>
      <c r="M3" s="140"/>
    </row>
    <row r="4" spans="2:14" ht="11.25" customHeight="1" thickTop="1" x14ac:dyDescent="0.2">
      <c r="B4" s="86"/>
    </row>
    <row r="5" spans="2:14" ht="15.75" customHeight="1" x14ac:dyDescent="0.3">
      <c r="B5" s="83">
        <v>2013</v>
      </c>
      <c r="C5" s="61"/>
      <c r="D5" s="61"/>
      <c r="F5" s="61"/>
      <c r="G5" s="61"/>
      <c r="H5" s="61"/>
      <c r="I5" s="61"/>
      <c r="J5" s="61"/>
      <c r="K5" s="61"/>
      <c r="L5" s="61"/>
      <c r="M5" s="61"/>
      <c r="N5" s="61"/>
    </row>
    <row r="6" spans="2:14" ht="18" x14ac:dyDescent="0.25">
      <c r="B6" s="61" t="s">
        <v>69</v>
      </c>
    </row>
    <row r="7" spans="2:14" ht="14.25" x14ac:dyDescent="0.2">
      <c r="B7" s="29" t="s">
        <v>28</v>
      </c>
    </row>
    <row r="8" spans="2:14" ht="14.25" x14ac:dyDescent="0.2">
      <c r="B8" s="29" t="s">
        <v>0</v>
      </c>
    </row>
    <row r="9" spans="2:14" ht="10.5" customHeight="1" x14ac:dyDescent="0.2">
      <c r="B9" s="29"/>
    </row>
    <row r="10" spans="2:14" ht="14.25" x14ac:dyDescent="0.2">
      <c r="B10" s="29" t="s">
        <v>79</v>
      </c>
    </row>
    <row r="11" spans="2:14" ht="15" x14ac:dyDescent="0.25">
      <c r="B11" s="29" t="s">
        <v>66</v>
      </c>
    </row>
    <row r="12" spans="2:14" ht="14.25" x14ac:dyDescent="0.2">
      <c r="B12" s="29" t="s">
        <v>72</v>
      </c>
    </row>
    <row r="13" spans="2:14" ht="15" x14ac:dyDescent="0.25">
      <c r="B13" s="29" t="s">
        <v>67</v>
      </c>
    </row>
    <row r="14" spans="2:14" ht="14.25" x14ac:dyDescent="0.2">
      <c r="B14" s="29" t="s">
        <v>73</v>
      </c>
    </row>
    <row r="15" spans="2:14" ht="14.25" x14ac:dyDescent="0.2">
      <c r="B15" s="29" t="s">
        <v>74</v>
      </c>
    </row>
    <row r="16" spans="2:14" ht="11.25" customHeight="1" x14ac:dyDescent="0.2">
      <c r="B16" s="29"/>
    </row>
    <row r="17" spans="2:17" ht="14.25" x14ac:dyDescent="0.2">
      <c r="B17" s="29" t="s">
        <v>7</v>
      </c>
    </row>
    <row r="18" spans="2:17" ht="10.5" customHeight="1" x14ac:dyDescent="0.2"/>
    <row r="19" spans="2:17" ht="15.75" x14ac:dyDescent="0.25">
      <c r="B19" s="67" t="s">
        <v>45</v>
      </c>
      <c r="C19" s="144" t="s">
        <v>10</v>
      </c>
      <c r="D19" s="144"/>
      <c r="E19" s="144"/>
      <c r="F19" s="69">
        <f>-N26</f>
        <v>66666.66</v>
      </c>
      <c r="G19" s="69"/>
    </row>
    <row r="20" spans="2:17" ht="15.75" x14ac:dyDescent="0.25">
      <c r="B20" s="67" t="s">
        <v>46</v>
      </c>
      <c r="C20" s="144" t="s">
        <v>11</v>
      </c>
      <c r="D20" s="144"/>
      <c r="E20" s="144"/>
      <c r="F20" s="69"/>
      <c r="G20" s="69">
        <f>-F19</f>
        <v>-66666.66</v>
      </c>
    </row>
    <row r="21" spans="2:17" ht="9.75" customHeight="1" x14ac:dyDescent="0.2">
      <c r="E21" s="2"/>
      <c r="F21" s="2"/>
      <c r="G21" s="2"/>
    </row>
    <row r="22" spans="2:17" ht="14.25" x14ac:dyDescent="0.2">
      <c r="B22" s="29"/>
    </row>
    <row r="23" spans="2:17" ht="9.75" customHeight="1" x14ac:dyDescent="0.2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2:17" ht="21.75" customHeight="1" x14ac:dyDescent="0.25">
      <c r="B24" s="58"/>
      <c r="C24" s="77">
        <v>41275</v>
      </c>
      <c r="D24" s="77">
        <f>C24+34</f>
        <v>41309</v>
      </c>
      <c r="E24" s="77">
        <f t="shared" ref="E24:N24" si="0">D24+30</f>
        <v>41339</v>
      </c>
      <c r="F24" s="77">
        <f t="shared" si="0"/>
        <v>41369</v>
      </c>
      <c r="G24" s="77">
        <f t="shared" si="0"/>
        <v>41399</v>
      </c>
      <c r="H24" s="77">
        <f t="shared" si="0"/>
        <v>41429</v>
      </c>
      <c r="I24" s="77">
        <f t="shared" si="0"/>
        <v>41459</v>
      </c>
      <c r="J24" s="77">
        <f t="shared" si="0"/>
        <v>41489</v>
      </c>
      <c r="K24" s="77">
        <f t="shared" si="0"/>
        <v>41519</v>
      </c>
      <c r="L24" s="77">
        <f t="shared" si="0"/>
        <v>41549</v>
      </c>
      <c r="M24" s="77">
        <f>L24+31</f>
        <v>41580</v>
      </c>
      <c r="N24" s="80">
        <f t="shared" si="0"/>
        <v>41610</v>
      </c>
    </row>
    <row r="25" spans="2:17" ht="22.5" customHeight="1" x14ac:dyDescent="0.25">
      <c r="B25" s="51" t="s">
        <v>23</v>
      </c>
      <c r="C25" s="76">
        <f>'WA 2012'!N31</f>
        <v>-783621.71</v>
      </c>
      <c r="D25" s="43">
        <f>C30</f>
        <v>-750524.20000000007</v>
      </c>
      <c r="E25" s="43">
        <f>D30</f>
        <v>-715130.40000000014</v>
      </c>
      <c r="F25" s="43">
        <f>E30</f>
        <v>-696374.12000000023</v>
      </c>
      <c r="G25" s="43">
        <f>F30</f>
        <v>-683044.46000000031</v>
      </c>
      <c r="H25" s="43">
        <f>G30</f>
        <v>-684570.85000000044</v>
      </c>
      <c r="I25" s="43">
        <f t="shared" ref="I25:J25" si="1">H30</f>
        <v>-691803.80000000051</v>
      </c>
      <c r="J25" s="43">
        <f t="shared" si="1"/>
        <v>-694943.53000000061</v>
      </c>
      <c r="K25" s="43">
        <f>J30</f>
        <v>-714887.96000000066</v>
      </c>
      <c r="L25" s="43">
        <f>K30</f>
        <v>-774714.61000000068</v>
      </c>
      <c r="M25" s="43">
        <f>L30</f>
        <v>-794770.64000000083</v>
      </c>
      <c r="N25" s="73">
        <f>M30</f>
        <v>-790227.91000000096</v>
      </c>
      <c r="O25" s="2"/>
    </row>
    <row r="26" spans="2:17" ht="30" customHeight="1" x14ac:dyDescent="0.2">
      <c r="B26" s="63" t="s">
        <v>24</v>
      </c>
      <c r="C26" s="65">
        <v>-66666.67</v>
      </c>
      <c r="D26" s="65">
        <v>-66666.67</v>
      </c>
      <c r="E26" s="66">
        <v>-66666.66</v>
      </c>
      <c r="F26" s="65">
        <v>-66666.67</v>
      </c>
      <c r="G26" s="65">
        <v>-66666.67</v>
      </c>
      <c r="H26" s="66">
        <v>-66666.66</v>
      </c>
      <c r="I26" s="65">
        <v>-66666.67</v>
      </c>
      <c r="J26" s="65">
        <v>-66666.67</v>
      </c>
      <c r="K26" s="66">
        <v>-66666.66</v>
      </c>
      <c r="L26" s="65">
        <v>-66666.67</v>
      </c>
      <c r="M26" s="65">
        <v>-66666.67</v>
      </c>
      <c r="N26" s="66">
        <v>-66666.66</v>
      </c>
      <c r="O26" s="2"/>
      <c r="P26" s="2">
        <f>SUM(C26:O26)</f>
        <v>-800000.00000000012</v>
      </c>
    </row>
    <row r="27" spans="2:17" ht="22.5" customHeight="1" x14ac:dyDescent="0.2">
      <c r="B27" s="52" t="s">
        <v>25</v>
      </c>
      <c r="C27" s="40">
        <v>13333.33</v>
      </c>
      <c r="D27" s="44">
        <v>13333.33</v>
      </c>
      <c r="E27" s="44">
        <v>13333.33</v>
      </c>
      <c r="F27" s="44">
        <v>13333.33</v>
      </c>
      <c r="G27" s="44">
        <v>13333.33</v>
      </c>
      <c r="H27" s="44">
        <v>13333.33</v>
      </c>
      <c r="I27" s="44">
        <v>13333.33</v>
      </c>
      <c r="J27" s="44">
        <v>13333.33</v>
      </c>
      <c r="K27" s="44">
        <v>13333.33</v>
      </c>
      <c r="L27" s="44">
        <v>13333.33</v>
      </c>
      <c r="M27" s="44">
        <v>13333.33</v>
      </c>
      <c r="N27" s="47">
        <v>13333.34</v>
      </c>
      <c r="O27" s="2"/>
      <c r="P27" s="2">
        <f t="shared" ref="P27:P29" si="2">SUM(C27:O27)</f>
        <v>159999.96999999997</v>
      </c>
    </row>
    <row r="28" spans="2:17" ht="30" customHeight="1" x14ac:dyDescent="0.2">
      <c r="B28" s="63" t="s">
        <v>26</v>
      </c>
      <c r="C28" s="64">
        <v>86430.85</v>
      </c>
      <c r="D28" s="65">
        <v>88727.14</v>
      </c>
      <c r="E28" s="65">
        <v>72089.61</v>
      </c>
      <c r="F28" s="65">
        <v>66663</v>
      </c>
      <c r="G28" s="65">
        <v>51806.95</v>
      </c>
      <c r="H28" s="65">
        <v>46100.38</v>
      </c>
      <c r="I28" s="65">
        <v>50193.61</v>
      </c>
      <c r="J28" s="65">
        <v>33388.910000000003</v>
      </c>
      <c r="K28" s="65">
        <v>33420.31</v>
      </c>
      <c r="L28" s="65">
        <v>33277.31</v>
      </c>
      <c r="M28" s="65">
        <v>57876.07</v>
      </c>
      <c r="N28" s="66">
        <v>84834.65</v>
      </c>
      <c r="O28" s="2"/>
      <c r="P28" s="2">
        <f t="shared" si="2"/>
        <v>704808.79</v>
      </c>
    </row>
    <row r="29" spans="2:17" ht="22.5" customHeight="1" x14ac:dyDescent="0.2">
      <c r="B29" s="53" t="s">
        <v>82</v>
      </c>
      <c r="C29" s="41"/>
      <c r="D29" s="45"/>
      <c r="E29" s="45"/>
      <c r="F29" s="45"/>
      <c r="G29" s="45"/>
      <c r="H29" s="45"/>
      <c r="I29" s="45"/>
      <c r="J29" s="45"/>
      <c r="K29" s="45">
        <v>-39913.629999999997</v>
      </c>
      <c r="L29" s="45"/>
      <c r="M29" s="45"/>
      <c r="N29" s="48"/>
      <c r="O29" s="2"/>
      <c r="P29" s="2">
        <f t="shared" si="2"/>
        <v>-39913.629999999997</v>
      </c>
      <c r="Q29" s="74"/>
    </row>
    <row r="30" spans="2:17" ht="23.25" customHeight="1" thickBot="1" x14ac:dyDescent="0.3">
      <c r="B30" s="59" t="s">
        <v>27</v>
      </c>
      <c r="C30" s="42">
        <f t="shared" ref="C30:N30" si="3">SUM(C25:C29)</f>
        <v>-750524.20000000007</v>
      </c>
      <c r="D30" s="46">
        <f t="shared" si="3"/>
        <v>-715130.40000000014</v>
      </c>
      <c r="E30" s="36">
        <f t="shared" si="3"/>
        <v>-696374.12000000023</v>
      </c>
      <c r="F30" s="36">
        <f t="shared" si="3"/>
        <v>-683044.46000000031</v>
      </c>
      <c r="G30" s="36">
        <f>SUM(G25:G29)</f>
        <v>-684570.85000000044</v>
      </c>
      <c r="H30" s="36">
        <f>SUM(H25:H29)</f>
        <v>-691803.80000000051</v>
      </c>
      <c r="I30" s="36">
        <f t="shared" si="3"/>
        <v>-694943.53000000061</v>
      </c>
      <c r="J30" s="36">
        <f t="shared" si="3"/>
        <v>-714887.96000000066</v>
      </c>
      <c r="K30" s="36">
        <f t="shared" si="3"/>
        <v>-774714.61000000068</v>
      </c>
      <c r="L30" s="36">
        <f t="shared" si="3"/>
        <v>-794770.64000000083</v>
      </c>
      <c r="M30" s="36">
        <f t="shared" si="3"/>
        <v>-790227.91000000096</v>
      </c>
      <c r="N30" s="49">
        <f t="shared" si="3"/>
        <v>-758726.58000000101</v>
      </c>
      <c r="O30" s="2"/>
      <c r="P30" s="7">
        <f>SUM(P26:P29)</f>
        <v>24895.129999999896</v>
      </c>
    </row>
    <row r="31" spans="2:17" ht="23.25" customHeight="1" thickTop="1" x14ac:dyDescent="0.2">
      <c r="B31" s="60" t="s">
        <v>59</v>
      </c>
      <c r="C31" s="38">
        <v>-750524.2</v>
      </c>
      <c r="D31" s="38">
        <v>-715130.4</v>
      </c>
      <c r="E31" s="37">
        <v>-696374.12</v>
      </c>
      <c r="F31" s="37">
        <v>-683044.46</v>
      </c>
      <c r="G31" s="37">
        <v>-684570.85</v>
      </c>
      <c r="H31" s="37">
        <v>-691803.8</v>
      </c>
      <c r="I31" s="37">
        <v>-694943.53</v>
      </c>
      <c r="J31" s="37">
        <v>-714887.96</v>
      </c>
      <c r="K31" s="38">
        <v>-774714.61</v>
      </c>
      <c r="L31" s="37">
        <v>-794770.64</v>
      </c>
      <c r="M31" s="37">
        <v>-790227.91</v>
      </c>
      <c r="N31" s="50">
        <v>-758726.58</v>
      </c>
      <c r="O31" s="2"/>
      <c r="Q31" s="74"/>
    </row>
    <row r="32" spans="2:17" ht="15.75" customHeight="1" x14ac:dyDescent="0.2">
      <c r="B32" s="29" t="s">
        <v>60</v>
      </c>
      <c r="C32" s="2">
        <f t="shared" ref="C32:N32" si="4">C30-C31</f>
        <v>0</v>
      </c>
      <c r="D32" s="2">
        <f t="shared" si="4"/>
        <v>0</v>
      </c>
      <c r="E32" s="2">
        <f t="shared" si="4"/>
        <v>0</v>
      </c>
      <c r="F32" s="2">
        <f t="shared" si="4"/>
        <v>0</v>
      </c>
      <c r="G32" s="2">
        <f t="shared" si="4"/>
        <v>0</v>
      </c>
      <c r="H32" s="2">
        <f t="shared" si="4"/>
        <v>0</v>
      </c>
      <c r="I32" s="2">
        <f t="shared" si="4"/>
        <v>0</v>
      </c>
      <c r="J32" s="2">
        <f t="shared" si="4"/>
        <v>0</v>
      </c>
      <c r="K32" s="2">
        <f t="shared" si="4"/>
        <v>0</v>
      </c>
      <c r="L32" s="2">
        <f t="shared" si="4"/>
        <v>0</v>
      </c>
      <c r="M32" s="2">
        <f t="shared" si="4"/>
        <v>-9.3132257461547852E-10</v>
      </c>
      <c r="N32" s="2">
        <f t="shared" si="4"/>
        <v>-1.0477378964424133E-9</v>
      </c>
      <c r="O32" s="2"/>
    </row>
    <row r="33" spans="2:17" ht="15.75" customHeight="1" x14ac:dyDescent="0.2">
      <c r="B33" s="2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74"/>
    </row>
    <row r="34" spans="2:17" s="29" customFormat="1" ht="14.25" x14ac:dyDescent="0.2">
      <c r="C34" s="28"/>
      <c r="D34" s="28"/>
      <c r="E34" s="34"/>
      <c r="F34" s="28"/>
      <c r="G34" s="28"/>
      <c r="H34" s="28"/>
      <c r="I34" s="28"/>
      <c r="J34" s="28"/>
      <c r="K34" s="28"/>
      <c r="L34" s="28"/>
      <c r="O34" s="28"/>
      <c r="Q34" s="74"/>
    </row>
    <row r="35" spans="2:17" ht="18" customHeight="1" thickBot="1" x14ac:dyDescent="0.4">
      <c r="B35" s="143" t="s">
        <v>34</v>
      </c>
      <c r="C35" s="143"/>
      <c r="D35" s="2"/>
      <c r="E35" s="2"/>
      <c r="F35" s="2"/>
      <c r="G35" s="2"/>
      <c r="I35" s="2"/>
      <c r="J35" s="2"/>
      <c r="K35" s="2"/>
      <c r="O35" s="2"/>
    </row>
    <row r="36" spans="2:17" ht="13.5" customHeight="1" x14ac:dyDescent="0.2">
      <c r="B36" s="82" t="s">
        <v>77</v>
      </c>
      <c r="C36" s="22"/>
      <c r="D36" s="2"/>
      <c r="E36" s="2"/>
      <c r="F36" s="2"/>
      <c r="I36" s="2"/>
      <c r="J36" s="2"/>
      <c r="K36" s="2"/>
      <c r="O36" s="2"/>
      <c r="Q36" s="74"/>
    </row>
    <row r="37" spans="2:17" ht="13.5" customHeight="1" x14ac:dyDescent="0.2">
      <c r="B37" s="82" t="s">
        <v>42</v>
      </c>
      <c r="C37" s="22"/>
      <c r="D37" s="2"/>
      <c r="E37" s="2"/>
      <c r="F37" s="2"/>
      <c r="I37" s="2"/>
      <c r="J37" s="2"/>
      <c r="K37" s="2"/>
      <c r="O37" s="2"/>
      <c r="Q37" s="9"/>
    </row>
    <row r="38" spans="2:17" ht="13.5" customHeight="1" x14ac:dyDescent="0.2">
      <c r="B38" s="82" t="s">
        <v>62</v>
      </c>
      <c r="C38" s="138" t="s">
        <v>71</v>
      </c>
      <c r="D38" s="2"/>
      <c r="E38" s="2"/>
      <c r="F38" s="2"/>
      <c r="I38" s="2"/>
      <c r="J38" s="2"/>
      <c r="K38" s="2"/>
      <c r="O38" s="2"/>
    </row>
    <row r="39" spans="2:17" ht="13.5" customHeight="1" x14ac:dyDescent="0.2">
      <c r="B39" s="82" t="s">
        <v>63</v>
      </c>
      <c r="C39" s="138"/>
      <c r="D39" s="2"/>
      <c r="E39" s="2"/>
      <c r="F39" s="2"/>
      <c r="I39" s="2"/>
      <c r="J39" s="2"/>
      <c r="K39" s="2"/>
      <c r="O39" s="2"/>
    </row>
    <row r="40" spans="2:17" ht="13.5" customHeight="1" x14ac:dyDescent="0.2">
      <c r="B40" s="82" t="s">
        <v>80</v>
      </c>
      <c r="C40" s="138"/>
      <c r="D40" s="2"/>
      <c r="E40" s="2"/>
      <c r="F40" s="2"/>
      <c r="I40" s="2"/>
      <c r="J40" s="2"/>
      <c r="K40" s="2"/>
      <c r="O40" s="2"/>
    </row>
    <row r="41" spans="2:17" ht="13.5" customHeight="1" x14ac:dyDescent="0.2">
      <c r="B41" s="82" t="s">
        <v>81</v>
      </c>
      <c r="C41" s="30"/>
      <c r="D41" s="2"/>
      <c r="E41" s="2"/>
      <c r="F41" s="2"/>
      <c r="I41" s="2"/>
      <c r="J41" s="2"/>
      <c r="K41" s="2"/>
      <c r="O41" s="2"/>
    </row>
    <row r="42" spans="2:17" ht="13.5" customHeight="1" x14ac:dyDescent="0.2">
      <c r="B42" s="82" t="s">
        <v>36</v>
      </c>
      <c r="C42" s="30"/>
      <c r="D42" s="2"/>
      <c r="E42" s="2"/>
      <c r="F42" s="2"/>
      <c r="I42" s="2"/>
      <c r="J42" s="2"/>
      <c r="K42" s="2"/>
      <c r="O42" s="2"/>
    </row>
    <row r="49" spans="2:2" ht="14.25" x14ac:dyDescent="0.2">
      <c r="B49" s="78" t="str">
        <f ca="1">CELL("filename")</f>
        <v>C:\Users\ISAAC.MYHRUM\AppData\Local\Microsoft\Windows\INetCache\Content.Outlook\HMSW6VJP\[47WA.2429.02 WA Low Income 2021 (004).xlsx]WA 2020-21 Plan Year</v>
      </c>
    </row>
  </sheetData>
  <mergeCells count="7">
    <mergeCell ref="C38:C40"/>
    <mergeCell ref="C19:E19"/>
    <mergeCell ref="C20:E20"/>
    <mergeCell ref="B35:C35"/>
    <mergeCell ref="C2:D2"/>
    <mergeCell ref="C3:D3"/>
    <mergeCell ref="E2:M3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E2E4558223A32438719A8DD97B18710" ma:contentTypeVersion="44" ma:contentTypeDescription="" ma:contentTypeScope="" ma:versionID="0d48abdf304ecec38b3e8e4ebb600a8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2021-09-17T07:00:00+00:00</OpenedDate>
    <SignificantOrder xmlns="dc463f71-b30c-4ab2-9473-d307f9d35888">false</SignificantOrder>
    <Date1 xmlns="dc463f71-b30c-4ab2-9473-d307f9d35888">2021-09-17T07:00:00+00:00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210723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B0BA38C-520A-440B-9233-848DDF71A771}"/>
</file>

<file path=customXml/itemProps2.xml><?xml version="1.0" encoding="utf-8"?>
<ds:datastoreItem xmlns:ds="http://schemas.openxmlformats.org/officeDocument/2006/customXml" ds:itemID="{EBABA5D2-3D55-4629-8756-67414CC4C719}"/>
</file>

<file path=customXml/itemProps3.xml><?xml version="1.0" encoding="utf-8"?>
<ds:datastoreItem xmlns:ds="http://schemas.openxmlformats.org/officeDocument/2006/customXml" ds:itemID="{C8334C56-1AD8-40F1-8BD9-B9C723201BA9}"/>
</file>

<file path=customXml/itemProps4.xml><?xml version="1.0" encoding="utf-8"?>
<ds:datastoreItem xmlns:ds="http://schemas.openxmlformats.org/officeDocument/2006/customXml" ds:itemID="{058D8DB5-7B70-4EC6-ACCD-4211EA46B1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WA 2020-21 Plan Year</vt:lpstr>
      <vt:lpstr>WA 2019-20 Plan Year</vt:lpstr>
      <vt:lpstr>WA 2018-19 Plan Year</vt:lpstr>
      <vt:lpstr>WA 2017-18 Plan Year</vt:lpstr>
      <vt:lpstr>WA 2016-17 Plan Year</vt:lpstr>
      <vt:lpstr>WA 2016-Pre Revision</vt:lpstr>
      <vt:lpstr>WA 2015</vt:lpstr>
      <vt:lpstr>WA 2014</vt:lpstr>
      <vt:lpstr>WA 2013</vt:lpstr>
      <vt:lpstr>WA 2012</vt:lpstr>
      <vt:lpstr>WA 2011</vt:lpstr>
      <vt:lpstr>WA CY2010</vt:lpstr>
      <vt:lpstr>WA CY2009</vt:lpstr>
      <vt:lpstr>WA CY2008</vt:lpstr>
      <vt:lpstr>WA FY2007</vt:lpstr>
      <vt:lpstr>PUT CR Appl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Alesa Cullens</dc:creator>
  <cp:lastModifiedBy>Myhrum, Isaac</cp:lastModifiedBy>
  <cp:lastPrinted>2020-05-12T16:51:23Z</cp:lastPrinted>
  <dcterms:created xsi:type="dcterms:W3CDTF">2007-05-02T20:31:44Z</dcterms:created>
  <dcterms:modified xsi:type="dcterms:W3CDTF">2021-09-10T22:36:14Z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0x0101006E56B4D1795A2E4DB2F0B01679ED314A000E2E4558223A32438719A8DD97B18710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