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2.bin" ContentType="application/vnd.openxmlformats-officedocument.spreadsheetml.customProperty"/>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customProperty1.bin" ContentType="application/vnd.openxmlformats-officedocument.spreadsheetml.customProperty"/>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Cost Recovery Mechanism for Gas (CRM)\2021 Filing\Aug 2021 CRM Filing\Files to WUTC\"/>
    </mc:Choice>
  </mc:AlternateContent>
  <bookViews>
    <workbookView xWindow="-990" yWindow="210" windowWidth="17370" windowHeight="4965" tabRatio="817"/>
  </bookViews>
  <sheets>
    <sheet name="Summary" sheetId="67" r:id="rId1"/>
    <sheet name="Work Papers--&gt;" sheetId="27" r:id="rId2"/>
    <sheet name="2021 CAP CRM" sheetId="87" r:id="rId3"/>
    <sheet name="2021 C&amp;OM" sheetId="77" r:id="rId4"/>
    <sheet name="Summary 2020" sheetId="84" r:id="rId5"/>
    <sheet name="2020 + true up CAP" sheetId="85" r:id="rId6"/>
    <sheet name="2020TrueUp" sheetId="69" r:id="rId7"/>
    <sheet name="2020 Filed Oct 16,20" sheetId="76" r:id="rId8"/>
    <sheet name="2019 CRM" sheetId="74" r:id="rId9"/>
    <sheet name="2019 CRM Final  " sheetId="89" r:id="rId10"/>
    <sheet name="2019 GRC" sheetId="82" r:id="rId11"/>
    <sheet name="2017 4.01 G" sheetId="90" r:id="rId12"/>
    <sheet name="MACRS 20" sheetId="7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[18]INPUTS!$C$8</definedName>
    <definedName name="Case_Name">'[19]KJB-6,13 Cmn Adj'!$B$8</definedName>
    <definedName name="CaseDescription">'[9]Dispatch Cases'!$C$11</definedName>
    <definedName name="CBWorkbookPriority">-2060790043</definedName>
    <definedName name="CCGT_HeatRate">[9]Assumptions!$H$23</definedName>
    <definedName name="CCGTPrice">[9]Assumptions!$H$22</definedName>
    <definedName name="CL_RT2">'[20]Transp Data'!$A$6:$C$81</definedName>
    <definedName name="Close_Date">'[12]Capital Projects(Input)'!$D$7:$D$53</definedName>
    <definedName name="Construction_OH">'[21]Virtual 49 Back-Up'!$E$54</definedName>
    <definedName name="ConversionFactor">[9]Assumptions!$I$65</definedName>
    <definedName name="COSFacVal">[7]Inputs!$R$5</definedName>
    <definedName name="CurrQtr">'[22]Inc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Avg">'[22]Avg Amts'!$A$5:$BP$34</definedName>
    <definedName name="Data.Qtrs.Avg">'[22]Avg Amts'!$A$5:$IV$5</definedName>
    <definedName name="data1">'[23]Mix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[24]Inputs!$D$11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'[25]Assumptions of Purchase'!$B$45</definedName>
    <definedName name="DisFac">'[7]Func Dist Factor Table'!$A$11:$G$25</definedName>
    <definedName name="DocketNumber">'[26]JHS-4'!$AP$2</definedName>
    <definedName name="DP.T">[4]INTERNAL!$A$46:$IV$48</definedName>
    <definedName name="EBFIT.T">[4]INTERNAL!$A$88:$IV$90</definedName>
    <definedName name="EffTax">[4]INPUTS!$F$31</definedName>
    <definedName name="Electric_Prices">'[27]Monthly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[24]Inputs!$D$12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'[21]Virtual 49 Back-Up'!$B$20</definedName>
    <definedName name="Feb04AMA">[1]BS!$AE$7:$AE$3582</definedName>
    <definedName name="Feb09AMA">[2]BS!$AL$7:$AL$1725</definedName>
    <definedName name="Feb10AMA">[2]BS!$AX$7:$AX$1726</definedName>
    <definedName name="Fed_Cap_Tax">[28]Inputs!$E$112</definedName>
    <definedName name="FedTaxRate">[9]Assumptions!$C$33</definedName>
    <definedName name="FERC_Lookup">'[29]Map Table'!$E$2:$F$58</definedName>
    <definedName name="FIT">'[30]ROR &amp; CONV FACTOR'!$J$20</definedName>
    <definedName name="FIT_Tax_Rate">'[12]Assumptions (Input)'!$B$5</definedName>
    <definedName name="FranchiseTax">[11]Variables!$D$26</definedName>
    <definedName name="FTAX">[4]INPUTS!$F$30</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11">{"'Sheet1'!$A$1:$J$121"}</definedName>
    <definedName name="HTML_Control" localSheetId="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[31]Inputs!$N$18</definedName>
    <definedName name="JP_Bal">[32]ACCOUNTS!$AG$31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'[19]KJB-12 Sum'!$AS$2</definedName>
    <definedName name="k_FITrate">'[19]KJB-3,11 Def'!$L$20</definedName>
    <definedName name="keep_Docket_Number">'[33]KJB-3 Sum'!$AQ$2</definedName>
    <definedName name="keep_FIT">'[33]KJB-7 Def'!$L$20</definedName>
    <definedName name="keep_KJB_3_Rate_Increase">'[33]KJB-7 Def'!$C$3</definedName>
    <definedName name="keep_KJB_4_Electric_Summary">'[33]KJB-3 Sum'!$AQ$3</definedName>
    <definedName name="keep_KJB_8_Common_Adjs">'[33]KJB-5 Cmn Adj'!$L$3</definedName>
    <definedName name="keep_KJB_9_Electric_Only">'[33]KJB-5 El Adj'!$E$3</definedName>
    <definedName name="keep_PSE">'[34]Gas Summary'!$I$5</definedName>
    <definedName name="keep_TESTYEAR">'[34]Gas Detail Pages'!$A$8</definedName>
    <definedName name="kp_DOCKET">'[34]Gas Detail Pages'!$A$9</definedName>
    <definedName name="Last_Row" localSheetId="11">IF([35]!Values_Entered,Header_Row+[35]!Number_of_Payments,Header_Row)</definedName>
    <definedName name="Last_Row" localSheetId="8">IF('2019 CRM'!Values_Entered,Header_Row+'2019 CRM'!Number_of_Payments,Header_Row)</definedName>
    <definedName name="Last_Row" localSheetId="5">IF('2020 + true up CAP'!Values_Entered,Header_Row+'2020 + true up CAP'!Number_of_Payments,Header_Row)</definedName>
    <definedName name="Last_Row" localSheetId="7">IF('2020 Filed Oct 16,20'!Values_Entered,Header_Row+'2020 Filed Oct 16,20'!Number_of_Payments,Header_Row)</definedName>
    <definedName name="Last_Row" localSheetId="2">IF('2021 CAP CRM'!Values_Entered,Header_Row+'2021 CAP CRM'!Number_of_Payments,Header_Row)</definedName>
    <definedName name="Last_Row">IF([35]!Values_Entered,Header_Row+[35]!Number_of_Payments,Header_Row)</definedName>
    <definedName name="Levy_Rate">'[12]Assumptions (Input)'!$B$6</definedName>
    <definedName name="limcount">1</definedName>
    <definedName name="LINE.T">[4]INTERNAL!$A$55:$IV$57</definedName>
    <definedName name="LinkCos">'[7]JAM Download'!$K$4</definedName>
    <definedName name="Load_Factor">[32]ACCOUNTS!$AG$167</definedName>
    <definedName name="LoadArray">'[36]Load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[37]M9100F4!$A$1:$V$99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8">[38]!menu1_Button5_Click</definedName>
    <definedName name="menu1_Button5_Click" localSheetId="5">[38]!menu1_Button5_Click</definedName>
    <definedName name="menu1_Button5_Click" localSheetId="7">[38]!menu1_Button5_Click</definedName>
    <definedName name="menu1_Button5_Click" localSheetId="2">[38]!menu1_Button5_Click</definedName>
    <definedName name="menu1_Button5_Click">[38]!menu1_Button5_Click</definedName>
    <definedName name="menu1_Button6_Click" localSheetId="8">[38]!menu1_Button6_Click</definedName>
    <definedName name="menu1_Button6_Click" localSheetId="5">[38]!menu1_Button6_Click</definedName>
    <definedName name="menu1_Button6_Click" localSheetId="7">[38]!menu1_Button6_Click</definedName>
    <definedName name="menu1_Button6_Click" localSheetId="2">[38]!menu1_Button6_Click</definedName>
    <definedName name="menu1_Button6_Click">[38]!menu1_Button6_Click</definedName>
    <definedName name="MERGER_COST">[39]Sheet1!$AF$3:$AJ$28</definedName>
    <definedName name="METER">[4]EXTERNAL!$A$34:$IV$36</definedName>
    <definedName name="Method">[10]Inputs!$C$6</definedName>
    <definedName name="monthlist">[40]Table!$R$2:$S$13</definedName>
    <definedName name="monthtotals">'[40]WA SBC'!$D$40:$O$40</definedName>
    <definedName name="MTD_Format">[41]Mthly!$B$11:$D$11,[41]Mthly!$B$32:$D$32</definedName>
    <definedName name="MTR_YR3">[42]Variables!$E$14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[43]Inputs!$N$18</definedName>
    <definedName name="NRG">[4]CLASSIFIERS!$A$5:$IV$5</definedName>
    <definedName name="Number_of_Payments" localSheetId="11">MATCH(0.01,End_Bal,-1)+1</definedName>
    <definedName name="Number_of_Payments" localSheetId="8">MATCH(0.01,End_Bal,-1)+1</definedName>
    <definedName name="Number_of_Payments" localSheetId="5">MATCH(0.01,End_Bal,-1)+1</definedName>
    <definedName name="Number_of_Payments" localSheetId="7">MATCH(0.01,End_Bal,-1)+1</definedName>
    <definedName name="Number_of_Payments" localSheetId="2">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'[21]Virtual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'[44]Dist Misc'!$F$120</definedName>
    <definedName name="OthRCF">[18]INPUTS!$F$41</definedName>
    <definedName name="OthUnc">[4]INPUTS!$F$36</definedName>
    <definedName name="outlookdata">'[45]pivoted data'!$D$3:$Q$90</definedName>
    <definedName name="peak_new_table">'[46]2008 Extreme Peaks - 080403'!$E$5:$AD$8</definedName>
    <definedName name="peak_table">'[46]Peaks-F01'!$C$5:$E$243</definedName>
    <definedName name="PeakMethod">[10]Inputs!$T$5</definedName>
    <definedName name="Percent_debt">[28]Inputs!$E$129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'[27]Monthly Price Summary'!$C$4:$H$63</definedName>
    <definedName name="_xlnm.Print_Area" localSheetId="11">'2017 4.01 G'!$B$1:$F$21</definedName>
    <definedName name="Prior_Month">[47]Sch_120!$I$21</definedName>
    <definedName name="PROFORMA">[4]EXTERNAL!$A$67:$IV$69</definedName>
    <definedName name="PROFORMA_RETAIL">[4]EXTERNAL!$A$91:$IV$93</definedName>
    <definedName name="PROFORMA_RETAIL_TAX">[4]EXTERNAL!$A$169:$IV$171</definedName>
    <definedName name="Projects">[48]Sheet1!$A$1147:$B$1887</definedName>
    <definedName name="Prov_Cap_Tax">[28]Inputs!$E$111</definedName>
    <definedName name="PSE">'[49]4.04'!$A$6</definedName>
    <definedName name="PSE_Pre_Tax_Equity_Rate">'[25]Assumptions of Purchase'!$B$42</definedName>
    <definedName name="PTDGP.T">[4]INTERNAL!$A$64:$IV$66</definedName>
    <definedName name="PTDP.T">[4]INTERNAL!$A$67:$IV$69</definedName>
    <definedName name="QTD_Format">[50]QTD!$B$11:$D$11,[50]QTD!$B$35:$D$35</definedName>
    <definedName name="RATE2">'[20]Transp Data'!$A$8:$I$112</definedName>
    <definedName name="Rates">[51]Codes!$A$1:$C$500</definedName>
    <definedName name="RB.T">[4]INTERNAL!$A$70:$IV$72</definedName>
    <definedName name="RCF">[32]INPUTS!$F$48</definedName>
    <definedName name="Requlated_scenario">'[12]Assumptions (Input)'!$B$12</definedName>
    <definedName name="ResExchCrRate">[47]Sch_194!$M$31</definedName>
    <definedName name="RESID">[4]EXTERNAL!$A$88:$IV$90</definedName>
    <definedName name="resource_lookup">'[52]#REF'!$B$3:$C$112</definedName>
    <definedName name="ResourceSupplier">[11]Variables!$D$28</definedName>
    <definedName name="ResRCF">[18]INPUTS!$F$39</definedName>
    <definedName name="ResUnc">[4]INPUTS!$F$34</definedName>
    <definedName name="RevClass">[51]Codes!$F$2:$G$10</definedName>
    <definedName name="revenue_flag">'[12]Assumptions (Input)'!$C$12</definedName>
    <definedName name="Revenue_Taxes">'[12]Assumptions (Input)'!$B$8</definedName>
    <definedName name="REVFAC1.T">[4]INTERNAL!$A$73:$IV$75</definedName>
    <definedName name="ROD">[53]INPUTS!$F$25</definedName>
    <definedName name="ROR">[54]INPUTS!$F$29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[18]INPUTS!$F$40</definedName>
    <definedName name="SbUnc">[4]INPUTS!$F$35</definedName>
    <definedName name="Sch194Rlfwd">'[55]Sch94 Rlfwd'!$B$11</definedName>
    <definedName name="Schedule">[43]Inputs!$N$14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[4]INPUTS!$F$29</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'[26]JHS-6'!$A$7</definedName>
    <definedName name="TFR">[4]CLASSIFIERS!$A$11:$IV$11</definedName>
    <definedName name="ThermalBookLife">[9]Assumptions!$C$25</definedName>
    <definedName name="Title">[9]Assumptions!$A$1</definedName>
    <definedName name="Total_Payment" localSheetId="11">Scheduled_Payment+Extra_Payment</definedName>
    <definedName name="Total_Payment" localSheetId="8">Scheduled_Payment+Extra_Payment</definedName>
    <definedName name="Total_Payment" localSheetId="5">Scheduled_Payment+Extra_Payment</definedName>
    <definedName name="Total_Payment" localSheetId="7">Scheduled_Payment+Extra_Payment</definedName>
    <definedName name="Total_Payment" localSheetId="2">Scheduled_Payment+Extra_Payment</definedName>
    <definedName name="Total_Payment">Scheduled_Payment+Extra_Payment</definedName>
    <definedName name="TotalRateBase">'[7]G+T+D+R+M'!$H$58</definedName>
    <definedName name="TP.T">[4]INTERNAL!$A$91:$IV$93</definedName>
    <definedName name="transdb">'[56]Transp Unbilled'!$A$8:$E$174</definedName>
    <definedName name="TRANSM_2">[57]Transm2!$A$1:$M$461:'[57]10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11">IF(Loan_Amount*Interest_Rate*Loan_Years*Loan_Start&gt;0,1,0)</definedName>
    <definedName name="Values_Entered" localSheetId="8">IF(Loan_Amount*Interest_Rate*Loan_Years*Loan_Start&gt;0,1,0)</definedName>
    <definedName name="Values_Entered" localSheetId="5">IF(Loan_Amount*Interest_Rate*Loan_Years*Loan_Start&gt;0,1,0)</definedName>
    <definedName name="Values_Entered" localSheetId="7">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'[58]Input Tab'!$B$11</definedName>
    <definedName name="WinterPeak">'[59]Load Data'!$D$9:$H$12,'[59]Load Data'!$D$20:$H$22</definedName>
    <definedName name="WUTC_Docket_No._UG_11____">'[6]MJS-6'!$F$2</definedName>
    <definedName name="WUTC_FILING_FEE">'[6]MJS-7'!$O$15</definedName>
    <definedName name="Years_evaluated">'[60]Revison Inputs'!$B$6</definedName>
    <definedName name="YEFactors">[8]Factors!$S$3:$AG$99</definedName>
    <definedName name="YTD_Format">[50]YTD!$B$13:$D$13,[50]YTD!$B$36:$D$36</definedName>
  </definedNames>
  <calcPr calcId="162913"/>
</workbook>
</file>

<file path=xl/calcChain.xml><?xml version="1.0" encoding="utf-8"?>
<calcChain xmlns="http://schemas.openxmlformats.org/spreadsheetml/2006/main">
  <c r="J11" i="84" l="1"/>
  <c r="E38" i="76"/>
  <c r="I26" i="84" l="1"/>
  <c r="O16" i="84"/>
  <c r="O15" i="84"/>
  <c r="B87" i="89" l="1"/>
  <c r="B86" i="89"/>
  <c r="E81" i="89"/>
  <c r="E83" i="89" s="1"/>
  <c r="E80" i="89"/>
  <c r="C86" i="89" s="1"/>
  <c r="E78" i="89"/>
  <c r="D78" i="89"/>
  <c r="C78" i="89"/>
  <c r="E77" i="89"/>
  <c r="E76" i="89"/>
  <c r="E75" i="89"/>
  <c r="B65" i="89"/>
  <c r="B64" i="89"/>
  <c r="B57" i="89"/>
  <c r="B56" i="89"/>
  <c r="D47" i="89"/>
  <c r="C47" i="89"/>
  <c r="E46" i="89"/>
  <c r="E50" i="89" s="1"/>
  <c r="E45" i="89"/>
  <c r="E44" i="89"/>
  <c r="E49" i="89" s="1"/>
  <c r="B36" i="89"/>
  <c r="D36" i="89" s="1"/>
  <c r="B35" i="89"/>
  <c r="B20" i="89"/>
  <c r="B19" i="89"/>
  <c r="D10" i="89"/>
  <c r="C10" i="89"/>
  <c r="E9" i="89"/>
  <c r="E13" i="89" s="1"/>
  <c r="E8" i="89"/>
  <c r="E7" i="89"/>
  <c r="E12" i="89" s="1"/>
  <c r="C19" i="89" l="1"/>
  <c r="E14" i="89"/>
  <c r="D37" i="89"/>
  <c r="E36" i="89"/>
  <c r="E86" i="89"/>
  <c r="C88" i="89"/>
  <c r="C64" i="89"/>
  <c r="C56" i="89"/>
  <c r="D20" i="89"/>
  <c r="E15" i="89"/>
  <c r="D57" i="89"/>
  <c r="D65" i="89"/>
  <c r="E52" i="89"/>
  <c r="D87" i="89"/>
  <c r="E82" i="89"/>
  <c r="E10" i="89"/>
  <c r="E47" i="89"/>
  <c r="E51" i="89" s="1"/>
  <c r="C35" i="89"/>
  <c r="E57" i="89" l="1"/>
  <c r="D58" i="89"/>
  <c r="E56" i="89"/>
  <c r="C58" i="89"/>
  <c r="E58" i="89" s="1"/>
  <c r="E59" i="89" s="1"/>
  <c r="D88" i="89"/>
  <c r="E88" i="89" s="1"/>
  <c r="E87" i="89"/>
  <c r="C66" i="89"/>
  <c r="E66" i="89" s="1"/>
  <c r="E64" i="89"/>
  <c r="D66" i="89"/>
  <c r="E65" i="89"/>
  <c r="C37" i="89"/>
  <c r="E37" i="89" s="1"/>
  <c r="E38" i="89" s="1"/>
  <c r="E35" i="89"/>
  <c r="E20" i="89"/>
  <c r="D21" i="89"/>
  <c r="E19" i="89"/>
  <c r="C21" i="89"/>
  <c r="E89" i="89" l="1"/>
  <c r="E90" i="89"/>
  <c r="E24" i="89"/>
  <c r="E67" i="89"/>
  <c r="F71" i="89" s="1"/>
  <c r="E71" i="89"/>
  <c r="E91" i="89"/>
  <c r="E60" i="89"/>
  <c r="E69" i="89"/>
  <c r="E21" i="89"/>
  <c r="E22" i="89" s="1"/>
  <c r="E61" i="89"/>
  <c r="E23" i="89"/>
  <c r="E68" i="89"/>
  <c r="N16" i="84" l="1"/>
  <c r="N15" i="84"/>
  <c r="K16" i="84"/>
  <c r="K15" i="84"/>
  <c r="O14" i="84"/>
  <c r="O17" i="84"/>
  <c r="O7" i="84"/>
  <c r="O6" i="84"/>
  <c r="O5" i="84"/>
  <c r="O8" i="84" l="1"/>
  <c r="F5" i="69" l="1"/>
  <c r="C10" i="84"/>
  <c r="I14" i="77"/>
  <c r="E23" i="84" l="1"/>
  <c r="E22" i="84"/>
  <c r="G5" i="77"/>
  <c r="G4" i="77"/>
  <c r="F15" i="77" l="1"/>
  <c r="H23" i="84" l="1"/>
  <c r="H22" i="84"/>
  <c r="K17" i="77" l="1"/>
  <c r="H17" i="77"/>
  <c r="J14" i="77"/>
  <c r="H14" i="77"/>
  <c r="E5" i="77" l="1"/>
  <c r="D5" i="77"/>
  <c r="D17" i="77" l="1"/>
  <c r="E17" i="77"/>
  <c r="E16" i="77"/>
  <c r="D16" i="77"/>
  <c r="E14" i="77"/>
  <c r="D14" i="77"/>
  <c r="E4" i="77"/>
  <c r="D4" i="77"/>
  <c r="D6" i="77" s="1"/>
  <c r="E19" i="77" l="1"/>
  <c r="H17" i="84" l="1"/>
  <c r="I8" i="84"/>
  <c r="H9" i="84" l="1"/>
  <c r="H19" i="84"/>
  <c r="Y66" i="87" l="1"/>
  <c r="X66" i="87"/>
  <c r="W66" i="87"/>
  <c r="V66" i="87"/>
  <c r="U66" i="87"/>
  <c r="T66" i="87"/>
  <c r="S66" i="87"/>
  <c r="R66" i="87"/>
  <c r="Q66" i="87"/>
  <c r="P66" i="87"/>
  <c r="O66" i="87"/>
  <c r="N66" i="87"/>
  <c r="M66" i="87"/>
  <c r="L66" i="87"/>
  <c r="K66" i="87"/>
  <c r="J66" i="87"/>
  <c r="I66" i="87"/>
  <c r="H66" i="87"/>
  <c r="G66" i="87"/>
  <c r="F66" i="87"/>
  <c r="E66" i="87"/>
  <c r="Y65" i="87"/>
  <c r="X65" i="87"/>
  <c r="W65" i="87"/>
  <c r="W62" i="87" s="1"/>
  <c r="V65" i="87"/>
  <c r="U65" i="87"/>
  <c r="T65" i="87"/>
  <c r="S65" i="87"/>
  <c r="S62" i="87" s="1"/>
  <c r="R65" i="87"/>
  <c r="Q65" i="87"/>
  <c r="P65" i="87"/>
  <c r="O65" i="87"/>
  <c r="O62" i="87" s="1"/>
  <c r="N65" i="87"/>
  <c r="M65" i="87"/>
  <c r="L65" i="87"/>
  <c r="K65" i="87"/>
  <c r="K62" i="87" s="1"/>
  <c r="J65" i="87"/>
  <c r="I65" i="87"/>
  <c r="H65" i="87"/>
  <c r="G65" i="87"/>
  <c r="G62" i="87" s="1"/>
  <c r="F65" i="87"/>
  <c r="E65" i="87"/>
  <c r="Y62" i="87"/>
  <c r="X62" i="87"/>
  <c r="V62" i="87"/>
  <c r="U62" i="87"/>
  <c r="T62" i="87"/>
  <c r="R62" i="87"/>
  <c r="Q62" i="87"/>
  <c r="P62" i="87"/>
  <c r="N62" i="87"/>
  <c r="M62" i="87"/>
  <c r="L62" i="87"/>
  <c r="J62" i="87"/>
  <c r="I62" i="87"/>
  <c r="H62" i="87"/>
  <c r="F62" i="87"/>
  <c r="E62" i="87"/>
  <c r="B62" i="87"/>
  <c r="AT56" i="87"/>
  <c r="AT55" i="87"/>
  <c r="AT51" i="87"/>
  <c r="AT50" i="87"/>
  <c r="AT41" i="87"/>
  <c r="AT40" i="87"/>
  <c r="AT36" i="87"/>
  <c r="E31" i="87"/>
  <c r="A29" i="87"/>
  <c r="A32" i="87" s="1"/>
  <c r="A33" i="87" s="1"/>
  <c r="A34" i="87" s="1"/>
  <c r="A35"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F16" i="87"/>
  <c r="F15" i="87"/>
  <c r="D13" i="87"/>
  <c r="F12" i="87"/>
  <c r="E12" i="87"/>
  <c r="D12" i="87"/>
  <c r="F11" i="87"/>
  <c r="F13" i="87" s="1"/>
  <c r="E11" i="87"/>
  <c r="D11" i="87"/>
  <c r="E47" i="69"/>
  <c r="AS57" i="87" l="1"/>
  <c r="AP66" i="87"/>
  <c r="D47" i="69" l="1"/>
  <c r="D32" i="69"/>
  <c r="Y66" i="85" l="1"/>
  <c r="X66" i="85"/>
  <c r="W66" i="85"/>
  <c r="V66" i="85"/>
  <c r="U66" i="85"/>
  <c r="T66" i="85"/>
  <c r="S66" i="85"/>
  <c r="R66" i="85"/>
  <c r="Q66" i="85"/>
  <c r="P66" i="85"/>
  <c r="O66" i="85"/>
  <c r="N66" i="85"/>
  <c r="M66" i="85"/>
  <c r="L66" i="85"/>
  <c r="K66" i="85"/>
  <c r="J66" i="85"/>
  <c r="I66" i="85"/>
  <c r="H66" i="85"/>
  <c r="G66" i="85"/>
  <c r="AP66" i="85" s="1"/>
  <c r="F66" i="85"/>
  <c r="E66" i="85"/>
  <c r="Y65" i="85"/>
  <c r="X65" i="85"/>
  <c r="W65" i="85"/>
  <c r="V65" i="85"/>
  <c r="U65" i="85"/>
  <c r="T65" i="85"/>
  <c r="S65" i="85"/>
  <c r="R65" i="85"/>
  <c r="Q65" i="85"/>
  <c r="P65" i="85"/>
  <c r="O65" i="85"/>
  <c r="N65" i="85"/>
  <c r="M65" i="85"/>
  <c r="L65" i="85"/>
  <c r="K65" i="85"/>
  <c r="J65" i="85"/>
  <c r="I65" i="85"/>
  <c r="H65" i="85"/>
  <c r="G65" i="85"/>
  <c r="F65" i="85"/>
  <c r="E65" i="85"/>
  <c r="Y62" i="85"/>
  <c r="X62" i="85"/>
  <c r="W62" i="85"/>
  <c r="V62" i="85"/>
  <c r="U62" i="85"/>
  <c r="T62" i="85"/>
  <c r="S62" i="85"/>
  <c r="R62" i="85"/>
  <c r="Q62" i="85"/>
  <c r="P62" i="85"/>
  <c r="O62" i="85"/>
  <c r="N62" i="85"/>
  <c r="M62" i="85"/>
  <c r="L62" i="85"/>
  <c r="K62" i="85"/>
  <c r="J62" i="85"/>
  <c r="I62" i="85"/>
  <c r="H62" i="85"/>
  <c r="G62" i="85"/>
  <c r="F62" i="85"/>
  <c r="E62" i="85"/>
  <c r="B62" i="85"/>
  <c r="AT57" i="85"/>
  <c r="AU56" i="85"/>
  <c r="AU55" i="85"/>
  <c r="AU51" i="85"/>
  <c r="AU50" i="85"/>
  <c r="AU41" i="85"/>
  <c r="AU40" i="85"/>
  <c r="AU36" i="85"/>
  <c r="E31" i="85"/>
  <c r="A29" i="85"/>
  <c r="A32" i="85" s="1"/>
  <c r="A33" i="85" s="1"/>
  <c r="A34" i="85" s="1"/>
  <c r="A35"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F16" i="85"/>
  <c r="F15" i="85"/>
  <c r="D13" i="85"/>
  <c r="F12" i="85"/>
  <c r="E12" i="85"/>
  <c r="D12" i="85"/>
  <c r="F11" i="85"/>
  <c r="F13" i="85" s="1"/>
  <c r="E11" i="85"/>
  <c r="D11" i="85"/>
  <c r="AS57" i="85" l="1"/>
  <c r="D18" i="77" l="1"/>
  <c r="F18" i="77" l="1"/>
  <c r="D19" i="77"/>
  <c r="F8" i="84"/>
  <c r="J8" i="84" s="1"/>
  <c r="E17" i="84" l="1"/>
  <c r="E9" i="84"/>
  <c r="E19" i="84" l="1"/>
  <c r="F66" i="74"/>
  <c r="G65" i="74"/>
  <c r="Y62" i="74"/>
  <c r="X62" i="74"/>
  <c r="W62" i="74"/>
  <c r="V62" i="74"/>
  <c r="U62" i="74"/>
  <c r="T62" i="74"/>
  <c r="S62" i="74"/>
  <c r="R62" i="74"/>
  <c r="Q62" i="74"/>
  <c r="P62" i="74"/>
  <c r="O62" i="74"/>
  <c r="N62" i="74"/>
  <c r="M62" i="74"/>
  <c r="L62" i="74"/>
  <c r="K62" i="74"/>
  <c r="J62" i="74"/>
  <c r="I62" i="74"/>
  <c r="H62" i="74"/>
  <c r="G62" i="74"/>
  <c r="F62" i="74"/>
  <c r="G16" i="74" l="1"/>
  <c r="G15" i="74"/>
  <c r="G12" i="74"/>
  <c r="G11" i="74"/>
  <c r="G13" i="74"/>
  <c r="E32" i="69" l="1"/>
  <c r="F16" i="76" l="1"/>
  <c r="F15" i="76"/>
  <c r="F12" i="76"/>
  <c r="F11" i="76"/>
  <c r="E12" i="76"/>
  <c r="E11" i="76"/>
  <c r="D12" i="76"/>
  <c r="D11" i="76"/>
  <c r="F25" i="77"/>
  <c r="E6" i="77" l="1"/>
  <c r="E21" i="77" l="1"/>
  <c r="E31" i="76" l="1"/>
  <c r="F14" i="77" l="1"/>
  <c r="AP66" i="76" l="1"/>
  <c r="Y66" i="76"/>
  <c r="X66" i="76"/>
  <c r="W66" i="76"/>
  <c r="V66" i="76"/>
  <c r="U66" i="76"/>
  <c r="T66" i="76"/>
  <c r="S66" i="76"/>
  <c r="R66" i="76"/>
  <c r="Q66" i="76"/>
  <c r="P66" i="76"/>
  <c r="O66" i="76"/>
  <c r="N66" i="76"/>
  <c r="M66" i="76"/>
  <c r="L66" i="76"/>
  <c r="K66" i="76"/>
  <c r="J66" i="76"/>
  <c r="I66" i="76"/>
  <c r="H66" i="76"/>
  <c r="G66" i="76"/>
  <c r="F66" i="76"/>
  <c r="E66" i="76"/>
  <c r="Y65" i="76"/>
  <c r="X65" i="76"/>
  <c r="W65" i="76"/>
  <c r="V65" i="76"/>
  <c r="U65" i="76"/>
  <c r="T65" i="76"/>
  <c r="S65" i="76"/>
  <c r="R65" i="76"/>
  <c r="Q65" i="76"/>
  <c r="P65" i="76"/>
  <c r="O65" i="76"/>
  <c r="N65" i="76"/>
  <c r="M65" i="76"/>
  <c r="L65" i="76"/>
  <c r="K65" i="76"/>
  <c r="J65" i="76"/>
  <c r="I65" i="76"/>
  <c r="H65" i="76"/>
  <c r="G65" i="76"/>
  <c r="F65" i="76"/>
  <c r="E65" i="76"/>
  <c r="Y62" i="76"/>
  <c r="X62" i="76"/>
  <c r="W62" i="76"/>
  <c r="V62" i="76"/>
  <c r="U62" i="76"/>
  <c r="T62" i="76"/>
  <c r="S62" i="76"/>
  <c r="R62" i="76"/>
  <c r="Q62" i="76"/>
  <c r="P62" i="76"/>
  <c r="O62" i="76"/>
  <c r="N62" i="76"/>
  <c r="M62" i="76"/>
  <c r="L62" i="76"/>
  <c r="K62" i="76"/>
  <c r="J62" i="76"/>
  <c r="I62" i="76"/>
  <c r="H62" i="76"/>
  <c r="G62" i="76"/>
  <c r="F62" i="76"/>
  <c r="E62" i="76"/>
  <c r="B62" i="76"/>
  <c r="AT57" i="76"/>
  <c r="AU56" i="76"/>
  <c r="AU55" i="76"/>
  <c r="AU51" i="76"/>
  <c r="AU50" i="76"/>
  <c r="A45" i="76"/>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U41" i="76"/>
  <c r="A41" i="76"/>
  <c r="A42" i="76" s="1"/>
  <c r="A43" i="76" s="1"/>
  <c r="A44" i="76" s="1"/>
  <c r="AU40" i="76"/>
  <c r="AU36" i="76"/>
  <c r="A29" i="76"/>
  <c r="A32" i="76" s="1"/>
  <c r="A33" i="76" s="1"/>
  <c r="A34" i="76" s="1"/>
  <c r="A35" i="76" s="1"/>
  <c r="A37" i="76" s="1"/>
  <c r="A38" i="76" s="1"/>
  <c r="A39" i="76" s="1"/>
  <c r="A40" i="76" s="1"/>
  <c r="F13" i="76"/>
  <c r="D13" i="76"/>
  <c r="Y65" i="74" l="1"/>
  <c r="X65" i="74"/>
  <c r="W65" i="74"/>
  <c r="V65" i="74"/>
  <c r="U65" i="74"/>
  <c r="T65" i="74"/>
  <c r="S65" i="74"/>
  <c r="R65" i="74"/>
  <c r="Q65" i="74"/>
  <c r="P65" i="74"/>
  <c r="O65" i="74"/>
  <c r="N65" i="74"/>
  <c r="M65" i="74"/>
  <c r="L65" i="74"/>
  <c r="K65" i="74"/>
  <c r="J65" i="74"/>
  <c r="I65" i="74"/>
  <c r="H65" i="74"/>
  <c r="F65" i="74"/>
  <c r="E65" i="74"/>
  <c r="E62" i="74"/>
  <c r="B62" i="74"/>
  <c r="AU56" i="74"/>
  <c r="AU55" i="74"/>
  <c r="AU51" i="74"/>
  <c r="AU50" i="74"/>
  <c r="AU41" i="74"/>
  <c r="AU40" i="74"/>
  <c r="AU36" i="74"/>
  <c r="A29" i="74"/>
  <c r="A32" i="74" s="1"/>
  <c r="A33" i="74" s="1"/>
  <c r="A34" i="74" s="1"/>
  <c r="A35"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F16" i="74"/>
  <c r="F13" i="74"/>
  <c r="D13" i="74"/>
  <c r="AV27" i="74" l="1"/>
  <c r="AS58" i="74"/>
  <c r="AS57" i="74" l="1"/>
  <c r="AS59" i="74" s="1"/>
  <c r="AS60" i="74" s="1"/>
  <c r="F27" i="74" l="1"/>
  <c r="G27" i="74"/>
  <c r="H27" i="74"/>
  <c r="X27" i="74"/>
  <c r="AN27" i="74"/>
  <c r="AK27" i="74"/>
  <c r="AD27" i="74"/>
  <c r="M27" i="74"/>
  <c r="AH27" i="74"/>
  <c r="S27" i="74"/>
  <c r="AI27" i="74"/>
  <c r="P27" i="74"/>
  <c r="AF27" i="74"/>
  <c r="U27" i="74"/>
  <c r="R27" i="74"/>
  <c r="AP27" i="74"/>
  <c r="Y27" i="74"/>
  <c r="N27" i="74"/>
  <c r="K27" i="74"/>
  <c r="AA27" i="74"/>
  <c r="I27" i="74"/>
  <c r="O27" i="74"/>
  <c r="L27" i="74"/>
  <c r="AB27" i="74"/>
  <c r="AR27" i="74"/>
  <c r="AO27" i="74"/>
  <c r="AL27" i="74"/>
  <c r="Q27" i="74"/>
  <c r="J27" i="74"/>
  <c r="W27" i="74"/>
  <c r="AM27" i="74"/>
  <c r="AQ27" i="74"/>
  <c r="T27" i="74"/>
  <c r="AJ27" i="74"/>
  <c r="AC27" i="74"/>
  <c r="Z27" i="74"/>
  <c r="AG27" i="74"/>
  <c r="V27" i="74"/>
  <c r="AE27" i="74"/>
  <c r="E27" i="74"/>
  <c r="AS57" i="76"/>
  <c r="V7" i="73"/>
  <c r="U7" i="73"/>
  <c r="T7" i="73"/>
  <c r="S7" i="73"/>
  <c r="R7" i="73"/>
  <c r="Q7" i="73"/>
  <c r="P7" i="73"/>
  <c r="O7" i="73"/>
  <c r="N7" i="73"/>
  <c r="M7" i="73"/>
  <c r="L7" i="73"/>
  <c r="K7" i="73"/>
  <c r="J7" i="73"/>
  <c r="I7" i="73"/>
  <c r="H7" i="73"/>
  <c r="G7" i="73"/>
  <c r="F7" i="73"/>
  <c r="E7" i="73"/>
  <c r="D7" i="73"/>
  <c r="C7" i="73"/>
  <c r="B7" i="73"/>
  <c r="W7" i="73" s="1"/>
  <c r="V6" i="73"/>
  <c r="Y66" i="74" s="1"/>
  <c r="U6" i="73"/>
  <c r="X66" i="74" s="1"/>
  <c r="T6" i="73"/>
  <c r="W66" i="74" s="1"/>
  <c r="S6" i="73"/>
  <c r="V66" i="74" s="1"/>
  <c r="R6" i="73"/>
  <c r="U66" i="74" s="1"/>
  <c r="Q6" i="73"/>
  <c r="T66" i="74" s="1"/>
  <c r="P6" i="73"/>
  <c r="S66" i="74" s="1"/>
  <c r="O6" i="73"/>
  <c r="R66" i="74" s="1"/>
  <c r="N6" i="73"/>
  <c r="Q66" i="74" s="1"/>
  <c r="M6" i="73"/>
  <c r="P66" i="74" s="1"/>
  <c r="L6" i="73"/>
  <c r="O66" i="74" s="1"/>
  <c r="K6" i="73"/>
  <c r="N66" i="74" s="1"/>
  <c r="J6" i="73"/>
  <c r="M66" i="74" s="1"/>
  <c r="I6" i="73"/>
  <c r="L66" i="74" s="1"/>
  <c r="H6" i="73"/>
  <c r="K66" i="74" s="1"/>
  <c r="G6" i="73"/>
  <c r="J66" i="74" s="1"/>
  <c r="F6" i="73"/>
  <c r="I66" i="74" s="1"/>
  <c r="E6" i="73"/>
  <c r="H66" i="74" s="1"/>
  <c r="D6" i="73"/>
  <c r="G66" i="74" s="1"/>
  <c r="C6" i="73"/>
  <c r="B6" i="73"/>
  <c r="E66" i="74" s="1"/>
  <c r="W5" i="73"/>
  <c r="A14" i="69"/>
  <c r="A17" i="69" s="1"/>
  <c r="A18" i="69" s="1"/>
  <c r="A19" i="69" s="1"/>
  <c r="A20"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F47" i="69"/>
  <c r="AP66" i="74" l="1"/>
  <c r="W6" i="73"/>
  <c r="AM58" i="74" l="1"/>
  <c r="W58" i="74"/>
  <c r="G58" i="74"/>
  <c r="AD58" i="74"/>
  <c r="N58" i="74"/>
  <c r="AO58" i="74"/>
  <c r="Y58" i="74"/>
  <c r="I58" i="74"/>
  <c r="AR58" i="74"/>
  <c r="X58" i="74"/>
  <c r="H58" i="74"/>
  <c r="V58" i="74"/>
  <c r="Q58" i="74"/>
  <c r="AA58" i="74"/>
  <c r="AH58" i="74"/>
  <c r="AT58" i="74"/>
  <c r="M58" i="74"/>
  <c r="AJ58" i="74"/>
  <c r="AI58" i="74"/>
  <c r="S58" i="74"/>
  <c r="AP58" i="74"/>
  <c r="Z58" i="74"/>
  <c r="J58" i="74"/>
  <c r="AK58" i="74"/>
  <c r="U58" i="74"/>
  <c r="E58" i="74"/>
  <c r="AB58" i="74"/>
  <c r="T58" i="74"/>
  <c r="AE58" i="74"/>
  <c r="O58" i="74"/>
  <c r="AL58" i="74"/>
  <c r="F58" i="74"/>
  <c r="AG58" i="74"/>
  <c r="AF58" i="74"/>
  <c r="L58" i="74"/>
  <c r="AQ58" i="74"/>
  <c r="K58" i="74"/>
  <c r="R58" i="74"/>
  <c r="AC58" i="74"/>
  <c r="P58" i="74"/>
  <c r="AN58" i="74"/>
  <c r="AU58" i="74" l="1"/>
  <c r="AA57" i="74" l="1"/>
  <c r="AA59" i="74" s="1"/>
  <c r="AA60" i="74" s="1"/>
  <c r="I57" i="74"/>
  <c r="I59" i="74" s="1"/>
  <c r="I60" i="74" s="1"/>
  <c r="U57" i="74"/>
  <c r="U59" i="74" s="1"/>
  <c r="U60" i="74" s="1"/>
  <c r="AL57" i="74"/>
  <c r="AL59" i="74" s="1"/>
  <c r="AL60" i="74" s="1"/>
  <c r="V57" i="74"/>
  <c r="V59" i="74" s="1"/>
  <c r="V60" i="74" s="1"/>
  <c r="AI57" i="74"/>
  <c r="AI59" i="74" s="1"/>
  <c r="AI60" i="74" s="1"/>
  <c r="AH57" i="74"/>
  <c r="AH59" i="74" s="1"/>
  <c r="AH60" i="74" s="1"/>
  <c r="AN57" i="74"/>
  <c r="AN59" i="74" s="1"/>
  <c r="AN60" i="74" s="1"/>
  <c r="AM57" i="74"/>
  <c r="AM59" i="74" s="1"/>
  <c r="AM60" i="74" s="1"/>
  <c r="AJ57" i="74"/>
  <c r="AJ59" i="74" s="1"/>
  <c r="AJ60" i="74" s="1"/>
  <c r="AQ57" i="74"/>
  <c r="AQ59" i="74" s="1"/>
  <c r="AQ60" i="74" s="1"/>
  <c r="X57" i="74"/>
  <c r="X59" i="74" s="1"/>
  <c r="X60" i="74" s="1"/>
  <c r="W57" i="74"/>
  <c r="W59" i="74" s="1"/>
  <c r="W60" i="74" s="1"/>
  <c r="AB57" i="74"/>
  <c r="AB59" i="74" s="1"/>
  <c r="AB60" i="74" s="1"/>
  <c r="Z57" i="74"/>
  <c r="Z59" i="74" s="1"/>
  <c r="Z60" i="74" s="1"/>
  <c r="AP57" i="74"/>
  <c r="AP59" i="74" s="1"/>
  <c r="AP60" i="74" s="1"/>
  <c r="M57" i="74"/>
  <c r="M59" i="74" s="1"/>
  <c r="M60" i="74" s="1"/>
  <c r="AF57" i="74"/>
  <c r="AF59" i="74" s="1"/>
  <c r="AF60" i="74" s="1"/>
  <c r="Y57" i="74"/>
  <c r="Y59" i="74" s="1"/>
  <c r="Y60" i="74" s="1"/>
  <c r="R57" i="74"/>
  <c r="R59" i="74" s="1"/>
  <c r="R60" i="74" s="1"/>
  <c r="AO57" i="74"/>
  <c r="AO59" i="74" s="1"/>
  <c r="AO60" i="74" s="1"/>
  <c r="L57" i="74"/>
  <c r="L59" i="74" s="1"/>
  <c r="L60" i="74" s="1"/>
  <c r="S57" i="74"/>
  <c r="S59" i="74" s="1"/>
  <c r="S60" i="74" s="1"/>
  <c r="AG57" i="74"/>
  <c r="AG59" i="74" s="1"/>
  <c r="AG60" i="74" s="1"/>
  <c r="F57" i="74" l="1"/>
  <c r="F59" i="74" s="1"/>
  <c r="F60" i="74" s="1"/>
  <c r="J57" i="74"/>
  <c r="J59" i="74" s="1"/>
  <c r="J60" i="74" s="1"/>
  <c r="AK57" i="74"/>
  <c r="AK59" i="74" s="1"/>
  <c r="AK60" i="74" s="1"/>
  <c r="AD57" i="74"/>
  <c r="AD59" i="74" s="1"/>
  <c r="AD60" i="74" s="1"/>
  <c r="H57" i="74"/>
  <c r="H59" i="74" s="1"/>
  <c r="H60" i="74" s="1"/>
  <c r="AT57" i="74"/>
  <c r="AT59" i="74" s="1"/>
  <c r="AT60" i="74" s="1"/>
  <c r="P57" i="74"/>
  <c r="P59" i="74" s="1"/>
  <c r="P60" i="74" s="1"/>
  <c r="AC57" i="74"/>
  <c r="AC59" i="74" s="1"/>
  <c r="AC60" i="74" s="1"/>
  <c r="AR57" i="74"/>
  <c r="AR59" i="74" s="1"/>
  <c r="AR60" i="74" s="1"/>
  <c r="O57" i="74"/>
  <c r="O59" i="74" s="1"/>
  <c r="O60" i="74" s="1"/>
  <c r="N57" i="74"/>
  <c r="N59" i="74" s="1"/>
  <c r="N60" i="74" s="1"/>
  <c r="G57" i="74"/>
  <c r="G59" i="74" s="1"/>
  <c r="G60" i="74" s="1"/>
  <c r="K57" i="74"/>
  <c r="K59" i="74" s="1"/>
  <c r="K60" i="74" s="1"/>
  <c r="T57" i="74"/>
  <c r="T59" i="74" s="1"/>
  <c r="T60" i="74" s="1"/>
  <c r="AE57" i="74"/>
  <c r="AE59" i="74" s="1"/>
  <c r="AE60" i="74" s="1"/>
  <c r="Q57" i="74"/>
  <c r="Q59" i="74" s="1"/>
  <c r="Q60" i="74" s="1"/>
  <c r="E47" i="74" l="1"/>
  <c r="AU27" i="74"/>
  <c r="E57" i="74"/>
  <c r="AU57" i="74" l="1"/>
  <c r="E59" i="74"/>
  <c r="E60" i="74" s="1"/>
  <c r="AU59" i="74" l="1"/>
  <c r="AS49" i="74" l="1"/>
  <c r="AU60" i="74"/>
  <c r="E48" i="74"/>
  <c r="N49" i="74"/>
  <c r="AD49" i="74"/>
  <c r="W49" i="74"/>
  <c r="S49" i="74"/>
  <c r="V49" i="74"/>
  <c r="R49" i="74"/>
  <c r="K49" i="74"/>
  <c r="AT49" i="74"/>
  <c r="T49" i="74"/>
  <c r="AC49" i="74"/>
  <c r="P49" i="74"/>
  <c r="J49" i="74"/>
  <c r="I49" i="74"/>
  <c r="Y49" i="74"/>
  <c r="AF49" i="74"/>
  <c r="AE49" i="74"/>
  <c r="AA49" i="74"/>
  <c r="AP49" i="74"/>
  <c r="Q49" i="74"/>
  <c r="AR49" i="74"/>
  <c r="AB49" i="74"/>
  <c r="AJ49" i="74"/>
  <c r="AG49" i="74"/>
  <c r="O49" i="74"/>
  <c r="U49" i="74"/>
  <c r="AN49" i="74"/>
  <c r="Z49" i="74"/>
  <c r="M49" i="74"/>
  <c r="AH49" i="74"/>
  <c r="L49" i="74"/>
  <c r="E49" i="74"/>
  <c r="AQ49" i="74"/>
  <c r="AK49" i="74"/>
  <c r="AI49" i="74"/>
  <c r="AL49" i="74"/>
  <c r="AO49" i="74"/>
  <c r="H49" i="74"/>
  <c r="X49" i="74"/>
  <c r="G49" i="74"/>
  <c r="G33" i="74" s="1"/>
  <c r="AM49" i="74"/>
  <c r="F49" i="74"/>
  <c r="F32" i="74" l="1"/>
  <c r="F33" i="74"/>
  <c r="AO34" i="74"/>
  <c r="AO52" i="74" s="1"/>
  <c r="AO53" i="74" s="1"/>
  <c r="AO33" i="74"/>
  <c r="AR34" i="74"/>
  <c r="AR52" i="74" s="1"/>
  <c r="AR53" i="74" s="1"/>
  <c r="AR33" i="74"/>
  <c r="J34" i="74"/>
  <c r="J52" i="74" s="1"/>
  <c r="J53" i="74" s="1"/>
  <c r="J33" i="74"/>
  <c r="S34" i="74"/>
  <c r="S52" i="74" s="1"/>
  <c r="S53" i="74" s="1"/>
  <c r="S33" i="74"/>
  <c r="G34" i="74"/>
  <c r="G52" i="74" s="1"/>
  <c r="G53" i="74" s="1"/>
  <c r="AL34" i="74"/>
  <c r="AL52" i="74" s="1"/>
  <c r="AL53" i="74" s="1"/>
  <c r="AL33" i="74"/>
  <c r="Z34" i="74"/>
  <c r="Z52" i="74" s="1"/>
  <c r="Z53" i="74" s="1"/>
  <c r="Z33" i="74"/>
  <c r="AG34" i="74"/>
  <c r="AG52" i="74" s="1"/>
  <c r="AG53" i="74" s="1"/>
  <c r="AG33" i="74"/>
  <c r="Q34" i="74"/>
  <c r="Q52" i="74" s="1"/>
  <c r="Q53" i="74" s="1"/>
  <c r="Q33" i="74"/>
  <c r="AF34" i="74"/>
  <c r="AF52" i="74" s="1"/>
  <c r="AF53" i="74" s="1"/>
  <c r="AF33" i="74"/>
  <c r="P34" i="74"/>
  <c r="P52" i="74" s="1"/>
  <c r="P53" i="74" s="1"/>
  <c r="P33" i="74"/>
  <c r="K34" i="74"/>
  <c r="K52" i="74" s="1"/>
  <c r="K53" i="74" s="1"/>
  <c r="K33" i="74"/>
  <c r="W34" i="74"/>
  <c r="W52" i="74" s="1"/>
  <c r="W53" i="74" s="1"/>
  <c r="W33" i="74"/>
  <c r="AM34" i="74"/>
  <c r="AM52" i="74" s="1"/>
  <c r="AM53" i="74" s="1"/>
  <c r="AM33" i="74"/>
  <c r="M34" i="74"/>
  <c r="M52" i="74" s="1"/>
  <c r="M53" i="74" s="1"/>
  <c r="M33" i="74"/>
  <c r="AT34" i="74"/>
  <c r="AT52" i="74" s="1"/>
  <c r="AT53" i="74" s="1"/>
  <c r="AT33" i="74"/>
  <c r="X34" i="74"/>
  <c r="X52" i="74" s="1"/>
  <c r="X53" i="74" s="1"/>
  <c r="X33" i="74"/>
  <c r="AI34" i="74"/>
  <c r="AI52" i="74" s="1"/>
  <c r="AI53" i="74" s="1"/>
  <c r="AI33" i="74"/>
  <c r="L34" i="74"/>
  <c r="L52" i="74" s="1"/>
  <c r="L53" i="74" s="1"/>
  <c r="L33" i="74"/>
  <c r="AN34" i="74"/>
  <c r="AN52" i="74" s="1"/>
  <c r="AN53" i="74" s="1"/>
  <c r="AN33" i="74"/>
  <c r="AJ34" i="74"/>
  <c r="AJ52" i="74" s="1"/>
  <c r="AJ53" i="74" s="1"/>
  <c r="AJ33" i="74"/>
  <c r="AP34" i="74"/>
  <c r="AP52" i="74" s="1"/>
  <c r="AP53" i="74" s="1"/>
  <c r="AP33" i="74"/>
  <c r="Y34" i="74"/>
  <c r="Y52" i="74" s="1"/>
  <c r="Y53" i="74" s="1"/>
  <c r="Y33" i="74"/>
  <c r="AC34" i="74"/>
  <c r="AC52" i="74" s="1"/>
  <c r="AC53" i="74" s="1"/>
  <c r="AC33" i="74"/>
  <c r="R34" i="74"/>
  <c r="R52" i="74" s="1"/>
  <c r="R53" i="74" s="1"/>
  <c r="R33" i="74"/>
  <c r="AD34" i="74"/>
  <c r="AD52" i="74" s="1"/>
  <c r="AD53" i="74" s="1"/>
  <c r="AD33" i="74"/>
  <c r="AQ34" i="74"/>
  <c r="AQ52" i="74" s="1"/>
  <c r="AQ53" i="74" s="1"/>
  <c r="AQ33" i="74"/>
  <c r="O34" i="74"/>
  <c r="O52" i="74" s="1"/>
  <c r="O53" i="74" s="1"/>
  <c r="O33" i="74"/>
  <c r="AE34" i="74"/>
  <c r="AE52" i="74" s="1"/>
  <c r="AE53" i="74" s="1"/>
  <c r="AE33" i="74"/>
  <c r="F34" i="74"/>
  <c r="F52" i="74" s="1"/>
  <c r="F53" i="74" s="1"/>
  <c r="H34" i="74"/>
  <c r="H52" i="74" s="1"/>
  <c r="H53" i="74" s="1"/>
  <c r="H33" i="74"/>
  <c r="AK34" i="74"/>
  <c r="AK52" i="74" s="1"/>
  <c r="AK53" i="74" s="1"/>
  <c r="AK33" i="74"/>
  <c r="AH34" i="74"/>
  <c r="AH52" i="74" s="1"/>
  <c r="AH53" i="74" s="1"/>
  <c r="AH33" i="74"/>
  <c r="U34" i="74"/>
  <c r="U52" i="74" s="1"/>
  <c r="U53" i="74" s="1"/>
  <c r="U33" i="74"/>
  <c r="AB34" i="74"/>
  <c r="AB52" i="74" s="1"/>
  <c r="AB53" i="74" s="1"/>
  <c r="AB33" i="74"/>
  <c r="AA34" i="74"/>
  <c r="AA52" i="74" s="1"/>
  <c r="AA53" i="74" s="1"/>
  <c r="AA33" i="74"/>
  <c r="I34" i="74"/>
  <c r="I52" i="74" s="1"/>
  <c r="I53" i="74" s="1"/>
  <c r="I33" i="74"/>
  <c r="T34" i="74"/>
  <c r="T52" i="74" s="1"/>
  <c r="T53" i="74" s="1"/>
  <c r="T33" i="74"/>
  <c r="V34" i="74"/>
  <c r="V52" i="74" s="1"/>
  <c r="V53" i="74" s="1"/>
  <c r="V33" i="74"/>
  <c r="N34" i="74"/>
  <c r="N52" i="74" s="1"/>
  <c r="N53" i="74" s="1"/>
  <c r="N33" i="74"/>
  <c r="AS32" i="74"/>
  <c r="AS34" i="74"/>
  <c r="AS52" i="74" s="1"/>
  <c r="AS53" i="74" s="1"/>
  <c r="AS29" i="74" s="1"/>
  <c r="AS33" i="74"/>
  <c r="AK32" i="74"/>
  <c r="U32" i="74"/>
  <c r="AA32" i="74"/>
  <c r="T32" i="74"/>
  <c r="N32" i="74"/>
  <c r="AO32" i="74"/>
  <c r="M32" i="74"/>
  <c r="AR32" i="74"/>
  <c r="AT32" i="74"/>
  <c r="G32" i="74"/>
  <c r="X32" i="74"/>
  <c r="AI32" i="74"/>
  <c r="L32" i="74"/>
  <c r="AN32" i="74"/>
  <c r="AJ32" i="74"/>
  <c r="AP32" i="74"/>
  <c r="Y32" i="74"/>
  <c r="AC32" i="74"/>
  <c r="R32" i="74"/>
  <c r="AD32" i="74"/>
  <c r="H32" i="74"/>
  <c r="AH32" i="74"/>
  <c r="AB32" i="74"/>
  <c r="I32" i="74"/>
  <c r="V32" i="74"/>
  <c r="AM32" i="74"/>
  <c r="AQ32" i="74"/>
  <c r="O32" i="74"/>
  <c r="AE32" i="74"/>
  <c r="J32" i="74"/>
  <c r="S32" i="74"/>
  <c r="AL32" i="74"/>
  <c r="E32" i="74"/>
  <c r="AU49" i="74"/>
  <c r="E34" i="74"/>
  <c r="E33" i="74"/>
  <c r="Z32" i="74"/>
  <c r="AG32" i="74"/>
  <c r="Q32" i="74"/>
  <c r="AF32" i="74"/>
  <c r="P32" i="74"/>
  <c r="K32" i="74"/>
  <c r="W32" i="74"/>
  <c r="AS35" i="74" l="1"/>
  <c r="AS37" i="74" s="1"/>
  <c r="AS54" i="74"/>
  <c r="I35" i="74"/>
  <c r="N35" i="74"/>
  <c r="W35" i="74"/>
  <c r="P35" i="74"/>
  <c r="AB35" i="74"/>
  <c r="H35" i="74"/>
  <c r="AI35" i="74"/>
  <c r="G35" i="74"/>
  <c r="T35" i="74"/>
  <c r="Z29" i="74"/>
  <c r="AU32" i="74"/>
  <c r="E35" i="74"/>
  <c r="AH29" i="74"/>
  <c r="AC29" i="74"/>
  <c r="AR29" i="74"/>
  <c r="M29" i="74"/>
  <c r="AO29" i="74"/>
  <c r="U29" i="74"/>
  <c r="K35" i="74"/>
  <c r="Q29" i="74"/>
  <c r="AU33" i="74"/>
  <c r="AQ35" i="74"/>
  <c r="AD29" i="74"/>
  <c r="AJ35" i="74"/>
  <c r="X29" i="74"/>
  <c r="T29" i="74"/>
  <c r="AA35" i="74"/>
  <c r="P29" i="74"/>
  <c r="Q35" i="74"/>
  <c r="E52" i="74"/>
  <c r="AU34" i="74"/>
  <c r="S35" i="74"/>
  <c r="O29" i="74"/>
  <c r="AQ29" i="74"/>
  <c r="V35" i="74"/>
  <c r="AB29" i="74"/>
  <c r="F35" i="74"/>
  <c r="AD35" i="74"/>
  <c r="Y29" i="74"/>
  <c r="AP29" i="74"/>
  <c r="L35" i="74"/>
  <c r="AT29" i="74"/>
  <c r="AO35" i="74"/>
  <c r="N29" i="74"/>
  <c r="AG29" i="74"/>
  <c r="S29" i="74"/>
  <c r="AE29" i="74"/>
  <c r="V29" i="74"/>
  <c r="R29" i="74"/>
  <c r="AN29" i="74"/>
  <c r="AA29" i="74"/>
  <c r="W29" i="74"/>
  <c r="AF29" i="74"/>
  <c r="AL29" i="74"/>
  <c r="J35" i="74"/>
  <c r="AM29" i="74"/>
  <c r="R35" i="74"/>
  <c r="AP35" i="74"/>
  <c r="AI29" i="74"/>
  <c r="AR35" i="74"/>
  <c r="AK29" i="74"/>
  <c r="K29" i="74"/>
  <c r="AF35" i="74"/>
  <c r="AG35" i="74"/>
  <c r="Z35" i="74"/>
  <c r="AL35" i="74"/>
  <c r="J29" i="74"/>
  <c r="AE35" i="74"/>
  <c r="O35" i="74"/>
  <c r="AM35" i="74"/>
  <c r="I29" i="74"/>
  <c r="AH35" i="74"/>
  <c r="H29" i="74"/>
  <c r="F29" i="74"/>
  <c r="AC35" i="74"/>
  <c r="Y35" i="74"/>
  <c r="AJ29" i="74"/>
  <c r="AN35" i="74"/>
  <c r="L29" i="74"/>
  <c r="X35" i="74"/>
  <c r="G29" i="74"/>
  <c r="AT35" i="74"/>
  <c r="M35" i="74"/>
  <c r="U35" i="74"/>
  <c r="AK35" i="74"/>
  <c r="AS38" i="74" l="1"/>
  <c r="AS39" i="74" s="1"/>
  <c r="AS42" i="74" s="1"/>
  <c r="AS45" i="74" s="1"/>
  <c r="I37" i="74"/>
  <c r="I38" i="74" s="1"/>
  <c r="K37" i="74"/>
  <c r="AN54" i="74"/>
  <c r="AE37" i="74"/>
  <c r="P37" i="74"/>
  <c r="AO54" i="74"/>
  <c r="L37" i="74"/>
  <c r="AQ54" i="74"/>
  <c r="AD54" i="74"/>
  <c r="AL54" i="74"/>
  <c r="N54" i="74"/>
  <c r="AI37" i="74"/>
  <c r="W37" i="74"/>
  <c r="R37" i="74"/>
  <c r="U54" i="74"/>
  <c r="AT54" i="74"/>
  <c r="K54" i="74"/>
  <c r="W54" i="74"/>
  <c r="S54" i="74"/>
  <c r="N37" i="74"/>
  <c r="H37" i="74"/>
  <c r="T37" i="74"/>
  <c r="AC37" i="74"/>
  <c r="AJ54" i="74"/>
  <c r="J54" i="74"/>
  <c r="AA37" i="74"/>
  <c r="V54" i="74"/>
  <c r="AB37" i="74"/>
  <c r="X54" i="74"/>
  <c r="AH54" i="74"/>
  <c r="Z54" i="74"/>
  <c r="O37" i="74"/>
  <c r="G37" i="74"/>
  <c r="G38" i="74" s="1"/>
  <c r="J37" i="74"/>
  <c r="AM37" i="74"/>
  <c r="AF54" i="74"/>
  <c r="AA54" i="74"/>
  <c r="R54" i="74"/>
  <c r="AE54" i="74"/>
  <c r="AG54" i="74"/>
  <c r="AP54" i="74"/>
  <c r="AQ37" i="74"/>
  <c r="AQ38" i="74" s="1"/>
  <c r="T54" i="74"/>
  <c r="AR54" i="74"/>
  <c r="M37" i="74"/>
  <c r="AK37" i="74"/>
  <c r="AK38" i="74" s="1"/>
  <c r="G54" i="74"/>
  <c r="H54" i="74"/>
  <c r="AF37" i="74"/>
  <c r="AG37" i="74"/>
  <c r="AP37" i="74"/>
  <c r="AP38" i="74" s="1"/>
  <c r="Q37" i="74"/>
  <c r="U37" i="74"/>
  <c r="M54" i="74"/>
  <c r="AC54" i="74"/>
  <c r="AJ37" i="74"/>
  <c r="F54" i="74"/>
  <c r="AT37" i="74"/>
  <c r="Y37" i="74"/>
  <c r="P54" i="74"/>
  <c r="AD37" i="74"/>
  <c r="Q54" i="74"/>
  <c r="I39" i="74"/>
  <c r="I42" i="74" s="1"/>
  <c r="I45" i="74" s="1"/>
  <c r="AU35" i="74"/>
  <c r="AK54" i="74"/>
  <c r="L54" i="74"/>
  <c r="F37" i="74"/>
  <c r="I54" i="74"/>
  <c r="AI54" i="74"/>
  <c r="AM54" i="74"/>
  <c r="AL37" i="74"/>
  <c r="AL38" i="74" s="1"/>
  <c r="AN37" i="74"/>
  <c r="V37" i="74"/>
  <c r="V38" i="74" s="1"/>
  <c r="S37" i="74"/>
  <c r="Y54" i="74"/>
  <c r="AB54" i="74"/>
  <c r="O54" i="74"/>
  <c r="E53" i="74"/>
  <c r="AU52" i="74"/>
  <c r="X37" i="74"/>
  <c r="AO37" i="74"/>
  <c r="AR37" i="74"/>
  <c r="AR38" i="74" s="1"/>
  <c r="AH37" i="74"/>
  <c r="AH38" i="74" s="1"/>
  <c r="Z37" i="74"/>
  <c r="Z38" i="74" s="1"/>
  <c r="F17" i="69"/>
  <c r="F38" i="74" l="1"/>
  <c r="F39" i="74"/>
  <c r="F42" i="74" s="1"/>
  <c r="S38" i="74"/>
  <c r="S39" i="74" s="1"/>
  <c r="S42" i="74" s="1"/>
  <c r="S45" i="74" s="1"/>
  <c r="AT38" i="74"/>
  <c r="AT39" i="74" s="1"/>
  <c r="AT42" i="74" s="1"/>
  <c r="AT45" i="74" s="1"/>
  <c r="AG38" i="74"/>
  <c r="AG39" i="74" s="1"/>
  <c r="AG42" i="74" s="1"/>
  <c r="AG45" i="74" s="1"/>
  <c r="J38" i="74"/>
  <c r="J39" i="74" s="1"/>
  <c r="J42" i="74" s="1"/>
  <c r="J45" i="74" s="1"/>
  <c r="AA38" i="74"/>
  <c r="AA39" i="74" s="1"/>
  <c r="AA42" i="74" s="1"/>
  <c r="AA45" i="74" s="1"/>
  <c r="T38" i="74"/>
  <c r="T39" i="74" s="1"/>
  <c r="T42" i="74" s="1"/>
  <c r="T45" i="74" s="1"/>
  <c r="R38" i="74"/>
  <c r="R39" i="74" s="1"/>
  <c r="R42" i="74" s="1"/>
  <c r="R45" i="74" s="1"/>
  <c r="K38" i="74"/>
  <c r="K39" i="74" s="1"/>
  <c r="K42" i="74" s="1"/>
  <c r="K45" i="74" s="1"/>
  <c r="AO38" i="74"/>
  <c r="AO39" i="74" s="1"/>
  <c r="AO42" i="74" s="1"/>
  <c r="AO45" i="74" s="1"/>
  <c r="AD38" i="74"/>
  <c r="AD39" i="74" s="1"/>
  <c r="AD42" i="74" s="1"/>
  <c r="AD45" i="74" s="1"/>
  <c r="U38" i="74"/>
  <c r="U39" i="74" s="1"/>
  <c r="U42" i="74" s="1"/>
  <c r="U45" i="74" s="1"/>
  <c r="AF38" i="74"/>
  <c r="AF39" i="74" s="1"/>
  <c r="AF42" i="74" s="1"/>
  <c r="AF45" i="74" s="1"/>
  <c r="M38" i="74"/>
  <c r="M39" i="74" s="1"/>
  <c r="M42" i="74" s="1"/>
  <c r="M45" i="74" s="1"/>
  <c r="G39" i="74"/>
  <c r="G42" i="74" s="1"/>
  <c r="H38" i="74"/>
  <c r="H39" i="74" s="1"/>
  <c r="H42" i="74" s="1"/>
  <c r="H45" i="74" s="1"/>
  <c r="W38" i="74"/>
  <c r="W39" i="74" s="1"/>
  <c r="W42" i="74" s="1"/>
  <c r="W45" i="74" s="1"/>
  <c r="P38" i="74"/>
  <c r="P39" i="74" s="1"/>
  <c r="P42" i="74" s="1"/>
  <c r="P45" i="74" s="1"/>
  <c r="X38" i="74"/>
  <c r="X39" i="74" s="1"/>
  <c r="X42" i="74" s="1"/>
  <c r="X45" i="74" s="1"/>
  <c r="AN38" i="74"/>
  <c r="AN39" i="74" s="1"/>
  <c r="AN42" i="74" s="1"/>
  <c r="AN45" i="74" s="1"/>
  <c r="AJ38" i="74"/>
  <c r="AJ39" i="74" s="1"/>
  <c r="AJ42" i="74" s="1"/>
  <c r="AJ45" i="74" s="1"/>
  <c r="Q38" i="74"/>
  <c r="Q39" i="74" s="1"/>
  <c r="Q42" i="74" s="1"/>
  <c r="Q45" i="74" s="1"/>
  <c r="O38" i="74"/>
  <c r="O39" i="74" s="1"/>
  <c r="O42" i="74" s="1"/>
  <c r="O45" i="74" s="1"/>
  <c r="AB38" i="74"/>
  <c r="AB39" i="74" s="1"/>
  <c r="AB42" i="74" s="1"/>
  <c r="AB45" i="74" s="1"/>
  <c r="N38" i="74"/>
  <c r="N39" i="74" s="1"/>
  <c r="N42" i="74" s="1"/>
  <c r="N45" i="74" s="1"/>
  <c r="AI38" i="74"/>
  <c r="AI39" i="74" s="1"/>
  <c r="AI42" i="74" s="1"/>
  <c r="AI45" i="74" s="1"/>
  <c r="AE38" i="74"/>
  <c r="AE39" i="74" s="1"/>
  <c r="AE42" i="74" s="1"/>
  <c r="AE45" i="74" s="1"/>
  <c r="Y38" i="74"/>
  <c r="Y39" i="74" s="1"/>
  <c r="Y42" i="74" s="1"/>
  <c r="Y45" i="74" s="1"/>
  <c r="AM38" i="74"/>
  <c r="AM39" i="74" s="1"/>
  <c r="AM42" i="74" s="1"/>
  <c r="AM45" i="74" s="1"/>
  <c r="AC38" i="74"/>
  <c r="AC39" i="74" s="1"/>
  <c r="AC42" i="74" s="1"/>
  <c r="AC45" i="74" s="1"/>
  <c r="L38" i="74"/>
  <c r="L39" i="74" s="1"/>
  <c r="L42" i="74" s="1"/>
  <c r="L45" i="74" s="1"/>
  <c r="AQ39" i="74"/>
  <c r="AQ42" i="74" s="1"/>
  <c r="AQ45" i="74" s="1"/>
  <c r="AU53" i="74"/>
  <c r="E29" i="74"/>
  <c r="E54" i="74"/>
  <c r="AU54" i="74" s="1"/>
  <c r="AH39" i="74"/>
  <c r="AH42" i="74" s="1"/>
  <c r="AH45" i="74" s="1"/>
  <c r="AP39" i="74"/>
  <c r="AP42" i="74" s="1"/>
  <c r="AP45" i="74" s="1"/>
  <c r="AR39" i="74"/>
  <c r="AR42" i="74" s="1"/>
  <c r="AR45" i="74" s="1"/>
  <c r="Z39" i="74"/>
  <c r="Z42" i="74" s="1"/>
  <c r="Z45" i="74" s="1"/>
  <c r="V39" i="74"/>
  <c r="V42" i="74" s="1"/>
  <c r="V45" i="74" s="1"/>
  <c r="AL39" i="74"/>
  <c r="AL42" i="74" s="1"/>
  <c r="AL45" i="74" s="1"/>
  <c r="AK39" i="74"/>
  <c r="AK42" i="74" s="1"/>
  <c r="AK45" i="74" s="1"/>
  <c r="G45" i="74" l="1"/>
  <c r="B11" i="67"/>
  <c r="F45" i="74"/>
  <c r="AU29" i="74"/>
  <c r="E37" i="74"/>
  <c r="E38" i="74" l="1"/>
  <c r="AU37" i="74"/>
  <c r="AU38" i="74" l="1"/>
  <c r="E39" i="74"/>
  <c r="AU39" i="74" s="1"/>
  <c r="E42" i="74" l="1"/>
  <c r="E45" i="74" l="1"/>
  <c r="AU42" i="74"/>
  <c r="I6" i="84" l="1"/>
  <c r="F16" i="77" l="1"/>
  <c r="F6" i="84"/>
  <c r="J6" i="84" s="1"/>
  <c r="I15" i="84"/>
  <c r="I22" i="84" s="1"/>
  <c r="I16" i="84"/>
  <c r="I23" i="84" s="1"/>
  <c r="D9" i="84"/>
  <c r="I24" i="84" l="1"/>
  <c r="I7" i="84"/>
  <c r="F7" i="84"/>
  <c r="F9" i="84" s="1"/>
  <c r="D5" i="69" s="1"/>
  <c r="F16" i="84"/>
  <c r="F15" i="84"/>
  <c r="F22" i="84" s="1"/>
  <c r="D17" i="84"/>
  <c r="F5" i="77" s="1"/>
  <c r="I9" i="84"/>
  <c r="I27" i="84" l="1"/>
  <c r="J16" i="84"/>
  <c r="F23" i="84"/>
  <c r="F24" i="84"/>
  <c r="J9" i="84"/>
  <c r="E5" i="69"/>
  <c r="H5" i="77"/>
  <c r="F4" i="77"/>
  <c r="J7" i="84"/>
  <c r="D19" i="84"/>
  <c r="F17" i="84"/>
  <c r="F17" i="77"/>
  <c r="F19" i="77" l="1"/>
  <c r="F26" i="77" s="1"/>
  <c r="F25" i="84"/>
  <c r="F17" i="76" s="1"/>
  <c r="F22" i="76"/>
  <c r="S58" i="76" s="1"/>
  <c r="H4" i="77"/>
  <c r="D21" i="77"/>
  <c r="F21" i="77" s="1"/>
  <c r="J15" i="84"/>
  <c r="I17" i="84"/>
  <c r="I25" i="84" s="1"/>
  <c r="F17" i="85" s="1"/>
  <c r="F6" i="77"/>
  <c r="F10" i="77" s="1"/>
  <c r="F19" i="84"/>
  <c r="AC58" i="76" l="1"/>
  <c r="G58" i="76"/>
  <c r="U58" i="76"/>
  <c r="K58" i="76"/>
  <c r="Y58" i="76"/>
  <c r="Q58" i="76"/>
  <c r="AR58" i="76"/>
  <c r="W58" i="76"/>
  <c r="AE58" i="76"/>
  <c r="AJ58" i="76"/>
  <c r="AL58" i="76"/>
  <c r="I58" i="76"/>
  <c r="AV27" i="76"/>
  <c r="E58" i="76"/>
  <c r="AT58" i="76"/>
  <c r="AT59" i="76" s="1"/>
  <c r="AT60" i="76" s="1"/>
  <c r="AB58" i="76"/>
  <c r="AP58" i="76"/>
  <c r="AN58" i="76"/>
  <c r="V58" i="76"/>
  <c r="N58" i="76"/>
  <c r="AF58" i="76"/>
  <c r="AD58" i="76"/>
  <c r="L58" i="76"/>
  <c r="Z58" i="76"/>
  <c r="X58" i="76"/>
  <c r="F58" i="76"/>
  <c r="T58" i="76"/>
  <c r="R58" i="76"/>
  <c r="P58" i="76"/>
  <c r="M58" i="76"/>
  <c r="O58" i="76"/>
  <c r="J58" i="76"/>
  <c r="H58" i="76"/>
  <c r="AG58" i="76"/>
  <c r="AQ58" i="76"/>
  <c r="AS58" i="76"/>
  <c r="AS59" i="76" s="1"/>
  <c r="AS60" i="76" s="1"/>
  <c r="AA58" i="76"/>
  <c r="AO58" i="76"/>
  <c r="AI58" i="76"/>
  <c r="AH58" i="76"/>
  <c r="D10" i="69"/>
  <c r="AK58" i="76"/>
  <c r="AM58" i="76"/>
  <c r="F9" i="77"/>
  <c r="F22" i="87"/>
  <c r="H6" i="77"/>
  <c r="H9" i="77" s="1"/>
  <c r="D43" i="69"/>
  <c r="J17" i="84"/>
  <c r="F22" i="85"/>
  <c r="E27" i="85" s="1"/>
  <c r="I19" i="84"/>
  <c r="J19" i="84" s="1"/>
  <c r="AU58" i="76" l="1"/>
  <c r="K58" i="87"/>
  <c r="N58" i="87"/>
  <c r="AJ58" i="87"/>
  <c r="AP58" i="87"/>
  <c r="U58" i="87"/>
  <c r="W58" i="87"/>
  <c r="AG58" i="87"/>
  <c r="AS58" i="87"/>
  <c r="AS59" i="87" s="1"/>
  <c r="AS60" i="87" s="1"/>
  <c r="AE58" i="87"/>
  <c r="AB58" i="87"/>
  <c r="AC58" i="87"/>
  <c r="AU27" i="87"/>
  <c r="AO58" i="87"/>
  <c r="T58" i="87"/>
  <c r="Z58" i="87"/>
  <c r="E58" i="87"/>
  <c r="AA58" i="87"/>
  <c r="AR58" i="87"/>
  <c r="M58" i="87"/>
  <c r="AL58" i="87"/>
  <c r="L58" i="87"/>
  <c r="AN58" i="87"/>
  <c r="Y58" i="87"/>
  <c r="AM58" i="87"/>
  <c r="J58" i="87"/>
  <c r="AF58" i="87"/>
  <c r="AQ58" i="87"/>
  <c r="G58" i="87"/>
  <c r="X58" i="87"/>
  <c r="F58" i="87"/>
  <c r="O58" i="87"/>
  <c r="H58" i="87"/>
  <c r="AD58" i="87"/>
  <c r="I58" i="87"/>
  <c r="S58" i="87"/>
  <c r="AK58" i="87"/>
  <c r="P58" i="87"/>
  <c r="V58" i="87"/>
  <c r="AH58" i="87"/>
  <c r="AI58" i="87"/>
  <c r="Q58" i="87"/>
  <c r="R58" i="87"/>
  <c r="G7" i="77"/>
  <c r="H10" i="77"/>
  <c r="E10" i="69"/>
  <c r="F10" i="69" s="1"/>
  <c r="AH58" i="85"/>
  <c r="K58" i="85"/>
  <c r="AQ58" i="85"/>
  <c r="AS58" i="85"/>
  <c r="AS59" i="85" s="1"/>
  <c r="AS60" i="85" s="1"/>
  <c r="AC58" i="85"/>
  <c r="AV27" i="85"/>
  <c r="O58" i="85"/>
  <c r="T58" i="85"/>
  <c r="N58" i="85"/>
  <c r="V58" i="85"/>
  <c r="AD58" i="85"/>
  <c r="AN58" i="85"/>
  <c r="AI58" i="85"/>
  <c r="X58" i="85"/>
  <c r="AR58" i="85"/>
  <c r="I58" i="85"/>
  <c r="Q58" i="85"/>
  <c r="AP58" i="85"/>
  <c r="AF58" i="85"/>
  <c r="AK58" i="85"/>
  <c r="AJ58" i="85"/>
  <c r="J58" i="85"/>
  <c r="Y58" i="85"/>
  <c r="S58" i="85"/>
  <c r="AG58" i="85"/>
  <c r="AB58" i="85"/>
  <c r="E58" i="85"/>
  <c r="AT58" i="85"/>
  <c r="AT59" i="85" s="1"/>
  <c r="AT60" i="85" s="1"/>
  <c r="AO58" i="85"/>
  <c r="G58" i="85"/>
  <c r="M58" i="85"/>
  <c r="Z58" i="85"/>
  <c r="AA58" i="85"/>
  <c r="P58" i="85"/>
  <c r="AM58" i="85"/>
  <c r="U58" i="85"/>
  <c r="AL58" i="85"/>
  <c r="W58" i="85"/>
  <c r="L58" i="85"/>
  <c r="H58" i="85"/>
  <c r="AE58" i="85"/>
  <c r="F58" i="85"/>
  <c r="R58" i="85"/>
  <c r="AT58" i="87" l="1"/>
  <c r="E43" i="69"/>
  <c r="F43" i="69" s="1"/>
  <c r="AU58" i="85"/>
  <c r="E27" i="76"/>
  <c r="E57" i="76" s="1"/>
  <c r="F17" i="87"/>
  <c r="E27" i="87" l="1"/>
  <c r="AR27" i="87"/>
  <c r="AR27" i="85"/>
  <c r="Z27" i="87"/>
  <c r="AI27" i="87"/>
  <c r="AP27" i="87"/>
  <c r="V27" i="87"/>
  <c r="AH27" i="87"/>
  <c r="W27" i="87"/>
  <c r="L27" i="87"/>
  <c r="O27" i="87"/>
  <c r="AN27" i="87"/>
  <c r="P27" i="87"/>
  <c r="AK27" i="87"/>
  <c r="AQ27" i="87"/>
  <c r="G27" i="87"/>
  <c r="F27" i="87"/>
  <c r="AE27" i="87"/>
  <c r="M27" i="87"/>
  <c r="AL27" i="87"/>
  <c r="X27" i="87"/>
  <c r="R27" i="87"/>
  <c r="AF27" i="87"/>
  <c r="U27" i="87"/>
  <c r="AD27" i="87"/>
  <c r="AC27" i="87"/>
  <c r="J27" i="87"/>
  <c r="AA27" i="87"/>
  <c r="Q27" i="87"/>
  <c r="AB27" i="87"/>
  <c r="N27" i="87"/>
  <c r="AG27" i="87"/>
  <c r="S27" i="87"/>
  <c r="T27" i="87"/>
  <c r="K27" i="87"/>
  <c r="AM27" i="87"/>
  <c r="AJ27" i="87"/>
  <c r="AO27" i="87"/>
  <c r="H27" i="87"/>
  <c r="I27" i="87"/>
  <c r="Y27" i="87"/>
  <c r="F27" i="76"/>
  <c r="AP27" i="76"/>
  <c r="AQ27" i="76"/>
  <c r="N27" i="76"/>
  <c r="AK27" i="76"/>
  <c r="G27" i="76"/>
  <c r="AI27" i="76"/>
  <c r="AD27" i="76"/>
  <c r="R27" i="76"/>
  <c r="AG27" i="76"/>
  <c r="H27" i="76"/>
  <c r="AL27" i="76"/>
  <c r="Q27" i="76"/>
  <c r="AB27" i="76"/>
  <c r="M27" i="76"/>
  <c r="AE27" i="76"/>
  <c r="Y27" i="76"/>
  <c r="AH27" i="76"/>
  <c r="X27" i="76"/>
  <c r="V27" i="76"/>
  <c r="AF27" i="76"/>
  <c r="AN27" i="76"/>
  <c r="AA27" i="76"/>
  <c r="AR27" i="76"/>
  <c r="J27" i="76"/>
  <c r="AO27" i="76"/>
  <c r="I27" i="76"/>
  <c r="AJ27" i="76"/>
  <c r="S27" i="76"/>
  <c r="O27" i="76"/>
  <c r="P27" i="76"/>
  <c r="T27" i="76"/>
  <c r="U27" i="76"/>
  <c r="W27" i="76"/>
  <c r="AC27" i="76"/>
  <c r="Z27" i="76"/>
  <c r="L27" i="76"/>
  <c r="AM27" i="76"/>
  <c r="K27" i="76"/>
  <c r="AQ27" i="85"/>
  <c r="AI27" i="85"/>
  <c r="M27" i="85"/>
  <c r="AG27" i="85"/>
  <c r="I27" i="85"/>
  <c r="R27" i="85"/>
  <c r="AN27" i="85"/>
  <c r="N27" i="85"/>
  <c r="Z27" i="85"/>
  <c r="J27" i="85"/>
  <c r="AF27" i="85"/>
  <c r="L27" i="85"/>
  <c r="AM27" i="85"/>
  <c r="AO27" i="85"/>
  <c r="AP27" i="85"/>
  <c r="K27" i="85"/>
  <c r="AA27" i="85"/>
  <c r="AD27" i="85"/>
  <c r="H27" i="85"/>
  <c r="Q27" i="85"/>
  <c r="P27" i="85"/>
  <c r="Y27" i="85"/>
  <c r="X27" i="85"/>
  <c r="AE27" i="85"/>
  <c r="S27" i="85"/>
  <c r="V27" i="85"/>
  <c r="F27" i="85"/>
  <c r="AH27" i="85"/>
  <c r="AJ27" i="85"/>
  <c r="AK27" i="85"/>
  <c r="W27" i="85"/>
  <c r="G27" i="85"/>
  <c r="U27" i="85"/>
  <c r="AB27" i="85"/>
  <c r="AC27" i="85"/>
  <c r="AL27" i="85"/>
  <c r="O27" i="85"/>
  <c r="T27" i="85"/>
  <c r="AB57" i="85" l="1"/>
  <c r="AB59" i="85" s="1"/>
  <c r="AB60" i="85" s="1"/>
  <c r="F57" i="85"/>
  <c r="F59" i="85" s="1"/>
  <c r="F60" i="85" s="1"/>
  <c r="H57" i="85"/>
  <c r="H59" i="85" s="1"/>
  <c r="H60" i="85" s="1"/>
  <c r="L57" i="85"/>
  <c r="L59" i="85" s="1"/>
  <c r="L60" i="85" s="1"/>
  <c r="AG57" i="85"/>
  <c r="AG59" i="85" s="1"/>
  <c r="AG60" i="85" s="1"/>
  <c r="AC57" i="76"/>
  <c r="AC59" i="76" s="1"/>
  <c r="AC60" i="76" s="1"/>
  <c r="D12" i="69"/>
  <c r="AU27" i="76"/>
  <c r="E47" i="76"/>
  <c r="V57" i="76"/>
  <c r="V59" i="76" s="1"/>
  <c r="V60" i="76" s="1"/>
  <c r="AL57" i="76"/>
  <c r="AL59" i="76" s="1"/>
  <c r="AL60" i="76" s="1"/>
  <c r="N57" i="76"/>
  <c r="N59" i="76" s="1"/>
  <c r="N60" i="76" s="1"/>
  <c r="AO57" i="87"/>
  <c r="AO59" i="87" s="1"/>
  <c r="AO60" i="87" s="1"/>
  <c r="AB57" i="87"/>
  <c r="AB59" i="87" s="1"/>
  <c r="AB60" i="87" s="1"/>
  <c r="AC57" i="87"/>
  <c r="AC59" i="87" s="1"/>
  <c r="AC60" i="87" s="1"/>
  <c r="AE57" i="87"/>
  <c r="AE59" i="87" s="1"/>
  <c r="AE60" i="87" s="1"/>
  <c r="V57" i="87"/>
  <c r="V59" i="87" s="1"/>
  <c r="V60" i="87" s="1"/>
  <c r="O57" i="85"/>
  <c r="O59" i="85" s="1"/>
  <c r="O60" i="85" s="1"/>
  <c r="AK57" i="85"/>
  <c r="AK59" i="85" s="1"/>
  <c r="AK60" i="85" s="1"/>
  <c r="Y57" i="85"/>
  <c r="Y59" i="85" s="1"/>
  <c r="Y60" i="85" s="1"/>
  <c r="AO57" i="85"/>
  <c r="AO59" i="85" s="1"/>
  <c r="AO60" i="85" s="1"/>
  <c r="M57" i="85"/>
  <c r="M59" i="85" s="1"/>
  <c r="M60" i="85" s="1"/>
  <c r="W57" i="76"/>
  <c r="W59" i="76" s="1"/>
  <c r="W60" i="76" s="1"/>
  <c r="AO57" i="76"/>
  <c r="AO59" i="76" s="1"/>
  <c r="AO60" i="76" s="1"/>
  <c r="X57" i="76"/>
  <c r="X59" i="76" s="1"/>
  <c r="X60" i="76" s="1"/>
  <c r="H57" i="76"/>
  <c r="H59" i="76" s="1"/>
  <c r="H60" i="76" s="1"/>
  <c r="AQ57" i="76"/>
  <c r="AQ59" i="76" s="1"/>
  <c r="AQ60" i="76" s="1"/>
  <c r="AJ57" i="87"/>
  <c r="AJ59" i="87" s="1"/>
  <c r="AJ60" i="87" s="1"/>
  <c r="Q57" i="87"/>
  <c r="Q59" i="87" s="1"/>
  <c r="Q60" i="87" s="1"/>
  <c r="X57" i="87"/>
  <c r="X59" i="87" s="1"/>
  <c r="X60" i="87" s="1"/>
  <c r="E57" i="87"/>
  <c r="AT27" i="87"/>
  <c r="AV27" i="87" s="1"/>
  <c r="E47" i="87"/>
  <c r="L57" i="87"/>
  <c r="L59" i="87" s="1"/>
  <c r="L60" i="87" s="1"/>
  <c r="G57" i="85"/>
  <c r="G59" i="85" s="1"/>
  <c r="G60" i="85" s="1"/>
  <c r="P57" i="85"/>
  <c r="P59" i="85" s="1"/>
  <c r="P60" i="85" s="1"/>
  <c r="AM57" i="85"/>
  <c r="AM59" i="85" s="1"/>
  <c r="AM60" i="85" s="1"/>
  <c r="AI57" i="85"/>
  <c r="AI59" i="85" s="1"/>
  <c r="AI60" i="85" s="1"/>
  <c r="L57" i="76"/>
  <c r="L59" i="76" s="1"/>
  <c r="L60" i="76" s="1"/>
  <c r="U57" i="76"/>
  <c r="U59" i="76" s="1"/>
  <c r="U60" i="76" s="1"/>
  <c r="J57" i="76"/>
  <c r="J59" i="76" s="1"/>
  <c r="J60" i="76" s="1"/>
  <c r="AN57" i="76"/>
  <c r="AN59" i="76" s="1"/>
  <c r="AN60" i="76" s="1"/>
  <c r="AH57" i="76"/>
  <c r="AH59" i="76" s="1"/>
  <c r="AH60" i="76" s="1"/>
  <c r="AB57" i="76"/>
  <c r="AB59" i="76" s="1"/>
  <c r="AB60" i="76" s="1"/>
  <c r="AG57" i="76"/>
  <c r="AG59" i="76" s="1"/>
  <c r="AG60" i="76" s="1"/>
  <c r="G57" i="76"/>
  <c r="G59" i="76" s="1"/>
  <c r="G60" i="76" s="1"/>
  <c r="AP57" i="76"/>
  <c r="AP59" i="76" s="1"/>
  <c r="AP60" i="76" s="1"/>
  <c r="I57" i="87"/>
  <c r="I59" i="87" s="1"/>
  <c r="I60" i="87" s="1"/>
  <c r="AM57" i="87"/>
  <c r="AM59" i="87" s="1"/>
  <c r="AM60" i="87" s="1"/>
  <c r="AG57" i="87"/>
  <c r="AG59" i="87" s="1"/>
  <c r="AG60" i="87" s="1"/>
  <c r="AA57" i="87"/>
  <c r="AA59" i="87" s="1"/>
  <c r="AA60" i="87" s="1"/>
  <c r="U57" i="87"/>
  <c r="U59" i="87" s="1"/>
  <c r="U60" i="87" s="1"/>
  <c r="AL57" i="87"/>
  <c r="AL59" i="87" s="1"/>
  <c r="AL60" i="87" s="1"/>
  <c r="G57" i="87"/>
  <c r="G59" i="87" s="1"/>
  <c r="G60" i="87" s="1"/>
  <c r="P57" i="87"/>
  <c r="P59" i="87" s="1"/>
  <c r="P60" i="87" s="1"/>
  <c r="W57" i="87"/>
  <c r="W59" i="87" s="1"/>
  <c r="W60" i="87" s="1"/>
  <c r="AI57" i="87"/>
  <c r="AI59" i="87" s="1"/>
  <c r="AI60" i="87" s="1"/>
  <c r="T57" i="85"/>
  <c r="T59" i="85" s="1"/>
  <c r="T60" i="85" s="1"/>
  <c r="W57" i="85"/>
  <c r="W59" i="85" s="1"/>
  <c r="W60" i="85" s="1"/>
  <c r="X57" i="85"/>
  <c r="X59" i="85" s="1"/>
  <c r="X60" i="85" s="1"/>
  <c r="AP57" i="85"/>
  <c r="AP59" i="85" s="1"/>
  <c r="AP60" i="85" s="1"/>
  <c r="N57" i="85"/>
  <c r="N59" i="85" s="1"/>
  <c r="N60" i="85" s="1"/>
  <c r="K57" i="76"/>
  <c r="K59" i="76" s="1"/>
  <c r="K60" i="76" s="1"/>
  <c r="P57" i="76"/>
  <c r="P59" i="76" s="1"/>
  <c r="P60" i="76" s="1"/>
  <c r="I57" i="76"/>
  <c r="I59" i="76" s="1"/>
  <c r="I60" i="76" s="1"/>
  <c r="AE57" i="76"/>
  <c r="AE59" i="76" s="1"/>
  <c r="AE60" i="76" s="1"/>
  <c r="AD57" i="76"/>
  <c r="AD59" i="76" s="1"/>
  <c r="AD60" i="76" s="1"/>
  <c r="AR57" i="87"/>
  <c r="AR59" i="87" s="1"/>
  <c r="AR60" i="87" s="1"/>
  <c r="T57" i="87"/>
  <c r="T59" i="87" s="1"/>
  <c r="T60" i="87" s="1"/>
  <c r="R57" i="87"/>
  <c r="R59" i="87" s="1"/>
  <c r="R60" i="87" s="1"/>
  <c r="AK57" i="87"/>
  <c r="AK59" i="87" s="1"/>
  <c r="AK60" i="87" s="1"/>
  <c r="O57" i="87"/>
  <c r="O59" i="87" s="1"/>
  <c r="O60" i="87" s="1"/>
  <c r="U57" i="85"/>
  <c r="U59" i="85" s="1"/>
  <c r="U60" i="85" s="1"/>
  <c r="V57" i="85"/>
  <c r="V59" i="85" s="1"/>
  <c r="V60" i="85" s="1"/>
  <c r="AD57" i="85"/>
  <c r="AD59" i="85" s="1"/>
  <c r="AD60" i="85" s="1"/>
  <c r="AF57" i="85"/>
  <c r="AF59" i="85" s="1"/>
  <c r="AF60" i="85" s="1"/>
  <c r="AN57" i="85"/>
  <c r="AN59" i="85" s="1"/>
  <c r="AN60" i="85" s="1"/>
  <c r="AM57" i="76"/>
  <c r="AM59" i="76" s="1"/>
  <c r="AM60" i="76" s="1"/>
  <c r="O57" i="76"/>
  <c r="O59" i="76" s="1"/>
  <c r="O60" i="76" s="1"/>
  <c r="AA57" i="76"/>
  <c r="AA59" i="76" s="1"/>
  <c r="AA60" i="76" s="1"/>
  <c r="M57" i="76"/>
  <c r="M59" i="76" s="1"/>
  <c r="M60" i="76" s="1"/>
  <c r="AI57" i="76"/>
  <c r="AI59" i="76" s="1"/>
  <c r="AI60" i="76" s="1"/>
  <c r="Y57" i="87"/>
  <c r="Y59" i="87" s="1"/>
  <c r="Y60" i="87" s="1"/>
  <c r="S57" i="87"/>
  <c r="S59" i="87" s="1"/>
  <c r="S60" i="87" s="1"/>
  <c r="AD57" i="87"/>
  <c r="AD59" i="87" s="1"/>
  <c r="AD60" i="87" s="1"/>
  <c r="F57" i="87"/>
  <c r="F59" i="87" s="1"/>
  <c r="F60" i="87" s="1"/>
  <c r="AP57" i="87"/>
  <c r="AP59" i="87" s="1"/>
  <c r="AP60" i="87" s="1"/>
  <c r="AL57" i="85"/>
  <c r="AL59" i="85" s="1"/>
  <c r="AL60" i="85" s="1"/>
  <c r="AJ57" i="85"/>
  <c r="AJ59" i="85" s="1"/>
  <c r="AJ60" i="85" s="1"/>
  <c r="S57" i="85"/>
  <c r="S59" i="85" s="1"/>
  <c r="S60" i="85" s="1"/>
  <c r="AA57" i="85"/>
  <c r="AA59" i="85" s="1"/>
  <c r="AA60" i="85" s="1"/>
  <c r="J57" i="85"/>
  <c r="J59" i="85" s="1"/>
  <c r="J60" i="85" s="1"/>
  <c r="R57" i="85"/>
  <c r="R59" i="85" s="1"/>
  <c r="R60" i="85" s="1"/>
  <c r="S57" i="76"/>
  <c r="S59" i="76" s="1"/>
  <c r="S60" i="76" s="1"/>
  <c r="AC57" i="85"/>
  <c r="AC59" i="85" s="1"/>
  <c r="AC60" i="85" s="1"/>
  <c r="E12" i="69"/>
  <c r="E47" i="85"/>
  <c r="E57" i="85"/>
  <c r="AU27" i="85"/>
  <c r="AW27" i="85" s="1"/>
  <c r="AH57" i="85"/>
  <c r="AH59" i="85" s="1"/>
  <c r="AH60" i="85" s="1"/>
  <c r="AE57" i="85"/>
  <c r="AE59" i="85" s="1"/>
  <c r="AE60" i="85" s="1"/>
  <c r="Q57" i="85"/>
  <c r="Q59" i="85" s="1"/>
  <c r="Q60" i="85" s="1"/>
  <c r="K57" i="85"/>
  <c r="K59" i="85" s="1"/>
  <c r="K60" i="85" s="1"/>
  <c r="AR57" i="85"/>
  <c r="AR59" i="85" s="1"/>
  <c r="AR60" i="85" s="1"/>
  <c r="Z57" i="85"/>
  <c r="Z59" i="85" s="1"/>
  <c r="Z60" i="85" s="1"/>
  <c r="I57" i="85"/>
  <c r="I59" i="85" s="1"/>
  <c r="I60" i="85" s="1"/>
  <c r="AQ57" i="85"/>
  <c r="AQ59" i="85" s="1"/>
  <c r="AQ60" i="85" s="1"/>
  <c r="Z57" i="76"/>
  <c r="Z59" i="76" s="1"/>
  <c r="Z60" i="76" s="1"/>
  <c r="T57" i="76"/>
  <c r="T59" i="76" s="1"/>
  <c r="T60" i="76" s="1"/>
  <c r="AJ57" i="76"/>
  <c r="AJ59" i="76" s="1"/>
  <c r="AJ60" i="76" s="1"/>
  <c r="AR57" i="76"/>
  <c r="AR59" i="76" s="1"/>
  <c r="AR60" i="76" s="1"/>
  <c r="AF57" i="76"/>
  <c r="AF59" i="76" s="1"/>
  <c r="AF60" i="76" s="1"/>
  <c r="Y57" i="76"/>
  <c r="Y59" i="76" s="1"/>
  <c r="Y60" i="76" s="1"/>
  <c r="Q57" i="76"/>
  <c r="Q59" i="76" s="1"/>
  <c r="Q60" i="76" s="1"/>
  <c r="R57" i="76"/>
  <c r="R59" i="76" s="1"/>
  <c r="R60" i="76" s="1"/>
  <c r="AK57" i="76"/>
  <c r="AK59" i="76" s="1"/>
  <c r="AK60" i="76" s="1"/>
  <c r="F57" i="76"/>
  <c r="F59" i="76" s="1"/>
  <c r="F60" i="76" s="1"/>
  <c r="H57" i="87"/>
  <c r="H59" i="87" s="1"/>
  <c r="H60" i="87" s="1"/>
  <c r="K57" i="87"/>
  <c r="K59" i="87" s="1"/>
  <c r="K60" i="87" s="1"/>
  <c r="N57" i="87"/>
  <c r="N59" i="87" s="1"/>
  <c r="N60" i="87" s="1"/>
  <c r="J57" i="87"/>
  <c r="J59" i="87" s="1"/>
  <c r="J60" i="87" s="1"/>
  <c r="AF57" i="87"/>
  <c r="AF59" i="87" s="1"/>
  <c r="AF60" i="87" s="1"/>
  <c r="M57" i="87"/>
  <c r="M59" i="87" s="1"/>
  <c r="M60" i="87" s="1"/>
  <c r="AQ57" i="87"/>
  <c r="AQ59" i="87" s="1"/>
  <c r="AQ60" i="87" s="1"/>
  <c r="AN57" i="87"/>
  <c r="AN59" i="87" s="1"/>
  <c r="AN60" i="87" s="1"/>
  <c r="AH57" i="87"/>
  <c r="AH59" i="87" s="1"/>
  <c r="AH60" i="87" s="1"/>
  <c r="Z57" i="87"/>
  <c r="Z59" i="87" s="1"/>
  <c r="Z60" i="87" s="1"/>
  <c r="F12" i="69" l="1"/>
  <c r="D42" i="69"/>
  <c r="AU57" i="76"/>
  <c r="E59" i="76"/>
  <c r="E59" i="87"/>
  <c r="AT57" i="87"/>
  <c r="E42" i="69"/>
  <c r="AU57" i="85"/>
  <c r="E59" i="85"/>
  <c r="E60" i="87" l="1"/>
  <c r="AT59" i="87"/>
  <c r="E60" i="76"/>
  <c r="D44" i="69"/>
  <c r="AU59" i="76"/>
  <c r="E44" i="69"/>
  <c r="AU59" i="85"/>
  <c r="E60" i="85"/>
  <c r="F42" i="69"/>
  <c r="E45" i="69" l="1"/>
  <c r="AU60" i="85"/>
  <c r="E48" i="85"/>
  <c r="E49" i="85"/>
  <c r="E33" i="85" s="1"/>
  <c r="AB49" i="85"/>
  <c r="L49" i="85"/>
  <c r="M49" i="85"/>
  <c r="P49" i="85"/>
  <c r="V49" i="85"/>
  <c r="AJ49" i="85"/>
  <c r="AH49" i="85"/>
  <c r="AR49" i="85"/>
  <c r="AO49" i="85"/>
  <c r="W49" i="85"/>
  <c r="N49" i="85"/>
  <c r="U49" i="85"/>
  <c r="AN49" i="85"/>
  <c r="AC49" i="85"/>
  <c r="AS49" i="85"/>
  <c r="I49" i="85"/>
  <c r="O49" i="85"/>
  <c r="X49" i="85"/>
  <c r="J49" i="85"/>
  <c r="AT49" i="85"/>
  <c r="AQ49" i="85"/>
  <c r="H49" i="85"/>
  <c r="AA49" i="85"/>
  <c r="K49" i="85"/>
  <c r="T49" i="85"/>
  <c r="AM49" i="85"/>
  <c r="Z49" i="85"/>
  <c r="AF49" i="85"/>
  <c r="Y49" i="85"/>
  <c r="AE49" i="85"/>
  <c r="G49" i="85"/>
  <c r="AI49" i="85"/>
  <c r="Q49" i="85"/>
  <c r="R49" i="85"/>
  <c r="F49" i="85"/>
  <c r="AK49" i="85"/>
  <c r="AD49" i="85"/>
  <c r="S49" i="85"/>
  <c r="AL49" i="85"/>
  <c r="AG49" i="85"/>
  <c r="AP49" i="85"/>
  <c r="D45" i="69"/>
  <c r="E48" i="76"/>
  <c r="AU60" i="76"/>
  <c r="AS49" i="76"/>
  <c r="E49" i="76"/>
  <c r="U49" i="76"/>
  <c r="AB49" i="76"/>
  <c r="K49" i="76"/>
  <c r="AD49" i="76"/>
  <c r="AM49" i="76"/>
  <c r="AI49" i="76"/>
  <c r="AR49" i="76"/>
  <c r="R49" i="76"/>
  <c r="AT49" i="76"/>
  <c r="AO49" i="76"/>
  <c r="L49" i="76"/>
  <c r="AH49" i="76"/>
  <c r="AP49" i="76"/>
  <c r="AE49" i="76"/>
  <c r="AJ49" i="76"/>
  <c r="Q49" i="76"/>
  <c r="AL49" i="76"/>
  <c r="X49" i="76"/>
  <c r="V49" i="76"/>
  <c r="AQ49" i="76"/>
  <c r="M49" i="76"/>
  <c r="O49" i="76"/>
  <c r="AN49" i="76"/>
  <c r="AF49" i="76"/>
  <c r="W49" i="76"/>
  <c r="T49" i="76"/>
  <c r="AA49" i="76"/>
  <c r="H49" i="76"/>
  <c r="Z49" i="76"/>
  <c r="N49" i="76"/>
  <c r="S49" i="76"/>
  <c r="G49" i="76"/>
  <c r="AK49" i="76"/>
  <c r="Y49" i="76"/>
  <c r="AG49" i="76"/>
  <c r="AC49" i="76"/>
  <c r="F49" i="76"/>
  <c r="I49" i="76"/>
  <c r="J49" i="76"/>
  <c r="P49" i="76"/>
  <c r="F44" i="69"/>
  <c r="E48" i="87"/>
  <c r="AT60" i="87"/>
  <c r="AS49" i="87"/>
  <c r="Z49" i="87"/>
  <c r="V49" i="87"/>
  <c r="E49" i="87"/>
  <c r="P49" i="87"/>
  <c r="R49" i="87"/>
  <c r="AD49" i="87"/>
  <c r="H49" i="87"/>
  <c r="AF49" i="87"/>
  <c r="AE49" i="87"/>
  <c r="X49" i="87"/>
  <c r="AG49" i="87"/>
  <c r="G49" i="87"/>
  <c r="T49" i="87"/>
  <c r="S49" i="87"/>
  <c r="J49" i="87"/>
  <c r="AN49" i="87"/>
  <c r="AB49" i="87"/>
  <c r="AJ49" i="87"/>
  <c r="L49" i="87"/>
  <c r="I49" i="87"/>
  <c r="U49" i="87"/>
  <c r="W49" i="87"/>
  <c r="AK49" i="87"/>
  <c r="F49" i="87"/>
  <c r="K49" i="87"/>
  <c r="M49" i="87"/>
  <c r="AO49" i="87"/>
  <c r="AA49" i="87"/>
  <c r="AH49" i="87"/>
  <c r="AI49" i="87"/>
  <c r="AP49" i="87"/>
  <c r="AC49" i="87"/>
  <c r="AL49" i="87"/>
  <c r="AM49" i="87"/>
  <c r="Q49" i="87"/>
  <c r="Y49" i="87"/>
  <c r="AQ49" i="87"/>
  <c r="O49" i="87"/>
  <c r="N49" i="87"/>
  <c r="AR49" i="87"/>
  <c r="AQ34" i="87" l="1"/>
  <c r="AQ52" i="87" s="1"/>
  <c r="AQ33" i="87"/>
  <c r="AQ32" i="87"/>
  <c r="K34" i="87"/>
  <c r="K52" i="87" s="1"/>
  <c r="K33" i="87"/>
  <c r="K32" i="87"/>
  <c r="AD33" i="87"/>
  <c r="AD32" i="87"/>
  <c r="AD34" i="87"/>
  <c r="AD52" i="87" s="1"/>
  <c r="I33" i="76"/>
  <c r="I34" i="76"/>
  <c r="I52" i="76" s="1"/>
  <c r="I32" i="76"/>
  <c r="O32" i="76"/>
  <c r="O33" i="76"/>
  <c r="O34" i="76"/>
  <c r="O52" i="76" s="1"/>
  <c r="AO34" i="76"/>
  <c r="AO52" i="76" s="1"/>
  <c r="AO33" i="76"/>
  <c r="AO32" i="76"/>
  <c r="AF34" i="85"/>
  <c r="AF52" i="85" s="1"/>
  <c r="AF33" i="85"/>
  <c r="AF32" i="85"/>
  <c r="I33" i="85"/>
  <c r="I32" i="85"/>
  <c r="I34" i="85"/>
  <c r="I52" i="85" s="1"/>
  <c r="AR33" i="87"/>
  <c r="AR32" i="87"/>
  <c r="AR34" i="87"/>
  <c r="AR52" i="87" s="1"/>
  <c r="AA34" i="87"/>
  <c r="AA52" i="87" s="1"/>
  <c r="AA32" i="87"/>
  <c r="AA33" i="87"/>
  <c r="F33" i="87"/>
  <c r="F32" i="87"/>
  <c r="F34" i="87"/>
  <c r="F52" i="87" s="1"/>
  <c r="T32" i="87"/>
  <c r="T33" i="87"/>
  <c r="T34" i="87"/>
  <c r="T52" i="87" s="1"/>
  <c r="AE34" i="87"/>
  <c r="AE52" i="87" s="1"/>
  <c r="AE32" i="87"/>
  <c r="AE33" i="87"/>
  <c r="R32" i="87"/>
  <c r="R33" i="87"/>
  <c r="R34" i="87"/>
  <c r="R52" i="87" s="1"/>
  <c r="Z32" i="87"/>
  <c r="Z34" i="87"/>
  <c r="Z52" i="87" s="1"/>
  <c r="Z33" i="87"/>
  <c r="F32" i="76"/>
  <c r="F34" i="76"/>
  <c r="F52" i="76" s="1"/>
  <c r="F33" i="76"/>
  <c r="AK34" i="76"/>
  <c r="AK52" i="76" s="1"/>
  <c r="AK32" i="76"/>
  <c r="AK33" i="76"/>
  <c r="Z33" i="76"/>
  <c r="Z32" i="76"/>
  <c r="Z34" i="76"/>
  <c r="Z52" i="76" s="1"/>
  <c r="W32" i="76"/>
  <c r="W34" i="76"/>
  <c r="W52" i="76" s="1"/>
  <c r="W33" i="76"/>
  <c r="M32" i="76"/>
  <c r="M33" i="76"/>
  <c r="M34" i="76"/>
  <c r="M52" i="76" s="1"/>
  <c r="AL32" i="76"/>
  <c r="AL34" i="76"/>
  <c r="AL52" i="76" s="1"/>
  <c r="AL33" i="76"/>
  <c r="AP34" i="76"/>
  <c r="AP52" i="76" s="1"/>
  <c r="AP33" i="76"/>
  <c r="AP32" i="76"/>
  <c r="AT32" i="76"/>
  <c r="AT33" i="76"/>
  <c r="AT34" i="76"/>
  <c r="AT52" i="76" s="1"/>
  <c r="AM33" i="76"/>
  <c r="AM34" i="76"/>
  <c r="AM52" i="76" s="1"/>
  <c r="AM32" i="76"/>
  <c r="U32" i="76"/>
  <c r="U33" i="76"/>
  <c r="U34" i="76"/>
  <c r="U52" i="76" s="1"/>
  <c r="AL32" i="85"/>
  <c r="AL34" i="85"/>
  <c r="AL52" i="85" s="1"/>
  <c r="AL33" i="85"/>
  <c r="F32" i="85"/>
  <c r="F33" i="85"/>
  <c r="F34" i="85"/>
  <c r="F52" i="85" s="1"/>
  <c r="G34" i="85"/>
  <c r="G52" i="85" s="1"/>
  <c r="G32" i="85"/>
  <c r="G33" i="85"/>
  <c r="Z32" i="85"/>
  <c r="Z34" i="85"/>
  <c r="Z52" i="85" s="1"/>
  <c r="Z33" i="85"/>
  <c r="AA32" i="85"/>
  <c r="AA34" i="85"/>
  <c r="AA52" i="85" s="1"/>
  <c r="AA33" i="85"/>
  <c r="J32" i="85"/>
  <c r="J33" i="85"/>
  <c r="J34" i="85"/>
  <c r="J52" i="85" s="1"/>
  <c r="AS34" i="85"/>
  <c r="AS52" i="85" s="1"/>
  <c r="AS33" i="85"/>
  <c r="AS32" i="85"/>
  <c r="N34" i="85"/>
  <c r="N52" i="85" s="1"/>
  <c r="N32" i="85"/>
  <c r="N33" i="85"/>
  <c r="AH32" i="85"/>
  <c r="AH33" i="85"/>
  <c r="AH34" i="85"/>
  <c r="AH52" i="85" s="1"/>
  <c r="M34" i="85"/>
  <c r="M52" i="85" s="1"/>
  <c r="M32" i="85"/>
  <c r="M33" i="85"/>
  <c r="AL32" i="87"/>
  <c r="AL33" i="87"/>
  <c r="AL34" i="87"/>
  <c r="AL52" i="87" s="1"/>
  <c r="AJ34" i="87"/>
  <c r="AJ52" i="87" s="1"/>
  <c r="AJ33" i="87"/>
  <c r="AJ32" i="87"/>
  <c r="X32" i="87"/>
  <c r="X33" i="87"/>
  <c r="X34" i="87"/>
  <c r="X52" i="87" s="1"/>
  <c r="Y32" i="76"/>
  <c r="Y34" i="76"/>
  <c r="Y52" i="76" s="1"/>
  <c r="Y33" i="76"/>
  <c r="T33" i="76"/>
  <c r="T34" i="76"/>
  <c r="T52" i="76" s="1"/>
  <c r="T32" i="76"/>
  <c r="AE34" i="76"/>
  <c r="AE52" i="76" s="1"/>
  <c r="AE33" i="76"/>
  <c r="AE32" i="76"/>
  <c r="AB33" i="76"/>
  <c r="AB34" i="76"/>
  <c r="AB52" i="76" s="1"/>
  <c r="AB32" i="76"/>
  <c r="AK32" i="85"/>
  <c r="AK34" i="85"/>
  <c r="AK52" i="85" s="1"/>
  <c r="AK33" i="85"/>
  <c r="AT33" i="85"/>
  <c r="AT32" i="85"/>
  <c r="AT34" i="85"/>
  <c r="AT52" i="85" s="1"/>
  <c r="U33" i="85"/>
  <c r="U32" i="85"/>
  <c r="U34" i="85"/>
  <c r="U52" i="85" s="1"/>
  <c r="P34" i="85"/>
  <c r="P52" i="85" s="1"/>
  <c r="P32" i="85"/>
  <c r="P33" i="85"/>
  <c r="Y34" i="87"/>
  <c r="Y52" i="87" s="1"/>
  <c r="Y33" i="87"/>
  <c r="Y32" i="87"/>
  <c r="AB33" i="87"/>
  <c r="AB34" i="87"/>
  <c r="AB52" i="87" s="1"/>
  <c r="AB32" i="87"/>
  <c r="N34" i="87"/>
  <c r="N52" i="87" s="1"/>
  <c r="N32" i="87"/>
  <c r="N33" i="87"/>
  <c r="Q32" i="87"/>
  <c r="Q34" i="87"/>
  <c r="Q52" i="87" s="1"/>
  <c r="Q33" i="87"/>
  <c r="AP33" i="87"/>
  <c r="AP34" i="87"/>
  <c r="AP52" i="87" s="1"/>
  <c r="AP32" i="87"/>
  <c r="AO33" i="87"/>
  <c r="AO34" i="87"/>
  <c r="AO52" i="87" s="1"/>
  <c r="AO32" i="87"/>
  <c r="AK32" i="87"/>
  <c r="AK34" i="87"/>
  <c r="AK52" i="87" s="1"/>
  <c r="AK33" i="87"/>
  <c r="L34" i="87"/>
  <c r="L52" i="87" s="1"/>
  <c r="L32" i="87"/>
  <c r="L33" i="87"/>
  <c r="AN34" i="87"/>
  <c r="AN52" i="87" s="1"/>
  <c r="AN32" i="87"/>
  <c r="AN33" i="87"/>
  <c r="G34" i="87"/>
  <c r="G52" i="87" s="1"/>
  <c r="G33" i="87"/>
  <c r="G32" i="87"/>
  <c r="AF34" i="87"/>
  <c r="AF52" i="87" s="1"/>
  <c r="AF32" i="87"/>
  <c r="AF33" i="87"/>
  <c r="P34" i="87"/>
  <c r="P52" i="87" s="1"/>
  <c r="P33" i="87"/>
  <c r="P32" i="87"/>
  <c r="AS32" i="87"/>
  <c r="AS34" i="87"/>
  <c r="AS52" i="87" s="1"/>
  <c r="AS33" i="87"/>
  <c r="P33" i="76"/>
  <c r="P34" i="76"/>
  <c r="P52" i="76" s="1"/>
  <c r="P32" i="76"/>
  <c r="AC34" i="76"/>
  <c r="AC52" i="76" s="1"/>
  <c r="AC33" i="76"/>
  <c r="AC32" i="76"/>
  <c r="G34" i="76"/>
  <c r="G52" i="76" s="1"/>
  <c r="G33" i="76"/>
  <c r="G32" i="76"/>
  <c r="H32" i="76"/>
  <c r="H34" i="76"/>
  <c r="H52" i="76" s="1"/>
  <c r="H33" i="76"/>
  <c r="AF34" i="76"/>
  <c r="AF52" i="76" s="1"/>
  <c r="AF32" i="76"/>
  <c r="AF33" i="76"/>
  <c r="AQ33" i="76"/>
  <c r="AQ34" i="76"/>
  <c r="AQ52" i="76" s="1"/>
  <c r="AQ32" i="76"/>
  <c r="Q34" i="76"/>
  <c r="Q52" i="76" s="1"/>
  <c r="Q33" i="76"/>
  <c r="Q32" i="76"/>
  <c r="AH33" i="76"/>
  <c r="AH34" i="76"/>
  <c r="AH52" i="76" s="1"/>
  <c r="AH32" i="76"/>
  <c r="R33" i="76"/>
  <c r="R34" i="76"/>
  <c r="R52" i="76" s="1"/>
  <c r="R32" i="76"/>
  <c r="AD34" i="76"/>
  <c r="AD52" i="76" s="1"/>
  <c r="AD33" i="76"/>
  <c r="AD32" i="76"/>
  <c r="E33" i="76"/>
  <c r="AU49" i="76"/>
  <c r="D34" i="69"/>
  <c r="E34" i="76"/>
  <c r="E32" i="76"/>
  <c r="S34" i="85"/>
  <c r="S52" i="85" s="1"/>
  <c r="S32" i="85"/>
  <c r="S33" i="85"/>
  <c r="R33" i="85"/>
  <c r="R32" i="85"/>
  <c r="R34" i="85"/>
  <c r="R52" i="85" s="1"/>
  <c r="AE32" i="85"/>
  <c r="AE33" i="85"/>
  <c r="AE34" i="85"/>
  <c r="AE52" i="85" s="1"/>
  <c r="AM33" i="85"/>
  <c r="AM34" i="85"/>
  <c r="AM52" i="85" s="1"/>
  <c r="AM32" i="85"/>
  <c r="H33" i="85"/>
  <c r="H32" i="85"/>
  <c r="H34" i="85"/>
  <c r="H52" i="85" s="1"/>
  <c r="X34" i="85"/>
  <c r="X52" i="85" s="1"/>
  <c r="X32" i="85"/>
  <c r="X33" i="85"/>
  <c r="AC32" i="85"/>
  <c r="AC33" i="85"/>
  <c r="AC34" i="85"/>
  <c r="AC52" i="85" s="1"/>
  <c r="W32" i="85"/>
  <c r="W33" i="85"/>
  <c r="W34" i="85"/>
  <c r="W52" i="85" s="1"/>
  <c r="AJ33" i="85"/>
  <c r="AJ34" i="85"/>
  <c r="AJ52" i="85" s="1"/>
  <c r="AJ32" i="85"/>
  <c r="L33" i="85"/>
  <c r="L32" i="85"/>
  <c r="L34" i="85"/>
  <c r="L52" i="85" s="1"/>
  <c r="AH33" i="87"/>
  <c r="AH34" i="87"/>
  <c r="AH52" i="87" s="1"/>
  <c r="AH32" i="87"/>
  <c r="U32" i="87"/>
  <c r="U33" i="87"/>
  <c r="U34" i="87"/>
  <c r="U52" i="87" s="1"/>
  <c r="S34" i="87"/>
  <c r="S52" i="87" s="1"/>
  <c r="S33" i="87"/>
  <c r="S32" i="87"/>
  <c r="V34" i="87"/>
  <c r="V52" i="87" s="1"/>
  <c r="V33" i="87"/>
  <c r="V32" i="87"/>
  <c r="N34" i="76"/>
  <c r="N52" i="76" s="1"/>
  <c r="N32" i="76"/>
  <c r="N33" i="76"/>
  <c r="X33" i="76"/>
  <c r="X34" i="76"/>
  <c r="X52" i="76" s="1"/>
  <c r="X32" i="76"/>
  <c r="AI33" i="76"/>
  <c r="AI34" i="76"/>
  <c r="AI52" i="76" s="1"/>
  <c r="AI32" i="76"/>
  <c r="AG34" i="85"/>
  <c r="AG52" i="85" s="1"/>
  <c r="AG33" i="85"/>
  <c r="AG32" i="85"/>
  <c r="AI33" i="85"/>
  <c r="AI34" i="85"/>
  <c r="AI52" i="85" s="1"/>
  <c r="AI32" i="85"/>
  <c r="K32" i="85"/>
  <c r="K33" i="85"/>
  <c r="K34" i="85"/>
  <c r="K52" i="85" s="1"/>
  <c r="AR32" i="85"/>
  <c r="AR33" i="85"/>
  <c r="AR34" i="85"/>
  <c r="AR52" i="85" s="1"/>
  <c r="E34" i="69"/>
  <c r="E32" i="85"/>
  <c r="E34" i="85"/>
  <c r="AC32" i="87"/>
  <c r="AC33" i="87"/>
  <c r="AC34" i="87"/>
  <c r="AC52" i="87" s="1"/>
  <c r="I34" i="87"/>
  <c r="I52" i="87" s="1"/>
  <c r="I33" i="87"/>
  <c r="I32" i="87"/>
  <c r="O32" i="87"/>
  <c r="O34" i="87"/>
  <c r="O52" i="87" s="1"/>
  <c r="O33" i="87"/>
  <c r="AM34" i="87"/>
  <c r="AM52" i="87" s="1"/>
  <c r="AM33" i="87"/>
  <c r="AM32" i="87"/>
  <c r="AI34" i="87"/>
  <c r="AI52" i="87" s="1"/>
  <c r="AI33" i="87"/>
  <c r="AI32" i="87"/>
  <c r="M32" i="87"/>
  <c r="M33" i="87"/>
  <c r="M34" i="87"/>
  <c r="M52" i="87" s="1"/>
  <c r="W32" i="87"/>
  <c r="W34" i="87"/>
  <c r="W52" i="87" s="1"/>
  <c r="W33" i="87"/>
  <c r="J33" i="87"/>
  <c r="J34" i="87"/>
  <c r="J52" i="87" s="1"/>
  <c r="J32" i="87"/>
  <c r="AG34" i="87"/>
  <c r="AG52" i="87" s="1"/>
  <c r="AG33" i="87"/>
  <c r="AG32" i="87"/>
  <c r="H32" i="87"/>
  <c r="H33" i="87"/>
  <c r="H34" i="87"/>
  <c r="H52" i="87" s="1"/>
  <c r="E33" i="87"/>
  <c r="E32" i="87"/>
  <c r="AT49" i="87"/>
  <c r="E34" i="87"/>
  <c r="J34" i="76"/>
  <c r="J52" i="76" s="1"/>
  <c r="J33" i="76"/>
  <c r="J32" i="76"/>
  <c r="AG32" i="76"/>
  <c r="AG33" i="76"/>
  <c r="AG34" i="76"/>
  <c r="AG52" i="76" s="1"/>
  <c r="S34" i="76"/>
  <c r="S52" i="76" s="1"/>
  <c r="S33" i="76"/>
  <c r="S32" i="76"/>
  <c r="AA32" i="76"/>
  <c r="AA34" i="76"/>
  <c r="AA52" i="76" s="1"/>
  <c r="AA33" i="76"/>
  <c r="AN33" i="76"/>
  <c r="AN32" i="76"/>
  <c r="AN34" i="76"/>
  <c r="AN52" i="76" s="1"/>
  <c r="V33" i="76"/>
  <c r="V34" i="76"/>
  <c r="V52" i="76" s="1"/>
  <c r="V32" i="76"/>
  <c r="AJ34" i="76"/>
  <c r="AJ52" i="76" s="1"/>
  <c r="AJ32" i="76"/>
  <c r="AJ33" i="76"/>
  <c r="L33" i="76"/>
  <c r="L32" i="76"/>
  <c r="L34" i="76"/>
  <c r="L52" i="76" s="1"/>
  <c r="AR32" i="76"/>
  <c r="AR34" i="76"/>
  <c r="AR52" i="76" s="1"/>
  <c r="AR33" i="76"/>
  <c r="K33" i="76"/>
  <c r="K32" i="76"/>
  <c r="K34" i="76"/>
  <c r="K52" i="76" s="1"/>
  <c r="AS33" i="76"/>
  <c r="AS34" i="76"/>
  <c r="AS52" i="76" s="1"/>
  <c r="AS32" i="76"/>
  <c r="AP34" i="85"/>
  <c r="AP52" i="85" s="1"/>
  <c r="AP32" i="85"/>
  <c r="AP33" i="85"/>
  <c r="AD32" i="85"/>
  <c r="AD34" i="85"/>
  <c r="AD52" i="85" s="1"/>
  <c r="AD33" i="85"/>
  <c r="Q34" i="85"/>
  <c r="Q52" i="85" s="1"/>
  <c r="Q32" i="85"/>
  <c r="Q33" i="85"/>
  <c r="Y32" i="85"/>
  <c r="Y34" i="85"/>
  <c r="Y52" i="85" s="1"/>
  <c r="Y33" i="85"/>
  <c r="T34" i="85"/>
  <c r="T52" i="85" s="1"/>
  <c r="T32" i="85"/>
  <c r="T33" i="85"/>
  <c r="AQ32" i="85"/>
  <c r="AQ34" i="85"/>
  <c r="AQ52" i="85" s="1"/>
  <c r="AQ33" i="85"/>
  <c r="O33" i="85"/>
  <c r="O34" i="85"/>
  <c r="O52" i="85" s="1"/>
  <c r="O32" i="85"/>
  <c r="AN34" i="85"/>
  <c r="AN52" i="85" s="1"/>
  <c r="AN33" i="85"/>
  <c r="AN32" i="85"/>
  <c r="AO33" i="85"/>
  <c r="AO34" i="85"/>
  <c r="AO52" i="85" s="1"/>
  <c r="AO32" i="85"/>
  <c r="V32" i="85"/>
  <c r="V34" i="85"/>
  <c r="V52" i="85" s="1"/>
  <c r="V33" i="85"/>
  <c r="AB34" i="85"/>
  <c r="AB52" i="85" s="1"/>
  <c r="AB32" i="85"/>
  <c r="AB33" i="85"/>
  <c r="F45" i="69"/>
  <c r="AQ35" i="87" l="1"/>
  <c r="AI35" i="76"/>
  <c r="S35" i="87"/>
  <c r="AJ35" i="85"/>
  <c r="AD35" i="76"/>
  <c r="AQ35" i="76"/>
  <c r="AC35" i="76"/>
  <c r="AE35" i="76"/>
  <c r="AJ35" i="87"/>
  <c r="J35" i="87"/>
  <c r="AI35" i="87"/>
  <c r="O35" i="85"/>
  <c r="V35" i="76"/>
  <c r="T35" i="85"/>
  <c r="Y35" i="85"/>
  <c r="AP35" i="85"/>
  <c r="L35" i="76"/>
  <c r="J35" i="76"/>
  <c r="M35" i="87"/>
  <c r="AM35" i="87"/>
  <c r="X35" i="76"/>
  <c r="N35" i="76"/>
  <c r="AM35" i="85"/>
  <c r="R35" i="76"/>
  <c r="P35" i="76"/>
  <c r="G35" i="87"/>
  <c r="AN35" i="87"/>
  <c r="AO35" i="87"/>
  <c r="Q35" i="87"/>
  <c r="AB35" i="87"/>
  <c r="T35" i="76"/>
  <c r="X35" i="87"/>
  <c r="M35" i="85"/>
  <c r="AH35" i="85"/>
  <c r="AS35" i="85"/>
  <c r="AA35" i="85"/>
  <c r="AL35" i="85"/>
  <c r="AM35" i="76"/>
  <c r="R35" i="87"/>
  <c r="F35" i="87"/>
  <c r="I35" i="76"/>
  <c r="AD35" i="87"/>
  <c r="AN53" i="76"/>
  <c r="AN29" i="76" s="1"/>
  <c r="O53" i="87"/>
  <c r="O29" i="87" s="1"/>
  <c r="F34" i="69"/>
  <c r="AH53" i="87"/>
  <c r="AH29" i="87" s="1"/>
  <c r="X53" i="85"/>
  <c r="X29" i="85" s="1"/>
  <c r="AU32" i="76"/>
  <c r="E35" i="76"/>
  <c r="AH53" i="76"/>
  <c r="AH29" i="76" s="1"/>
  <c r="G53" i="76"/>
  <c r="G29" i="76" s="1"/>
  <c r="P53" i="87"/>
  <c r="P29" i="87" s="1"/>
  <c r="P53" i="85"/>
  <c r="P29" i="85" s="1"/>
  <c r="AL53" i="87"/>
  <c r="AL29" i="87" s="1"/>
  <c r="AP53" i="76"/>
  <c r="AP29" i="76" s="1"/>
  <c r="K53" i="76"/>
  <c r="K29" i="76" s="1"/>
  <c r="AN35" i="76"/>
  <c r="O35" i="87"/>
  <c r="AC53" i="87"/>
  <c r="AC29" i="87" s="1"/>
  <c r="E35" i="85"/>
  <c r="AU32" i="85"/>
  <c r="AR53" i="85"/>
  <c r="AR29" i="85" s="1"/>
  <c r="X53" i="76"/>
  <c r="X29" i="76" s="1"/>
  <c r="N53" i="76"/>
  <c r="N29" i="76" s="1"/>
  <c r="N37" i="76" s="1"/>
  <c r="N38" i="76" s="1"/>
  <c r="N39" i="76" s="1"/>
  <c r="N42" i="76" s="1"/>
  <c r="N45" i="76" s="1"/>
  <c r="AC35" i="85"/>
  <c r="H53" i="85"/>
  <c r="H29" i="85" s="1"/>
  <c r="AM53" i="85"/>
  <c r="AM29" i="85" s="1"/>
  <c r="AE35" i="85"/>
  <c r="D19" i="69"/>
  <c r="AU34" i="76"/>
  <c r="E52" i="76"/>
  <c r="R53" i="76"/>
  <c r="R29" i="76" s="1"/>
  <c r="AF35" i="76"/>
  <c r="H35" i="76"/>
  <c r="P53" i="76"/>
  <c r="P29" i="76" s="1"/>
  <c r="AS35" i="87"/>
  <c r="AN53" i="87"/>
  <c r="AN29" i="87" s="1"/>
  <c r="AO53" i="87"/>
  <c r="AO29" i="87" s="1"/>
  <c r="AB53" i="87"/>
  <c r="AB29" i="87" s="1"/>
  <c r="AB37" i="87" s="1"/>
  <c r="AB38" i="87" s="1"/>
  <c r="AB39" i="87" s="1"/>
  <c r="AB42" i="87" s="1"/>
  <c r="AB45" i="87" s="1"/>
  <c r="Y53" i="87"/>
  <c r="Y29" i="87" s="1"/>
  <c r="U53" i="85"/>
  <c r="U29" i="85" s="1"/>
  <c r="AT35" i="85"/>
  <c r="AK35" i="85"/>
  <c r="T53" i="76"/>
  <c r="T29" i="76" s="1"/>
  <c r="Y35" i="76"/>
  <c r="M53" i="85"/>
  <c r="M29" i="85" s="1"/>
  <c r="J35" i="85"/>
  <c r="G35" i="85"/>
  <c r="F35" i="85"/>
  <c r="U53" i="76"/>
  <c r="U29" i="76" s="1"/>
  <c r="AM53" i="76"/>
  <c r="AM29" i="76" s="1"/>
  <c r="AT35" i="76"/>
  <c r="W35" i="76"/>
  <c r="F53" i="76"/>
  <c r="F29" i="76" s="1"/>
  <c r="Z35" i="87"/>
  <c r="AR53" i="87"/>
  <c r="AR29" i="87" s="1"/>
  <c r="I35" i="85"/>
  <c r="AF53" i="85"/>
  <c r="AF29" i="85" s="1"/>
  <c r="O53" i="76"/>
  <c r="O29" i="76" s="1"/>
  <c r="I53" i="76"/>
  <c r="I29" i="76" s="1"/>
  <c r="AO53" i="85"/>
  <c r="AO29" i="85" s="1"/>
  <c r="AJ53" i="76"/>
  <c r="AJ29" i="76" s="1"/>
  <c r="S53" i="76"/>
  <c r="S29" i="76" s="1"/>
  <c r="AG53" i="87"/>
  <c r="AG29" i="87" s="1"/>
  <c r="I53" i="87"/>
  <c r="I29" i="87" s="1"/>
  <c r="K53" i="85"/>
  <c r="K29" i="85" s="1"/>
  <c r="AG53" i="85"/>
  <c r="AG29" i="85" s="1"/>
  <c r="V53" i="87"/>
  <c r="V29" i="87" s="1"/>
  <c r="W53" i="85"/>
  <c r="W29" i="85" s="1"/>
  <c r="D18" i="69"/>
  <c r="AU33" i="76"/>
  <c r="Q53" i="76"/>
  <c r="Q29" i="76" s="1"/>
  <c r="L53" i="87"/>
  <c r="L29" i="87" s="1"/>
  <c r="AK53" i="85"/>
  <c r="AK29" i="85" s="1"/>
  <c r="W53" i="76"/>
  <c r="W29" i="76" s="1"/>
  <c r="T53" i="87"/>
  <c r="T29" i="87" s="1"/>
  <c r="AA53" i="87"/>
  <c r="AA29" i="87" s="1"/>
  <c r="AO53" i="76"/>
  <c r="AO29" i="76" s="1"/>
  <c r="K53" i="87"/>
  <c r="K29" i="87" s="1"/>
  <c r="T53" i="85"/>
  <c r="T29" i="85" s="1"/>
  <c r="T37" i="85" s="1"/>
  <c r="T38" i="85" s="1"/>
  <c r="T39" i="85" s="1"/>
  <c r="T42" i="85" s="1"/>
  <c r="T45" i="85" s="1"/>
  <c r="AD53" i="85"/>
  <c r="AD29" i="85" s="1"/>
  <c r="AR53" i="76"/>
  <c r="AR29" i="76" s="1"/>
  <c r="AG53" i="76"/>
  <c r="AG29" i="76" s="1"/>
  <c r="E35" i="87"/>
  <c r="AT32" i="87"/>
  <c r="AB35" i="85"/>
  <c r="V35" i="85"/>
  <c r="O53" i="85"/>
  <c r="O29" i="85" s="1"/>
  <c r="O37" i="85" s="1"/>
  <c r="O38" i="85" s="1"/>
  <c r="O39" i="85" s="1"/>
  <c r="O42" i="85" s="1"/>
  <c r="O45" i="85" s="1"/>
  <c r="AQ35" i="85"/>
  <c r="Q35" i="85"/>
  <c r="AD35" i="85"/>
  <c r="AS35" i="76"/>
  <c r="K35" i="76"/>
  <c r="AR35" i="76"/>
  <c r="V53" i="76"/>
  <c r="V29" i="76" s="1"/>
  <c r="S35" i="76"/>
  <c r="J53" i="76"/>
  <c r="J29" i="76" s="1"/>
  <c r="J37" i="76" s="1"/>
  <c r="J38" i="76" s="1"/>
  <c r="J39" i="76" s="1"/>
  <c r="J42" i="76" s="1"/>
  <c r="J45" i="76" s="1"/>
  <c r="AT33" i="87"/>
  <c r="AG35" i="87"/>
  <c r="J53" i="87"/>
  <c r="J29" i="87" s="1"/>
  <c r="J37" i="87" s="1"/>
  <c r="J38" i="87" s="1"/>
  <c r="J39" i="87" s="1"/>
  <c r="J42" i="87" s="1"/>
  <c r="J45" i="87" s="1"/>
  <c r="M53" i="87"/>
  <c r="M29" i="87" s="1"/>
  <c r="AM53" i="87"/>
  <c r="AM29" i="87" s="1"/>
  <c r="I35" i="87"/>
  <c r="E18" i="69"/>
  <c r="AU33" i="85"/>
  <c r="K35" i="85"/>
  <c r="AG35" i="85"/>
  <c r="AI53" i="76"/>
  <c r="AI29" i="76" s="1"/>
  <c r="AI37" i="76" s="1"/>
  <c r="AI38" i="76" s="1"/>
  <c r="AI39" i="76" s="1"/>
  <c r="AI42" i="76" s="1"/>
  <c r="AI45" i="76" s="1"/>
  <c r="V35" i="87"/>
  <c r="U35" i="87"/>
  <c r="L53" i="85"/>
  <c r="L29" i="85" s="1"/>
  <c r="AJ53" i="85"/>
  <c r="AJ29" i="85" s="1"/>
  <c r="AJ37" i="85" s="1"/>
  <c r="AJ38" i="85" s="1"/>
  <c r="AJ39" i="85" s="1"/>
  <c r="AJ42" i="85" s="1"/>
  <c r="AJ45" i="85" s="1"/>
  <c r="W35" i="85"/>
  <c r="H35" i="85"/>
  <c r="R53" i="85"/>
  <c r="R29" i="85" s="1"/>
  <c r="S35" i="85"/>
  <c r="Q35" i="76"/>
  <c r="AQ53" i="76"/>
  <c r="AQ29" i="76" s="1"/>
  <c r="AQ37" i="76" s="1"/>
  <c r="AQ38" i="76" s="1"/>
  <c r="AQ39" i="76" s="1"/>
  <c r="AQ42" i="76" s="1"/>
  <c r="AQ45" i="76" s="1"/>
  <c r="AF53" i="76"/>
  <c r="AF29" i="76" s="1"/>
  <c r="G35" i="76"/>
  <c r="P35" i="87"/>
  <c r="AF35" i="87"/>
  <c r="G53" i="87"/>
  <c r="G29" i="87" s="1"/>
  <c r="AK53" i="87"/>
  <c r="AK29" i="87" s="1"/>
  <c r="N35" i="87"/>
  <c r="U35" i="85"/>
  <c r="AB35" i="76"/>
  <c r="X53" i="87"/>
  <c r="X29" i="87" s="1"/>
  <c r="X37" i="87" s="1"/>
  <c r="X38" i="87" s="1"/>
  <c r="X39" i="87" s="1"/>
  <c r="X42" i="87" s="1"/>
  <c r="X45" i="87" s="1"/>
  <c r="AL35" i="87"/>
  <c r="AH53" i="85"/>
  <c r="AH29" i="85" s="1"/>
  <c r="AH37" i="85" s="1"/>
  <c r="AH38" i="85" s="1"/>
  <c r="AH39" i="85" s="1"/>
  <c r="AH42" i="85" s="1"/>
  <c r="AH45" i="85" s="1"/>
  <c r="N35" i="85"/>
  <c r="AS53" i="85"/>
  <c r="AS29" i="85" s="1"/>
  <c r="AS37" i="85" s="1"/>
  <c r="AS38" i="85" s="1"/>
  <c r="AS39" i="85" s="1"/>
  <c r="AS42" i="85" s="1"/>
  <c r="AS45" i="85" s="1"/>
  <c r="Z53" i="85"/>
  <c r="Z29" i="85" s="1"/>
  <c r="G53" i="85"/>
  <c r="G29" i="85" s="1"/>
  <c r="AP35" i="76"/>
  <c r="AL53" i="76"/>
  <c r="AL29" i="76" s="1"/>
  <c r="M35" i="76"/>
  <c r="Z53" i="76"/>
  <c r="Z29" i="76" s="1"/>
  <c r="AK35" i="76"/>
  <c r="F35" i="76"/>
  <c r="R53" i="87"/>
  <c r="R29" i="87" s="1"/>
  <c r="AE35" i="87"/>
  <c r="T35" i="87"/>
  <c r="AR35" i="87"/>
  <c r="AO35" i="76"/>
  <c r="K35" i="87"/>
  <c r="AN53" i="85"/>
  <c r="AN29" i="85" s="1"/>
  <c r="AA53" i="76"/>
  <c r="AA29" i="76" s="1"/>
  <c r="W53" i="87"/>
  <c r="W29" i="87" s="1"/>
  <c r="E19" i="69"/>
  <c r="E52" i="85"/>
  <c r="AU34" i="85"/>
  <c r="AI53" i="85"/>
  <c r="AI29" i="85" s="1"/>
  <c r="U53" i="87"/>
  <c r="U29" i="87" s="1"/>
  <c r="H53" i="76"/>
  <c r="H29" i="76" s="1"/>
  <c r="AS53" i="87"/>
  <c r="AS29" i="87" s="1"/>
  <c r="AP53" i="87"/>
  <c r="AP29" i="87" s="1"/>
  <c r="AT53" i="85"/>
  <c r="AT29" i="85" s="1"/>
  <c r="Y53" i="76"/>
  <c r="Y29" i="76" s="1"/>
  <c r="M53" i="76"/>
  <c r="M29" i="76" s="1"/>
  <c r="Z53" i="87"/>
  <c r="Z29" i="87" s="1"/>
  <c r="I53" i="85"/>
  <c r="I29" i="85" s="1"/>
  <c r="V53" i="85"/>
  <c r="V29" i="85" s="1"/>
  <c r="AQ53" i="85"/>
  <c r="AQ29" i="85" s="1"/>
  <c r="AP53" i="85"/>
  <c r="AP29" i="85" s="1"/>
  <c r="AA35" i="76"/>
  <c r="H35" i="87"/>
  <c r="W35" i="87"/>
  <c r="AN35" i="85"/>
  <c r="AB53" i="85"/>
  <c r="AB29" i="85" s="1"/>
  <c r="AO35" i="85"/>
  <c r="Y53" i="85"/>
  <c r="Y29" i="85" s="1"/>
  <c r="Y37" i="85" s="1"/>
  <c r="Q53" i="85"/>
  <c r="Q29" i="85" s="1"/>
  <c r="AS53" i="76"/>
  <c r="AS29" i="76" s="1"/>
  <c r="L53" i="76"/>
  <c r="L29" i="76" s="1"/>
  <c r="AJ35" i="76"/>
  <c r="AG35" i="76"/>
  <c r="AT34" i="87"/>
  <c r="E52" i="87"/>
  <c r="H53" i="87"/>
  <c r="H29" i="87" s="1"/>
  <c r="AI53" i="87"/>
  <c r="AI29" i="87" s="1"/>
  <c r="AC35" i="87"/>
  <c r="AR35" i="85"/>
  <c r="AI35" i="85"/>
  <c r="S53" i="87"/>
  <c r="S29" i="87" s="1"/>
  <c r="AH35" i="87"/>
  <c r="L35" i="85"/>
  <c r="AC53" i="85"/>
  <c r="AC29" i="85" s="1"/>
  <c r="X35" i="85"/>
  <c r="AE53" i="85"/>
  <c r="AE29" i="85" s="1"/>
  <c r="R35" i="85"/>
  <c r="S53" i="85"/>
  <c r="S29" i="85" s="1"/>
  <c r="AD53" i="76"/>
  <c r="AD29" i="76" s="1"/>
  <c r="AH35" i="76"/>
  <c r="AC53" i="76"/>
  <c r="AC29" i="76" s="1"/>
  <c r="AF53" i="87"/>
  <c r="AF29" i="87" s="1"/>
  <c r="L35" i="87"/>
  <c r="AK35" i="87"/>
  <c r="AP35" i="87"/>
  <c r="Q53" i="87"/>
  <c r="Q29" i="87" s="1"/>
  <c r="N53" i="87"/>
  <c r="N29" i="87" s="1"/>
  <c r="Y35" i="87"/>
  <c r="P35" i="85"/>
  <c r="AB53" i="76"/>
  <c r="AB29" i="76" s="1"/>
  <c r="AE53" i="76"/>
  <c r="AE29" i="76" s="1"/>
  <c r="AJ53" i="87"/>
  <c r="AJ29" i="87" s="1"/>
  <c r="N53" i="85"/>
  <c r="N29" i="85" s="1"/>
  <c r="N37" i="85" s="1"/>
  <c r="N38" i="85" s="1"/>
  <c r="N39" i="85" s="1"/>
  <c r="N42" i="85" s="1"/>
  <c r="N45" i="85" s="1"/>
  <c r="J53" i="85"/>
  <c r="J29" i="85" s="1"/>
  <c r="AA53" i="85"/>
  <c r="AA29" i="85" s="1"/>
  <c r="Z35" i="85"/>
  <c r="F53" i="85"/>
  <c r="F29" i="85" s="1"/>
  <c r="AL53" i="85"/>
  <c r="AL29" i="85" s="1"/>
  <c r="U35" i="76"/>
  <c r="AT53" i="76"/>
  <c r="AT29" i="76" s="1"/>
  <c r="AL35" i="76"/>
  <c r="Z35" i="76"/>
  <c r="AK53" i="76"/>
  <c r="AK29" i="76" s="1"/>
  <c r="AE53" i="87"/>
  <c r="AE29" i="87" s="1"/>
  <c r="F53" i="87"/>
  <c r="F29" i="87" s="1"/>
  <c r="AA35" i="87"/>
  <c r="AF35" i="85"/>
  <c r="O35" i="76"/>
  <c r="AD53" i="87"/>
  <c r="AD29" i="87" s="1"/>
  <c r="AD37" i="87" s="1"/>
  <c r="AD38" i="87" s="1"/>
  <c r="AD39" i="87" s="1"/>
  <c r="AD42" i="87" s="1"/>
  <c r="AD45" i="87" s="1"/>
  <c r="AQ53" i="87"/>
  <c r="AQ29" i="87" s="1"/>
  <c r="AQ37" i="87" s="1"/>
  <c r="AQ38" i="87" s="1"/>
  <c r="AQ39" i="87" s="1"/>
  <c r="AQ42" i="87" s="1"/>
  <c r="AQ45" i="87" s="1"/>
  <c r="N37" i="87" l="1"/>
  <c r="N38" i="87" s="1"/>
  <c r="N39" i="87" s="1"/>
  <c r="N42" i="87" s="1"/>
  <c r="N45" i="87" s="1"/>
  <c r="G37" i="87"/>
  <c r="G38" i="87" s="1"/>
  <c r="G39" i="87" s="1"/>
  <c r="G42" i="87" s="1"/>
  <c r="G45" i="87" s="1"/>
  <c r="T37" i="76"/>
  <c r="T38" i="76" s="1"/>
  <c r="T39" i="76" s="1"/>
  <c r="T42" i="76" s="1"/>
  <c r="T45" i="76" s="1"/>
  <c r="AM37" i="76"/>
  <c r="AM38" i="76" s="1"/>
  <c r="AM39" i="76" s="1"/>
  <c r="AM42" i="76" s="1"/>
  <c r="AM45" i="76" s="1"/>
  <c r="F37" i="87"/>
  <c r="F38" i="87" s="1"/>
  <c r="F39" i="87" s="1"/>
  <c r="F42" i="87" s="1"/>
  <c r="F45" i="87" s="1"/>
  <c r="AE37" i="85"/>
  <c r="AE38" i="85" s="1"/>
  <c r="AE39" i="85" s="1"/>
  <c r="AE42" i="85" s="1"/>
  <c r="AE45" i="85" s="1"/>
  <c r="AO37" i="87"/>
  <c r="AO38" i="87" s="1"/>
  <c r="AO39" i="87" s="1"/>
  <c r="AO42" i="87" s="1"/>
  <c r="AO45" i="87" s="1"/>
  <c r="AL37" i="85"/>
  <c r="AL38" i="85" s="1"/>
  <c r="AL39" i="85" s="1"/>
  <c r="AL42" i="85" s="1"/>
  <c r="AL45" i="85" s="1"/>
  <c r="Q37" i="87"/>
  <c r="Q38" i="87" s="1"/>
  <c r="Q39" i="87" s="1"/>
  <c r="Q42" i="87" s="1"/>
  <c r="Q45" i="87" s="1"/>
  <c r="M37" i="85"/>
  <c r="M38" i="85" s="1"/>
  <c r="M39" i="85" s="1"/>
  <c r="M42" i="85" s="1"/>
  <c r="M45" i="85" s="1"/>
  <c r="AH54" i="87"/>
  <c r="O54" i="87"/>
  <c r="AC37" i="76"/>
  <c r="AC38" i="76" s="1"/>
  <c r="AC39" i="76" s="1"/>
  <c r="AC42" i="76" s="1"/>
  <c r="AC45" i="76" s="1"/>
  <c r="AN37" i="87"/>
  <c r="AN38" i="87" s="1"/>
  <c r="AN39" i="87" s="1"/>
  <c r="AN42" i="87" s="1"/>
  <c r="AN45" i="87" s="1"/>
  <c r="R37" i="76"/>
  <c r="R38" i="76" s="1"/>
  <c r="R39" i="76" s="1"/>
  <c r="R42" i="76" s="1"/>
  <c r="R45" i="76" s="1"/>
  <c r="AA37" i="85"/>
  <c r="AA38" i="85" s="1"/>
  <c r="AA39" i="85" s="1"/>
  <c r="AA42" i="85" s="1"/>
  <c r="AA45" i="85" s="1"/>
  <c r="AE37" i="76"/>
  <c r="AE38" i="76" s="1"/>
  <c r="AE39" i="76" s="1"/>
  <c r="AE42" i="76" s="1"/>
  <c r="AE45" i="76" s="1"/>
  <c r="AD37" i="76"/>
  <c r="AD38" i="76" s="1"/>
  <c r="AD39" i="76" s="1"/>
  <c r="AD42" i="76" s="1"/>
  <c r="AD45" i="76" s="1"/>
  <c r="AP37" i="85"/>
  <c r="AP38" i="85" s="1"/>
  <c r="AP39" i="85" s="1"/>
  <c r="AP42" i="85" s="1"/>
  <c r="AP45" i="85" s="1"/>
  <c r="AM37" i="85"/>
  <c r="AM38" i="85" s="1"/>
  <c r="AM39" i="85" s="1"/>
  <c r="AM42" i="85" s="1"/>
  <c r="AM45" i="85" s="1"/>
  <c r="AJ37" i="87"/>
  <c r="AJ38" i="87" s="1"/>
  <c r="AJ39" i="87" s="1"/>
  <c r="AJ42" i="87" s="1"/>
  <c r="AJ45" i="87" s="1"/>
  <c r="AM37" i="87"/>
  <c r="AM38" i="87" s="1"/>
  <c r="AM39" i="87" s="1"/>
  <c r="AM42" i="87" s="1"/>
  <c r="AM45" i="87" s="1"/>
  <c r="S37" i="87"/>
  <c r="S38" i="87" s="1"/>
  <c r="S39" i="87" s="1"/>
  <c r="S42" i="87" s="1"/>
  <c r="S45" i="87" s="1"/>
  <c r="AI37" i="87"/>
  <c r="AI38" i="87" s="1"/>
  <c r="AI39" i="87" s="1"/>
  <c r="AI42" i="87" s="1"/>
  <c r="AI45" i="87" s="1"/>
  <c r="R37" i="87"/>
  <c r="R38" i="87" s="1"/>
  <c r="R39" i="87" s="1"/>
  <c r="R42" i="87" s="1"/>
  <c r="R45" i="87" s="1"/>
  <c r="M37" i="87"/>
  <c r="M38" i="87" s="1"/>
  <c r="M39" i="87" s="1"/>
  <c r="M42" i="87" s="1"/>
  <c r="M45" i="87" s="1"/>
  <c r="L37" i="76"/>
  <c r="L38" i="76" s="1"/>
  <c r="L39" i="76" s="1"/>
  <c r="L42" i="76" s="1"/>
  <c r="L45" i="76" s="1"/>
  <c r="V37" i="76"/>
  <c r="V38" i="76" s="1"/>
  <c r="V39" i="76" s="1"/>
  <c r="V42" i="76" s="1"/>
  <c r="V45" i="76" s="1"/>
  <c r="K54" i="87"/>
  <c r="I37" i="76"/>
  <c r="I38" i="76" s="1"/>
  <c r="I39" i="76" s="1"/>
  <c r="I42" i="76" s="1"/>
  <c r="I45" i="76" s="1"/>
  <c r="P37" i="76"/>
  <c r="P38" i="76" s="1"/>
  <c r="P39" i="76" s="1"/>
  <c r="P42" i="76" s="1"/>
  <c r="P45" i="76" s="1"/>
  <c r="X37" i="76"/>
  <c r="X38" i="76" s="1"/>
  <c r="X39" i="76" s="1"/>
  <c r="X42" i="76" s="1"/>
  <c r="X45" i="76" s="1"/>
  <c r="M37" i="76"/>
  <c r="M38" i="76" s="1"/>
  <c r="M39" i="76" s="1"/>
  <c r="M42" i="76" s="1"/>
  <c r="M45" i="76" s="1"/>
  <c r="X54" i="87"/>
  <c r="AE54" i="87"/>
  <c r="AB54" i="87"/>
  <c r="V37" i="85"/>
  <c r="V38" i="85" s="1"/>
  <c r="V39" i="85" s="1"/>
  <c r="V42" i="85" s="1"/>
  <c r="V45" i="85" s="1"/>
  <c r="J54" i="76"/>
  <c r="I54" i="76"/>
  <c r="G54" i="76"/>
  <c r="P54" i="85"/>
  <c r="X54" i="85"/>
  <c r="AB37" i="85"/>
  <c r="AB38" i="85" s="1"/>
  <c r="AB39" i="85" s="1"/>
  <c r="AB42" i="85" s="1"/>
  <c r="AB45" i="85" s="1"/>
  <c r="I37" i="85"/>
  <c r="I38" i="85" s="1"/>
  <c r="I39" i="85" s="1"/>
  <c r="I42" i="85" s="1"/>
  <c r="I45" i="85" s="1"/>
  <c r="AT37" i="85"/>
  <c r="AT38" i="85" s="1"/>
  <c r="AT39" i="85" s="1"/>
  <c r="AT42" i="85" s="1"/>
  <c r="AT45" i="85" s="1"/>
  <c r="Q37" i="85"/>
  <c r="Q38" i="85" s="1"/>
  <c r="Q39" i="85" s="1"/>
  <c r="Q42" i="85" s="1"/>
  <c r="Q45" i="85" s="1"/>
  <c r="AN54" i="76"/>
  <c r="F54" i="85"/>
  <c r="U54" i="76"/>
  <c r="AF37" i="87"/>
  <c r="AF38" i="87" s="1"/>
  <c r="AF39" i="87" s="1"/>
  <c r="AF42" i="87" s="1"/>
  <c r="AF45" i="87" s="1"/>
  <c r="H37" i="85"/>
  <c r="H38" i="85" s="1"/>
  <c r="H39" i="85" s="1"/>
  <c r="H42" i="85" s="1"/>
  <c r="H45" i="85" s="1"/>
  <c r="H54" i="76"/>
  <c r="AL54" i="76"/>
  <c r="Z54" i="85"/>
  <c r="G54" i="87"/>
  <c r="H37" i="76"/>
  <c r="H38" i="76" s="1"/>
  <c r="H39" i="76" s="1"/>
  <c r="H42" i="76" s="1"/>
  <c r="H45" i="76" s="1"/>
  <c r="L54" i="85"/>
  <c r="AI54" i="76"/>
  <c r="V54" i="76"/>
  <c r="O54" i="85"/>
  <c r="AG54" i="76"/>
  <c r="AF54" i="85"/>
  <c r="T54" i="76"/>
  <c r="U54" i="85"/>
  <c r="AM54" i="85"/>
  <c r="AT37" i="76"/>
  <c r="AT38" i="76" s="1"/>
  <c r="AT39" i="76" s="1"/>
  <c r="AT42" i="76" s="1"/>
  <c r="AT45" i="76" s="1"/>
  <c r="F37" i="85"/>
  <c r="F38" i="85" s="1"/>
  <c r="F39" i="85" s="1"/>
  <c r="S37" i="85"/>
  <c r="S38" i="85" s="1"/>
  <c r="S39" i="85" s="1"/>
  <c r="S42" i="85" s="1"/>
  <c r="S45" i="85" s="1"/>
  <c r="AC37" i="85"/>
  <c r="AC38" i="85" s="1"/>
  <c r="AC39" i="85" s="1"/>
  <c r="AC42" i="85" s="1"/>
  <c r="AC45" i="85" s="1"/>
  <c r="AQ37" i="85"/>
  <c r="AQ38" i="85" s="1"/>
  <c r="AQ39" i="85" s="1"/>
  <c r="AQ42" i="85" s="1"/>
  <c r="AQ45" i="85" s="1"/>
  <c r="Z37" i="87"/>
  <c r="Z38" i="87" s="1"/>
  <c r="Z39" i="87" s="1"/>
  <c r="Z42" i="87" s="1"/>
  <c r="Z45" i="87" s="1"/>
  <c r="K54" i="85"/>
  <c r="AK37" i="85"/>
  <c r="AK38" i="85" s="1"/>
  <c r="AK39" i="85" s="1"/>
  <c r="AK42" i="85" s="1"/>
  <c r="AK45" i="85" s="1"/>
  <c r="AJ54" i="87"/>
  <c r="V54" i="85"/>
  <c r="AS37" i="87"/>
  <c r="AS38" i="87" s="1"/>
  <c r="AS39" i="87" s="1"/>
  <c r="AS42" i="87" s="1"/>
  <c r="AS45" i="87" s="1"/>
  <c r="W37" i="87"/>
  <c r="W38" i="87" s="1"/>
  <c r="W39" i="87" s="1"/>
  <c r="W42" i="87" s="1"/>
  <c r="W45" i="87" s="1"/>
  <c r="W54" i="76"/>
  <c r="V54" i="87"/>
  <c r="AJ54" i="76"/>
  <c r="M54" i="85"/>
  <c r="AP54" i="76"/>
  <c r="AQ54" i="87"/>
  <c r="AB54" i="76"/>
  <c r="N54" i="87"/>
  <c r="AC54" i="85"/>
  <c r="S54" i="87"/>
  <c r="Y54" i="85"/>
  <c r="AP54" i="85"/>
  <c r="AP54" i="87"/>
  <c r="AA54" i="76"/>
  <c r="R54" i="87"/>
  <c r="Z54" i="76"/>
  <c r="AF54" i="76"/>
  <c r="AM54" i="87"/>
  <c r="J54" i="87"/>
  <c r="AA54" i="87"/>
  <c r="W37" i="85"/>
  <c r="W38" i="85" s="1"/>
  <c r="W39" i="85" s="1"/>
  <c r="W42" i="85" s="1"/>
  <c r="W45" i="85" s="1"/>
  <c r="AK37" i="76"/>
  <c r="AK38" i="76" s="1"/>
  <c r="AK39" i="76" s="1"/>
  <c r="AK42" i="76" s="1"/>
  <c r="AK45" i="76" s="1"/>
  <c r="AB37" i="76"/>
  <c r="AB38" i="76" s="1"/>
  <c r="AB39" i="76" s="1"/>
  <c r="AB42" i="76" s="1"/>
  <c r="AB45" i="76" s="1"/>
  <c r="AS54" i="76"/>
  <c r="Y54" i="76"/>
  <c r="U37" i="87"/>
  <c r="U38" i="87" s="1"/>
  <c r="U39" i="87" s="1"/>
  <c r="U42" i="87" s="1"/>
  <c r="U45" i="87" s="1"/>
  <c r="AF37" i="76"/>
  <c r="AF38" i="76" s="1"/>
  <c r="AF39" i="76" s="1"/>
  <c r="AF42" i="76" s="1"/>
  <c r="AF45" i="76" s="1"/>
  <c r="R37" i="85"/>
  <c r="R38" i="85" s="1"/>
  <c r="R39" i="85" s="1"/>
  <c r="R42" i="85" s="1"/>
  <c r="R45" i="85" s="1"/>
  <c r="AR37" i="76"/>
  <c r="AR38" i="76" s="1"/>
  <c r="AR39" i="76" s="1"/>
  <c r="AR42" i="76" s="1"/>
  <c r="AR45" i="76" s="1"/>
  <c r="AL54" i="87"/>
  <c r="P54" i="87"/>
  <c r="AH54" i="76"/>
  <c r="AF54" i="87"/>
  <c r="AD54" i="76"/>
  <c r="H54" i="87"/>
  <c r="Z54" i="87"/>
  <c r="Y37" i="76"/>
  <c r="Y38" i="76" s="1"/>
  <c r="Y39" i="76" s="1"/>
  <c r="Y42" i="76" s="1"/>
  <c r="Y45" i="76" s="1"/>
  <c r="AI54" i="85"/>
  <c r="F19" i="69"/>
  <c r="AN37" i="85"/>
  <c r="AN38" i="85" s="1"/>
  <c r="AN39" i="85" s="1"/>
  <c r="AN42" i="85" s="1"/>
  <c r="AN45" i="85" s="1"/>
  <c r="G37" i="85"/>
  <c r="G38" i="85" s="1"/>
  <c r="G39" i="85" s="1"/>
  <c r="G42" i="85" s="1"/>
  <c r="G45" i="85" s="1"/>
  <c r="AD54" i="85"/>
  <c r="L54" i="87"/>
  <c r="D20" i="69"/>
  <c r="AG54" i="87"/>
  <c r="AR37" i="87"/>
  <c r="AR38" i="87" s="1"/>
  <c r="AR39" i="87" s="1"/>
  <c r="AR42" i="87" s="1"/>
  <c r="AR45" i="87" s="1"/>
  <c r="AN54" i="87"/>
  <c r="X54" i="76"/>
  <c r="E37" i="69"/>
  <c r="E53" i="85"/>
  <c r="E54" i="85" s="1"/>
  <c r="AU35" i="76"/>
  <c r="J54" i="85"/>
  <c r="H37" i="87"/>
  <c r="H38" i="87" s="1"/>
  <c r="H39" i="87" s="1"/>
  <c r="H42" i="87" s="1"/>
  <c r="H45" i="87" s="1"/>
  <c r="AS37" i="76"/>
  <c r="AS38" i="76" s="1"/>
  <c r="AS39" i="76" s="1"/>
  <c r="AS42" i="76" s="1"/>
  <c r="AS45" i="76" s="1"/>
  <c r="Y38" i="85"/>
  <c r="Y39" i="85" s="1"/>
  <c r="Y42" i="85" s="1"/>
  <c r="Y45" i="85" s="1"/>
  <c r="AA37" i="76"/>
  <c r="AA38" i="76" s="1"/>
  <c r="AA39" i="76" s="1"/>
  <c r="AA42" i="76" s="1"/>
  <c r="AA45" i="76" s="1"/>
  <c r="AL37" i="76"/>
  <c r="AL38" i="76" s="1"/>
  <c r="AL39" i="76" s="1"/>
  <c r="AL42" i="76" s="1"/>
  <c r="AL45" i="76" s="1"/>
  <c r="AG37" i="76"/>
  <c r="AG38" i="76" s="1"/>
  <c r="AG39" i="76" s="1"/>
  <c r="AG42" i="76" s="1"/>
  <c r="AG45" i="76" s="1"/>
  <c r="AD37" i="85"/>
  <c r="AD38" i="85" s="1"/>
  <c r="AD39" i="85" s="1"/>
  <c r="AD42" i="85" s="1"/>
  <c r="AD45" i="85" s="1"/>
  <c r="K37" i="87"/>
  <c r="K38" i="87" s="1"/>
  <c r="K39" i="87" s="1"/>
  <c r="K42" i="87" s="1"/>
  <c r="K45" i="87" s="1"/>
  <c r="AA37" i="87"/>
  <c r="AA38" i="87" s="1"/>
  <c r="AA39" i="87" s="1"/>
  <c r="AA42" i="87" s="1"/>
  <c r="AA45" i="87" s="1"/>
  <c r="W37" i="76"/>
  <c r="W38" i="76" s="1"/>
  <c r="W39" i="76" s="1"/>
  <c r="W42" i="76" s="1"/>
  <c r="W45" i="76" s="1"/>
  <c r="L37" i="87"/>
  <c r="L38" i="87" s="1"/>
  <c r="L39" i="87" s="1"/>
  <c r="L42" i="87" s="1"/>
  <c r="L45" i="87" s="1"/>
  <c r="V37" i="87"/>
  <c r="V38" i="87" s="1"/>
  <c r="V39" i="87" s="1"/>
  <c r="V42" i="87" s="1"/>
  <c r="V45" i="87" s="1"/>
  <c r="K37" i="85"/>
  <c r="K38" i="85" s="1"/>
  <c r="K39" i="85" s="1"/>
  <c r="K42" i="85" s="1"/>
  <c r="K45" i="85" s="1"/>
  <c r="AG37" i="87"/>
  <c r="AG38" i="87" s="1"/>
  <c r="AG39" i="87" s="1"/>
  <c r="AG42" i="87" s="1"/>
  <c r="AG45" i="87" s="1"/>
  <c r="AJ37" i="76"/>
  <c r="AJ38" i="76" s="1"/>
  <c r="AJ39" i="76" s="1"/>
  <c r="AJ42" i="76" s="1"/>
  <c r="AJ45" i="76" s="1"/>
  <c r="AF37" i="85"/>
  <c r="AF38" i="85" s="1"/>
  <c r="AF39" i="85" s="1"/>
  <c r="AF42" i="85" s="1"/>
  <c r="AF45" i="85" s="1"/>
  <c r="U37" i="76"/>
  <c r="U38" i="76" s="1"/>
  <c r="U39" i="76" s="1"/>
  <c r="U42" i="76" s="1"/>
  <c r="U45" i="76" s="1"/>
  <c r="U37" i="85"/>
  <c r="U38" i="85" s="1"/>
  <c r="U39" i="85" s="1"/>
  <c r="U42" i="85" s="1"/>
  <c r="U45" i="85" s="1"/>
  <c r="D37" i="69"/>
  <c r="AU52" i="76"/>
  <c r="E53" i="76"/>
  <c r="E54" i="76" s="1"/>
  <c r="AU35" i="85"/>
  <c r="AP37" i="76"/>
  <c r="AP38" i="76" s="1"/>
  <c r="AP39" i="76" s="1"/>
  <c r="AP42" i="76" s="1"/>
  <c r="AP45" i="76" s="1"/>
  <c r="P37" i="85"/>
  <c r="P38" i="85" s="1"/>
  <c r="P39" i="85" s="1"/>
  <c r="P42" i="85" s="1"/>
  <c r="P45" i="85" s="1"/>
  <c r="G37" i="76"/>
  <c r="G38" i="76" s="1"/>
  <c r="G39" i="76" s="1"/>
  <c r="G42" i="76" s="1"/>
  <c r="G45" i="76" s="1"/>
  <c r="AH37" i="87"/>
  <c r="AH38" i="87" s="1"/>
  <c r="AH39" i="87" s="1"/>
  <c r="AH42" i="87" s="1"/>
  <c r="AH45" i="87" s="1"/>
  <c r="O37" i="87"/>
  <c r="O38" i="87" s="1"/>
  <c r="O39" i="87" s="1"/>
  <c r="O42" i="87" s="1"/>
  <c r="O45" i="87" s="1"/>
  <c r="AD54" i="87"/>
  <c r="AE37" i="87"/>
  <c r="AE38" i="87" s="1"/>
  <c r="AE39" i="87" s="1"/>
  <c r="AE42" i="87" s="1"/>
  <c r="AE45" i="87" s="1"/>
  <c r="AL54" i="85"/>
  <c r="J37" i="85"/>
  <c r="J38" i="85" s="1"/>
  <c r="J39" i="85" s="1"/>
  <c r="J42" i="85" s="1"/>
  <c r="J45" i="85" s="1"/>
  <c r="AC54" i="76"/>
  <c r="AE54" i="85"/>
  <c r="AI54" i="87"/>
  <c r="E53" i="87"/>
  <c r="E54" i="87" s="1"/>
  <c r="AT52" i="87"/>
  <c r="L54" i="76"/>
  <c r="Q54" i="85"/>
  <c r="AP37" i="87"/>
  <c r="AP38" i="87" s="1"/>
  <c r="AP39" i="87" s="1"/>
  <c r="AP42" i="87" s="1"/>
  <c r="AP45" i="87" s="1"/>
  <c r="AI37" i="85"/>
  <c r="AI38" i="85" s="1"/>
  <c r="AI39" i="85" s="1"/>
  <c r="AI42" i="85" s="1"/>
  <c r="AI45" i="85" s="1"/>
  <c r="W54" i="87"/>
  <c r="AN54" i="85"/>
  <c r="Z37" i="76"/>
  <c r="Z38" i="76" s="1"/>
  <c r="Z39" i="76" s="1"/>
  <c r="Z42" i="76" s="1"/>
  <c r="Z45" i="76" s="1"/>
  <c r="Z37" i="85"/>
  <c r="Z38" i="85" s="1"/>
  <c r="Z39" i="85" s="1"/>
  <c r="Z42" i="85" s="1"/>
  <c r="Z45" i="85" s="1"/>
  <c r="AH54" i="85"/>
  <c r="AK54" i="87"/>
  <c r="L37" i="85"/>
  <c r="L38" i="85" s="1"/>
  <c r="L39" i="85" s="1"/>
  <c r="L42" i="85" s="1"/>
  <c r="L45" i="85" s="1"/>
  <c r="F18" i="69"/>
  <c r="E20" i="69"/>
  <c r="M54" i="87"/>
  <c r="AR54" i="76"/>
  <c r="T54" i="85"/>
  <c r="AO54" i="76"/>
  <c r="T54" i="87"/>
  <c r="AK54" i="85"/>
  <c r="Q54" i="76"/>
  <c r="W54" i="85"/>
  <c r="AG54" i="85"/>
  <c r="I54" i="87"/>
  <c r="S54" i="76"/>
  <c r="AO54" i="85"/>
  <c r="O54" i="76"/>
  <c r="F54" i="76"/>
  <c r="AM54" i="76"/>
  <c r="Y54" i="87"/>
  <c r="AO54" i="87"/>
  <c r="N54" i="76"/>
  <c r="AR54" i="85"/>
  <c r="AC54" i="87"/>
  <c r="K54" i="76"/>
  <c r="F54" i="87"/>
  <c r="AK54" i="76"/>
  <c r="AT54" i="76"/>
  <c r="AA54" i="85"/>
  <c r="N54" i="85"/>
  <c r="AE54" i="76"/>
  <c r="Q54" i="87"/>
  <c r="S54" i="85"/>
  <c r="AB54" i="85"/>
  <c r="AQ54" i="85"/>
  <c r="I54" i="85"/>
  <c r="M54" i="76"/>
  <c r="AT54" i="85"/>
  <c r="AS54" i="87"/>
  <c r="U54" i="87"/>
  <c r="G54" i="85"/>
  <c r="AS54" i="85"/>
  <c r="AK37" i="87"/>
  <c r="AK38" i="87" s="1"/>
  <c r="AK39" i="87" s="1"/>
  <c r="AK42" i="87" s="1"/>
  <c r="AK45" i="87" s="1"/>
  <c r="AQ54" i="76"/>
  <c r="R54" i="85"/>
  <c r="AJ54" i="85"/>
  <c r="AT35" i="87"/>
  <c r="AO37" i="76"/>
  <c r="AO38" i="76" s="1"/>
  <c r="AO39" i="76" s="1"/>
  <c r="AO42" i="76" s="1"/>
  <c r="AO45" i="76" s="1"/>
  <c r="T37" i="87"/>
  <c r="T38" i="87" s="1"/>
  <c r="T39" i="87" s="1"/>
  <c r="T42" i="87" s="1"/>
  <c r="T45" i="87" s="1"/>
  <c r="Q37" i="76"/>
  <c r="Q38" i="76" s="1"/>
  <c r="Q39" i="76" s="1"/>
  <c r="Q42" i="76" s="1"/>
  <c r="Q45" i="76" s="1"/>
  <c r="AG37" i="85"/>
  <c r="AG38" i="85" s="1"/>
  <c r="AG39" i="85" s="1"/>
  <c r="AG42" i="85" s="1"/>
  <c r="AG45" i="85" s="1"/>
  <c r="I37" i="87"/>
  <c r="I38" i="87" s="1"/>
  <c r="I39" i="87" s="1"/>
  <c r="I42" i="87" s="1"/>
  <c r="I45" i="87" s="1"/>
  <c r="S37" i="76"/>
  <c r="S38" i="76" s="1"/>
  <c r="S39" i="76" s="1"/>
  <c r="S42" i="76" s="1"/>
  <c r="S45" i="76" s="1"/>
  <c r="AO37" i="85"/>
  <c r="AO38" i="85" s="1"/>
  <c r="AO39" i="85" s="1"/>
  <c r="AO42" i="85" s="1"/>
  <c r="AO45" i="85" s="1"/>
  <c r="O37" i="76"/>
  <c r="O38" i="76" s="1"/>
  <c r="O39" i="76" s="1"/>
  <c r="O42" i="76" s="1"/>
  <c r="O45" i="76" s="1"/>
  <c r="AR54" i="87"/>
  <c r="F37" i="76"/>
  <c r="F38" i="76" s="1"/>
  <c r="F39" i="76" s="1"/>
  <c r="F42" i="76" s="1"/>
  <c r="F45" i="76" s="1"/>
  <c r="Y37" i="87"/>
  <c r="Y38" i="87" s="1"/>
  <c r="Y39" i="87" s="1"/>
  <c r="Y42" i="87" s="1"/>
  <c r="Y45" i="87" s="1"/>
  <c r="P54" i="76"/>
  <c r="R54" i="76"/>
  <c r="H54" i="85"/>
  <c r="AR37" i="85"/>
  <c r="AR38" i="85" s="1"/>
  <c r="AR39" i="85" s="1"/>
  <c r="AR42" i="85" s="1"/>
  <c r="AR45" i="85" s="1"/>
  <c r="AC37" i="87"/>
  <c r="AC38" i="87" s="1"/>
  <c r="AC39" i="87" s="1"/>
  <c r="AC42" i="87" s="1"/>
  <c r="AC45" i="87" s="1"/>
  <c r="K37" i="76"/>
  <c r="K38" i="76" s="1"/>
  <c r="K39" i="76" s="1"/>
  <c r="K42" i="76" s="1"/>
  <c r="K45" i="76" s="1"/>
  <c r="AL37" i="87"/>
  <c r="AL38" i="87" s="1"/>
  <c r="AL39" i="87" s="1"/>
  <c r="AL42" i="87" s="1"/>
  <c r="AL45" i="87" s="1"/>
  <c r="P37" i="87"/>
  <c r="P38" i="87" s="1"/>
  <c r="P39" i="87" s="1"/>
  <c r="P42" i="87" s="1"/>
  <c r="P45" i="87" s="1"/>
  <c r="AH37" i="76"/>
  <c r="AH38" i="76" s="1"/>
  <c r="AH39" i="76" s="1"/>
  <c r="AH42" i="76" s="1"/>
  <c r="AH45" i="76" s="1"/>
  <c r="X37" i="85"/>
  <c r="X38" i="85" s="1"/>
  <c r="X39" i="85" s="1"/>
  <c r="X42" i="85" s="1"/>
  <c r="X45" i="85" s="1"/>
  <c r="AN37" i="76"/>
  <c r="AN38" i="76" s="1"/>
  <c r="AN39" i="76" s="1"/>
  <c r="AN42" i="76" s="1"/>
  <c r="AN45" i="76" s="1"/>
  <c r="F42" i="85" l="1"/>
  <c r="F45" i="85" s="1"/>
  <c r="B12" i="67"/>
  <c r="F20" i="69"/>
  <c r="D38" i="69"/>
  <c r="D39" i="69" s="1"/>
  <c r="AU53" i="76"/>
  <c r="E29" i="76"/>
  <c r="AU54" i="76"/>
  <c r="AT53" i="87"/>
  <c r="E29" i="87"/>
  <c r="E38" i="69"/>
  <c r="E29" i="85"/>
  <c r="AT54" i="87"/>
  <c r="F37" i="69"/>
  <c r="F38" i="69" l="1"/>
  <c r="AU29" i="76"/>
  <c r="D14" i="69"/>
  <c r="E37" i="76"/>
  <c r="AT29" i="87"/>
  <c r="E37" i="87"/>
  <c r="E14" i="69"/>
  <c r="AU29" i="85"/>
  <c r="E37" i="85"/>
  <c r="E39" i="69"/>
  <c r="F39" i="69" s="1"/>
  <c r="F14" i="69" l="1"/>
  <c r="E22" i="69"/>
  <c r="AU37" i="85"/>
  <c r="E38" i="85"/>
  <c r="D22" i="69"/>
  <c r="AU37" i="76"/>
  <c r="AT37" i="87"/>
  <c r="E38" i="87"/>
  <c r="AT38" i="87" s="1"/>
  <c r="E39" i="87" l="1"/>
  <c r="F27" i="77" s="1"/>
  <c r="D23" i="69"/>
  <c r="D24" i="69" s="1"/>
  <c r="D27" i="69" s="1"/>
  <c r="AU38" i="76"/>
  <c r="E39" i="76"/>
  <c r="E39" i="85"/>
  <c r="E23" i="69"/>
  <c r="AU38" i="85"/>
  <c r="F22" i="69"/>
  <c r="AT39" i="87" l="1"/>
  <c r="E42" i="87"/>
  <c r="E45" i="87" s="1"/>
  <c r="F23" i="69"/>
  <c r="D6" i="69"/>
  <c r="E24" i="69"/>
  <c r="F24" i="69" s="1"/>
  <c r="E42" i="76"/>
  <c r="AU39" i="76"/>
  <c r="F28" i="77"/>
  <c r="B14" i="67" s="1"/>
  <c r="AU39" i="85"/>
  <c r="E42" i="85"/>
  <c r="AT42" i="87"/>
  <c r="E27" i="69" l="1"/>
  <c r="E6" i="69" s="1"/>
  <c r="F6" i="69" s="1"/>
  <c r="F7" i="69" s="1"/>
  <c r="B13" i="67" s="1"/>
  <c r="B15" i="67" s="1"/>
  <c r="AU42" i="85"/>
  <c r="E45" i="85"/>
  <c r="E30" i="69" s="1"/>
  <c r="E45" i="76"/>
  <c r="D30" i="69" s="1"/>
  <c r="AU42" i="76"/>
  <c r="E28" i="69"/>
  <c r="F27" i="69"/>
  <c r="F30" i="69" l="1"/>
</calcChain>
</file>

<file path=xl/sharedStrings.xml><?xml version="1.0" encoding="utf-8"?>
<sst xmlns="http://schemas.openxmlformats.org/spreadsheetml/2006/main" count="666" uniqueCount="255">
  <si>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</si>
  <si>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</si>
  <si>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</si>
  <si>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</si>
  <si>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</si>
  <si>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</si>
  <si>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</si>
  <si>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</si>
  <si>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</si>
  <si>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</si>
  <si>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</si>
  <si>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</si>
  <si>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</si>
  <si>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</si>
  <si>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</si>
  <si>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</si>
  <si>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</si>
  <si>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</si>
  <si>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</si>
  <si>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</si>
  <si>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</si>
  <si>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</si>
  <si>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</si>
  <si>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</si>
  <si>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</si>
  <si>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</si>
  <si>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</si>
  <si>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</si>
  <si>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</si>
  <si>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</si>
  <si>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</si>
  <si>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</si>
  <si>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</si>
  <si>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</si>
  <si>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</si>
  <si>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</si>
  <si>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</si>
  <si>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</si>
  <si>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</si>
  <si>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</si>
  <si>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</si>
  <si>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</si>
  <si>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</si>
  <si>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</si>
  <si>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</si>
  <si>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</si>
  <si>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</si>
  <si>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</si>
  <si>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</si>
  <si>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</si>
  <si>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</si>
  <si>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</si>
  <si>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</si>
  <si>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</si>
  <si>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</si>
  <si>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</si>
  <si>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</si>
  <si>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</si>
  <si>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</si>
  <si>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</si>
  <si>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</si>
  <si>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</si>
  <si>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</si>
  <si>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</si>
  <si>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</si>
  <si>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</si>
  <si>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</si>
  <si>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</si>
  <si>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</si>
  <si>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</si>
  <si>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</si>
  <si>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</si>
  <si>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</si>
  <si>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</si>
  <si>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</si>
  <si>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</si>
  <si>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</si>
  <si>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</si>
  <si>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Mains</t>
  </si>
  <si>
    <t>Services</t>
  </si>
  <si>
    <t>Total</t>
  </si>
  <si>
    <t>Main</t>
  </si>
  <si>
    <t>WEIGHTED AVERAGE COMPOSITE RATE</t>
  </si>
  <si>
    <t>R.10015.03.04.01</t>
  </si>
  <si>
    <t>Program Years</t>
  </si>
  <si>
    <t>True Up Amount</t>
  </si>
  <si>
    <t>Year</t>
  </si>
  <si>
    <t>Check</t>
  </si>
  <si>
    <t>Table</t>
  </si>
  <si>
    <t>Apply 50% Bonus</t>
  </si>
  <si>
    <t>Apply 40% Bonus</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</si>
  <si>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</si>
  <si>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</si>
  <si>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</si>
  <si>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</si>
  <si>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</si>
  <si>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</si>
  <si>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</si>
  <si>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</si>
  <si>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</si>
  <si>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</si>
  <si>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Current Year</t>
  </si>
  <si>
    <t>Pre Tax Long and Short Term Debt</t>
  </si>
  <si>
    <t>Year 38</t>
  </si>
  <si>
    <t>Year 39</t>
  </si>
  <si>
    <t>Year 40</t>
  </si>
  <si>
    <t>Partial Year 41</t>
  </si>
  <si>
    <t>Per Depreciation Study Adjustment</t>
  </si>
  <si>
    <t>ACCOUNT</t>
  </si>
  <si>
    <t>Pre Jan 1, 2018</t>
  </si>
  <si>
    <t>17 GRC rate, Jan 1, 2018</t>
  </si>
  <si>
    <t>NUMBER</t>
  </si>
  <si>
    <t>%</t>
  </si>
  <si>
    <t xml:space="preserve">MAINS - PLASTIC                           </t>
  </si>
  <si>
    <t>SERVICES - PLASTIC</t>
  </si>
  <si>
    <t>Page 3.04</t>
  </si>
  <si>
    <t>PUGET SOUND ENERGY-ELECTRIC</t>
  </si>
  <si>
    <t>FOR THE TWELVE MONTHS ENDED SEPTEMBER 30, 2016</t>
  </si>
  <si>
    <t>STATE UTILITY TAX - NET OF BAD DEBTS ( 3.8734% - ( LINE 1 * 3.8734%) )</t>
  </si>
  <si>
    <t>CONVERSION FACTOR - GAS</t>
  </si>
  <si>
    <t>Revenue Sensitive Items Rate</t>
  </si>
  <si>
    <t>Rates beginning November 1, 2019</t>
  </si>
  <si>
    <t>2018 - 2019</t>
  </si>
  <si>
    <t>Depreciation, Capital Spendings</t>
  </si>
  <si>
    <t>O&amp;M</t>
  </si>
  <si>
    <t>WBS</t>
  </si>
  <si>
    <t>Buried Meters mitigations</t>
  </si>
  <si>
    <t>R.99999.04.20.03</t>
  </si>
  <si>
    <t>Legacy Cross Bore inspections</t>
  </si>
  <si>
    <t>R.99999.04.37.10</t>
  </si>
  <si>
    <t>Legacy Cross Bore repairs</t>
  </si>
  <si>
    <t>R.99999.04.37.11</t>
  </si>
  <si>
    <t>CAPITAL</t>
  </si>
  <si>
    <t>Buried Meters replacements</t>
  </si>
  <si>
    <t>R.10015.03.09.15</t>
  </si>
  <si>
    <t>DuPont Pipe Replacement Program</t>
  </si>
  <si>
    <t>Total for all programs</t>
  </si>
  <si>
    <t>Depr. Exp</t>
  </si>
  <si>
    <t>Program</t>
  </si>
  <si>
    <t>Total O&amp;M Rev Req</t>
  </si>
  <si>
    <t>Total Cost of Service (Capital)</t>
  </si>
  <si>
    <t>2019 - 2020</t>
  </si>
  <si>
    <t>Total True up</t>
  </si>
  <si>
    <t>FERC</t>
  </si>
  <si>
    <t>Description of Charges</t>
  </si>
  <si>
    <t>InfraSource Labor</t>
  </si>
  <si>
    <t>HydroMax Labor</t>
  </si>
  <si>
    <t>COS Spread</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</si>
  <si>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</si>
  <si>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</si>
  <si>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</si>
  <si>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</si>
  <si>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</si>
  <si>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</si>
  <si>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</si>
  <si>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</si>
  <si>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</si>
  <si>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</si>
  <si>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</si>
  <si>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</si>
  <si>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</si>
  <si>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</si>
  <si>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</si>
  <si>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</si>
  <si>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</si>
  <si>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</si>
  <si>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</si>
  <si>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</si>
  <si>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2019 GRC Compliance Filing</t>
  </si>
  <si>
    <t>2017 GRC</t>
  </si>
  <si>
    <t>2019 GRC</t>
  </si>
  <si>
    <t>For the Period November 2019 - October 2020</t>
  </si>
  <si>
    <t xml:space="preserve">O &amp; M </t>
  </si>
  <si>
    <t>Actual (Nov 2019 - Sept 2020)</t>
  </si>
  <si>
    <t>Forecast Est. (October 2020)</t>
  </si>
  <si>
    <t>Total(Nov 2019 -Oct 2020)</t>
  </si>
  <si>
    <t xml:space="preserve">Total O&amp;M </t>
  </si>
  <si>
    <t>Dupont Plastic Replacement</t>
  </si>
  <si>
    <t>Buried Meters Replacements</t>
  </si>
  <si>
    <t>R.99999.03.09.15</t>
  </si>
  <si>
    <t>Total Capital</t>
  </si>
  <si>
    <t>Total O&amp;M + CAPITAL</t>
  </si>
  <si>
    <t>(See detail orders in the Summary All Program Orders Oct 2020 Filing)</t>
  </si>
  <si>
    <t>Remove Legasy Cross Bore in Rates Estimate</t>
  </si>
  <si>
    <t>2021 PROGRAM YEAR</t>
  </si>
  <si>
    <t>August 2021 FILING</t>
  </si>
  <si>
    <t>2020 CRM Program, Year 2</t>
  </si>
  <si>
    <t>2020 CRM Program, Year 1 True Up to Actuals</t>
  </si>
  <si>
    <t>2021 CRM Program, Year 1</t>
  </si>
  <si>
    <t>Total Revenue Requirement For Aug 2021 Filing</t>
  </si>
  <si>
    <t>True up of 2020 CRM Year One</t>
  </si>
  <si>
    <t>Program Year 2020</t>
  </si>
  <si>
    <t>FILED ON OCT 16, 2020</t>
  </si>
  <si>
    <t>As  Filed Oct 16, 2020</t>
  </si>
  <si>
    <t>2020 - 2021</t>
  </si>
  <si>
    <t>AS FILED 10/16/2020</t>
  </si>
  <si>
    <t>Actual October 2020 Amounts</t>
  </si>
  <si>
    <t>Total Actual CRM Program Year 2019-2020</t>
  </si>
  <si>
    <t>2019 CRM Program, Year 3</t>
  </si>
  <si>
    <t>TRUE UP FOR OCTOBER 2020 ACTUALS</t>
  </si>
  <si>
    <t>Actual Amount Nov 2020 - July 2021</t>
  </si>
  <si>
    <t>Forecast Aug - October 2021</t>
  </si>
  <si>
    <t>Total Capital from 2021 CRM tab</t>
  </si>
  <si>
    <t>.</t>
  </si>
  <si>
    <t>PSE Labor</t>
  </si>
  <si>
    <t>Capital Investment</t>
  </si>
  <si>
    <t>Remove Buried Meters mitigations in Rates</t>
  </si>
  <si>
    <t>Support the Depreciation Rate</t>
  </si>
  <si>
    <t>(a)</t>
  </si>
  <si>
    <t>(b)</t>
  </si>
  <si>
    <t>TM Legend</t>
  </si>
  <si>
    <t>PSE included Buried Meters in its initial 2020 CRM filing, but, upon further investigation noted buried meter mitigation expenses were included in its historical test year in its 2019 GRC. These costs were above the amounts incurred between November 2019 through September 2020. Thus, PSE has removed these costs from this filing.</t>
  </si>
  <si>
    <t>Similar to above, Legacy Cross Bore costs were included in the test year of PSE's 2019 GRC. As only approximately 300 inspections were completed in 2018 as compared to over 7,300 in 2020, the costs have significantly increased and PSE is removing the estimated 2018 costs from this filing.</t>
  </si>
  <si>
    <t>Mains, FERC 376</t>
  </si>
  <si>
    <t>Services, FERC 380</t>
  </si>
  <si>
    <t>2021 True Up</t>
  </si>
  <si>
    <t>Total True up (Capital &amp; O&amp;M)</t>
  </si>
  <si>
    <t>RSI</t>
  </si>
  <si>
    <t>Updated for RSI</t>
  </si>
  <si>
    <t>G874</t>
  </si>
  <si>
    <t>G887</t>
  </si>
  <si>
    <t xml:space="preserve">Mains &amp; Services Expense </t>
  </si>
  <si>
    <t>Maint Mains</t>
  </si>
  <si>
    <t>CAPITAL EXPENSE</t>
  </si>
  <si>
    <t>COST BREAKDOWN BY PROGRAM</t>
  </si>
  <si>
    <t>WBS Element</t>
  </si>
  <si>
    <t>WBS Description</t>
  </si>
  <si>
    <t>2019 Projects 
In Service November to September Actual Costs</t>
  </si>
  <si>
    <t>2019 Projects 
October Project Actuals</t>
  </si>
  <si>
    <t>Total CRM Actual and Forecast</t>
  </si>
  <si>
    <t>G-DIMP DUPONT PIPE REPL-MAIN WITH SERV</t>
  </si>
  <si>
    <t>R.10015.03.04.02</t>
  </si>
  <si>
    <t>G-DIMP OLDER STW REPL-MAIN WITH SERVICE</t>
  </si>
  <si>
    <t>R.10015.03.04.03</t>
  </si>
  <si>
    <t>G-DIMP OLDER STW REPL-SERVICE ONLY</t>
  </si>
  <si>
    <t>Grand Total</t>
  </si>
  <si>
    <t>DEPRECIATION EXPENSE CALCULATION</t>
  </si>
  <si>
    <t>Type</t>
  </si>
  <si>
    <t>Rate per 2017 GRC Study</t>
  </si>
  <si>
    <t>FERC G376.2</t>
  </si>
  <si>
    <t>FERC G380.2</t>
  </si>
  <si>
    <t>Total Annual Depr</t>
  </si>
  <si>
    <t>41 years of depr</t>
  </si>
  <si>
    <t>Partial last year due to composite rate</t>
  </si>
  <si>
    <t>Rate per Study</t>
  </si>
  <si>
    <t>FERC G376</t>
  </si>
  <si>
    <t>FERC G380</t>
  </si>
  <si>
    <t>2018 Projects 
In Service November to September Actual Costs</t>
  </si>
  <si>
    <t>2018 Projects 
 October Project Forecast</t>
  </si>
  <si>
    <t>Rate per 2007 GRC Study</t>
  </si>
  <si>
    <t>Actuals Nov 2016 - July 2017</t>
  </si>
  <si>
    <t>Actual October 2017</t>
  </si>
  <si>
    <t>Percent Mains</t>
  </si>
  <si>
    <t>Percent Services</t>
  </si>
  <si>
    <t>Total 2019 CRM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</si>
</sst>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00%"/>
    <numFmt numFmtId="168" formatCode="_(* #,##0_);_(* \(#,##0\);_(* &quot;-&quot;??_);_(@_)"/>
    <numFmt numFmtId="169" formatCode="#,##0.000"/>
    <numFmt numFmtId="170" formatCode="_(* #,##0.00000_);_(* \(#,##0.00000\);_(* &quot;-&quot;??_);_(@_)"/>
    <numFmt numFmtId="171" formatCode="&quot;$&quot;#,##0"/>
    <numFmt numFmtId="172" formatCode="_(* #,##0.0000_);_(* \(#,##0.0000\);_(* &quot;-&quot;??_);_(@_)"/>
    <numFmt numFmtId="173" formatCode="_(* #,##0.000_);_(* \(#,##0.000\);_(* &quot;-&quot;??_);_(@_)"/>
  </numFmts>
  <fonts count="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Arial"/>
      <family val="2"/>
    </font>
    <font>
      <b/>
      <sz val="10"/>
      <name val="Times New Roman"/>
      <family val="1"/>
    </font>
    <font>
      <sz val="10"/>
      <name val="Times New Roman"/>
      <family val="1"/>
    </font>
    <font>
      <b/>
      <sz val="9"/>
      <name val="Arial"/>
      <family val="2"/>
    </font>
    <font>
      <sz val="9"/>
      <name val="Arial"/>
      <family val="2"/>
    </font>
    <font>
      <b/>
      <sz val="11"/>
      <color theme="0"/>
      <name val="Calibri"/>
      <family val="2"/>
    </font>
    <font>
      <sz val="11"/>
      <color rgb="FF000000"/>
      <name val="Calibri"/>
      <family val="2"/>
    </font>
    <font>
      <b/>
      <sz val="11"/>
      <color rgb="FF000000"/>
      <name val="Calibri"/>
      <family val="2"/>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color rgb="FF0000FF"/>
      <name val="Times New Roman"/>
      <family val="1"/>
    </font>
    <font>
      <sz val="11"/>
      <color rgb="FF0000FF"/>
      <name val="Calibri"/>
      <family val="2"/>
    </font>
    <font>
      <b/>
      <sz val="11"/>
      <color rgb="FF0000FF"/>
      <name val="Calibri"/>
      <family val="2"/>
    </font>
    <font>
      <sz val="10"/>
      <color theme="1"/>
      <name val="Calibri"/>
      <family val="2"/>
      <scheme val="minor"/>
    </font>
    <font>
      <b/>
      <sz val="10"/>
      <color theme="1"/>
      <name val="Calibri"/>
      <family val="2"/>
      <scheme val="minor"/>
    </font>
    <font>
      <sz val="9"/>
      <color rgb="FF0000FF"/>
      <name val="Calibri"/>
      <family val="2"/>
      <scheme val="minor"/>
    </font>
    <font>
      <b/>
      <sz val="10"/>
      <color rgb="FF0000FF"/>
      <name val="Arial"/>
      <family val="2"/>
    </font>
    <font>
      <b/>
      <sz val="11"/>
      <color rgb="FF0000FF"/>
      <name val="Calibri"/>
      <family val="2"/>
      <scheme val="minor"/>
    </font>
    <font>
      <sz val="11"/>
      <color rgb="FF0000FF"/>
      <name val="Calibri"/>
      <family val="2"/>
      <scheme val="minor"/>
    </font>
    <font>
      <b/>
      <sz val="11"/>
      <color rgb="FFFF0000"/>
      <name val="Calibri"/>
      <family val="2"/>
    </font>
    <font>
      <b/>
      <sz val="9"/>
      <color rgb="FF0000FF"/>
      <name val="Calibri"/>
      <family val="2"/>
    </font>
    <font>
      <sz val="11"/>
      <color theme="0"/>
      <name val="Calibri"/>
      <family val="2"/>
      <scheme val="minor"/>
    </font>
    <font>
      <b/>
      <sz val="10"/>
      <color theme="1"/>
      <name val="Arial"/>
      <family val="2"/>
    </font>
    <font>
      <sz val="11"/>
      <color theme="1"/>
      <name val="Arial"/>
      <family val="2"/>
    </font>
    <font>
      <b/>
      <sz val="10"/>
      <color theme="0"/>
      <name val="Arial"/>
      <family val="2"/>
    </font>
    <font>
      <b/>
      <sz val="8"/>
      <color rgb="FF0000FF"/>
      <name val="Arial"/>
      <family val="2"/>
    </font>
    <font>
      <sz val="8"/>
      <color theme="1"/>
      <name val="Calibri"/>
      <family val="2"/>
      <scheme val="minor"/>
    </font>
    <font>
      <b/>
      <u/>
      <sz val="11"/>
      <color theme="1"/>
      <name val="Calibri"/>
      <family val="2"/>
      <scheme val="minor"/>
    </font>
    <font>
      <b/>
      <sz val="8"/>
      <color rgb="FF0000FF"/>
      <name val="Calibri"/>
      <family val="2"/>
      <scheme val="minor"/>
    </font>
    <font>
      <sz val="8"/>
      <color rgb="FF0000FF"/>
      <name val="Calibri"/>
      <family val="2"/>
      <scheme val="minor"/>
    </font>
    <font>
      <sz val="10"/>
      <color rgb="FFFF0000"/>
      <name val="Arial"/>
      <family val="2"/>
    </font>
    <font>
      <sz val="12"/>
      <color theme="1"/>
      <name val="Calibri"/>
      <family val="2"/>
      <scheme val="minor"/>
    </font>
    <font>
      <sz val="8"/>
      <name val="Helv"/>
    </font>
  </fonts>
  <fills count="8">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7">
    <xf numFmtId="0" fontId="0" fillId="0" borderId="0"/>
    <xf numFmtId="9" fontId="17" fillId="0" borderId="0" applyFont="0" applyFill="0" applyBorder="0" applyAlignment="0" applyProtection="0"/>
    <xf numFmtId="0" fontId="20"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cellStyleXfs>
  <cellXfs count="451">
    <xf numFmtId="0" fontId="0" fillId="0" borderId="0" xfId="0"/>
    <xf numFmtId="0" fontId="13" fillId="0" borderId="0" xfId="0" applyFont="1" applyFill="1" applyAlignment="1" applyProtection="1">
      <alignment horizontal="left"/>
    </xf>
    <xf numFmtId="0" fontId="13" fillId="0" borderId="0" xfId="0" applyFont="1" applyFill="1" applyAlignment="1">
      <alignment vertical="top"/>
    </xf>
    <xf numFmtId="0" fontId="9" fillId="0" borderId="0" xfId="0" applyFont="1" applyFill="1" applyAlignment="1">
      <alignment vertical="top"/>
    </xf>
    <xf numFmtId="0" fontId="11" fillId="0" borderId="0" xfId="0" applyFont="1" applyFill="1" applyAlignment="1">
      <alignment vertical="top"/>
    </xf>
    <xf numFmtId="3" fontId="9" fillId="0" borderId="0" xfId="0" applyNumberFormat="1" applyFont="1" applyFill="1" applyAlignment="1">
      <alignment vertical="top"/>
    </xf>
    <xf numFmtId="0" fontId="13" fillId="0" borderId="0" xfId="0" applyFont="1" applyFill="1" applyAlignment="1">
      <alignment horizontal="left"/>
    </xf>
    <xf numFmtId="0" fontId="13" fillId="0" borderId="3" xfId="0" quotePrefix="1" applyFont="1" applyFill="1" applyBorder="1" applyAlignment="1">
      <alignment horizontal="left" vertical="top"/>
    </xf>
    <xf numFmtId="0" fontId="13" fillId="0" borderId="4" xfId="0" applyFont="1" applyFill="1" applyBorder="1" applyAlignment="1">
      <alignment vertical="top"/>
    </xf>
    <xf numFmtId="0" fontId="9" fillId="0" borderId="4" xfId="0" applyFont="1" applyFill="1" applyBorder="1" applyAlignment="1">
      <alignment vertical="top"/>
    </xf>
    <xf numFmtId="3" fontId="9" fillId="0" borderId="5" xfId="0" applyNumberFormat="1" applyFont="1" applyFill="1" applyBorder="1" applyAlignment="1">
      <alignment vertical="top"/>
    </xf>
    <xf numFmtId="3" fontId="9" fillId="0" borderId="0" xfId="0" applyNumberFormat="1" applyFont="1" applyFill="1" applyBorder="1" applyAlignment="1">
      <alignment vertical="top"/>
    </xf>
    <xf numFmtId="0" fontId="13" fillId="0" borderId="6"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3" fontId="9" fillId="0" borderId="7" xfId="0" applyNumberFormat="1" applyFont="1" applyFill="1" applyBorder="1" applyAlignment="1">
      <alignment vertical="top"/>
    </xf>
    <xf numFmtId="0" fontId="13" fillId="0" borderId="0" xfId="0" applyFont="1" applyFill="1" applyBorder="1" applyAlignment="1">
      <alignment horizontal="center" vertical="top"/>
    </xf>
    <xf numFmtId="0" fontId="13" fillId="0" borderId="7" xfId="0" applyFont="1" applyFill="1" applyBorder="1" applyAlignment="1">
      <alignment horizontal="center" vertical="top"/>
    </xf>
    <xf numFmtId="0" fontId="12" fillId="0" borderId="0" xfId="0" applyFont="1" applyFill="1" applyBorder="1" applyAlignment="1">
      <alignment horizontal="center" vertical="top"/>
    </xf>
    <xf numFmtId="0" fontId="13" fillId="0" borderId="1" xfId="0" applyFont="1" applyFill="1" applyBorder="1" applyAlignment="1">
      <alignment horizontal="center" vertical="top"/>
    </xf>
    <xf numFmtId="0" fontId="13" fillId="0" borderId="8" xfId="0" applyFont="1" applyFill="1" applyBorder="1" applyAlignment="1">
      <alignment horizontal="center" vertical="top"/>
    </xf>
    <xf numFmtId="0" fontId="9" fillId="0" borderId="7" xfId="0" applyFont="1" applyFill="1" applyBorder="1" applyAlignment="1">
      <alignment vertical="top"/>
    </xf>
    <xf numFmtId="42" fontId="9" fillId="0" borderId="0" xfId="0" applyNumberFormat="1" applyFont="1" applyFill="1" applyAlignment="1">
      <alignment vertical="top"/>
    </xf>
    <xf numFmtId="10" fontId="14" fillId="0" borderId="0" xfId="0" applyNumberFormat="1" applyFont="1" applyFill="1" applyBorder="1" applyAlignment="1">
      <alignment vertical="top"/>
    </xf>
    <xf numFmtId="10" fontId="14" fillId="0" borderId="7" xfId="0" applyNumberFormat="1" applyFont="1" applyFill="1" applyBorder="1" applyAlignment="1">
      <alignment vertical="top"/>
    </xf>
    <xf numFmtId="10" fontId="14" fillId="0" borderId="1" xfId="0" applyNumberFormat="1" applyFont="1" applyFill="1" applyBorder="1" applyAlignment="1">
      <alignment vertical="top"/>
    </xf>
    <xf numFmtId="10" fontId="14" fillId="0" borderId="8" xfId="0" applyNumberFormat="1" applyFont="1" applyFill="1" applyBorder="1" applyAlignment="1">
      <alignment vertical="top"/>
    </xf>
    <xf numFmtId="10" fontId="9" fillId="0" borderId="9" xfId="0" applyNumberFormat="1" applyFont="1" applyFill="1" applyBorder="1" applyAlignment="1">
      <alignment vertical="top"/>
    </xf>
    <xf numFmtId="10" fontId="9" fillId="0" borderId="0" xfId="0" applyNumberFormat="1" applyFont="1" applyFill="1" applyBorder="1" applyAlignment="1">
      <alignment vertical="top"/>
    </xf>
    <xf numFmtId="10" fontId="9" fillId="0" borderId="10" xfId="0" applyNumberFormat="1" applyFont="1" applyFill="1" applyBorder="1" applyAlignment="1">
      <alignment vertical="top"/>
    </xf>
    <xf numFmtId="3" fontId="14" fillId="0" borderId="7" xfId="0" applyNumberFormat="1" applyFont="1" applyFill="1" applyBorder="1" applyAlignment="1">
      <alignment vertical="top"/>
    </xf>
    <xf numFmtId="0" fontId="13" fillId="0" borderId="11" xfId="0" applyFont="1" applyFill="1" applyBorder="1" applyAlignment="1">
      <alignment vertical="top"/>
    </xf>
    <xf numFmtId="0" fontId="13" fillId="0" borderId="2" xfId="0" applyFont="1" applyFill="1" applyBorder="1" applyAlignment="1">
      <alignment vertical="top"/>
    </xf>
    <xf numFmtId="0" fontId="9" fillId="0" borderId="2" xfId="0" applyFont="1" applyFill="1" applyBorder="1" applyAlignment="1">
      <alignment vertical="top"/>
    </xf>
    <xf numFmtId="0" fontId="12" fillId="0" borderId="0" xfId="0" applyFont="1" applyFill="1" applyAlignment="1">
      <alignment vertical="top"/>
    </xf>
    <xf numFmtId="3" fontId="9" fillId="0" borderId="0" xfId="0" applyNumberFormat="1" applyFont="1" applyFill="1" applyAlignment="1" applyProtection="1">
      <alignment vertical="top"/>
      <protection hidden="1"/>
    </xf>
    <xf numFmtId="3" fontId="13" fillId="2" borderId="1" xfId="0" quotePrefix="1" applyNumberFormat="1" applyFont="1" applyFill="1" applyBorder="1" applyAlignment="1">
      <alignment horizontal="center" vertical="top"/>
    </xf>
    <xf numFmtId="3" fontId="13" fillId="0" borderId="1" xfId="0" quotePrefix="1" applyNumberFormat="1" applyFont="1" applyFill="1" applyBorder="1" applyAlignment="1">
      <alignment horizontal="center" vertical="top"/>
    </xf>
    <xf numFmtId="42" fontId="8" fillId="2" borderId="0" xfId="0" applyNumberFormat="1" applyFont="1" applyFill="1" applyAlignment="1">
      <alignment vertical="top"/>
    </xf>
    <xf numFmtId="44" fontId="8" fillId="0" borderId="0" xfId="0" applyNumberFormat="1" applyFont="1" applyFill="1" applyAlignment="1">
      <alignment vertical="top"/>
    </xf>
    <xf numFmtId="42" fontId="8" fillId="2" borderId="1" xfId="0" applyNumberFormat="1" applyFont="1" applyFill="1" applyBorder="1" applyAlignment="1">
      <alignment vertical="top"/>
    </xf>
    <xf numFmtId="42" fontId="8" fillId="2" borderId="0" xfId="0" applyNumberFormat="1" applyFont="1" applyFill="1" applyBorder="1" applyAlignment="1">
      <alignment vertical="top"/>
    </xf>
    <xf numFmtId="3" fontId="8" fillId="0" borderId="0" xfId="0" applyNumberFormat="1" applyFont="1" applyFill="1" applyAlignment="1">
      <alignment vertical="top"/>
    </xf>
    <xf numFmtId="5" fontId="8" fillId="2" borderId="0" xfId="0" applyNumberFormat="1" applyFont="1" applyFill="1" applyAlignment="1">
      <alignment vertical="top"/>
    </xf>
    <xf numFmtId="5" fontId="8" fillId="0" borderId="0" xfId="0" applyNumberFormat="1" applyFont="1" applyFill="1" applyAlignment="1">
      <alignment vertical="top"/>
    </xf>
    <xf numFmtId="10" fontId="8" fillId="2" borderId="0" xfId="0" applyNumberFormat="1" applyFont="1" applyFill="1" applyAlignment="1">
      <alignment vertical="top"/>
    </xf>
    <xf numFmtId="0" fontId="13" fillId="0" borderId="0" xfId="0" quotePrefix="1" applyFont="1" applyFill="1" applyAlignment="1">
      <alignment horizontal="left" vertical="top"/>
    </xf>
    <xf numFmtId="0" fontId="15" fillId="0" borderId="0" xfId="0" applyFont="1" applyFill="1" applyAlignment="1">
      <alignment vertical="top"/>
    </xf>
    <xf numFmtId="10" fontId="8" fillId="0" borderId="0" xfId="0" applyNumberFormat="1" applyFont="1" applyFill="1" applyAlignment="1" applyProtection="1">
      <alignment vertical="top"/>
    </xf>
    <xf numFmtId="10" fontId="14" fillId="0" borderId="0" xfId="0" applyNumberFormat="1" applyFont="1" applyFill="1" applyAlignment="1">
      <alignment vertical="top"/>
    </xf>
    <xf numFmtId="0" fontId="16" fillId="0" borderId="0" xfId="0" applyFont="1" applyFill="1" applyAlignment="1">
      <alignment vertical="top"/>
    </xf>
    <xf numFmtId="10" fontId="15" fillId="0" borderId="0" xfId="0" applyNumberFormat="1" applyFont="1" applyFill="1" applyAlignment="1" applyProtection="1">
      <alignment vertical="top"/>
    </xf>
    <xf numFmtId="10" fontId="8" fillId="0" borderId="0" xfId="0" applyNumberFormat="1" applyFont="1" applyFill="1"/>
    <xf numFmtId="10" fontId="16" fillId="0" borderId="0" xfId="0" applyNumberFormat="1" applyFont="1" applyFill="1" applyAlignment="1">
      <alignment vertical="top"/>
    </xf>
    <xf numFmtId="0" fontId="14" fillId="0" borderId="0" xfId="0" applyFont="1" applyFill="1" applyAlignment="1">
      <alignment vertical="top"/>
    </xf>
    <xf numFmtId="0" fontId="7" fillId="0" borderId="0" xfId="0" applyFont="1" applyFill="1"/>
    <xf numFmtId="0" fontId="10" fillId="0" borderId="0" xfId="0" applyFont="1" applyFill="1" applyAlignment="1">
      <alignment vertical="top"/>
    </xf>
    <xf numFmtId="42" fontId="14" fillId="2" borderId="12" xfId="0" applyNumberFormat="1" applyFont="1" applyFill="1" applyBorder="1" applyAlignment="1">
      <alignment vertical="top"/>
    </xf>
    <xf numFmtId="164" fontId="8" fillId="0" borderId="0" xfId="0" applyNumberFormat="1" applyFont="1" applyFill="1" applyAlignment="1" applyProtection="1">
      <alignment vertical="top"/>
    </xf>
    <xf numFmtId="164" fontId="8" fillId="2" borderId="0" xfId="0" applyNumberFormat="1" applyFont="1" applyFill="1" applyAlignment="1" applyProtection="1">
      <alignment vertical="top"/>
    </xf>
    <xf numFmtId="164" fontId="8" fillId="0" borderId="0" xfId="0" applyNumberFormat="1" applyFont="1" applyFill="1"/>
    <xf numFmtId="164" fontId="14" fillId="0" borderId="0" xfId="0" applyNumberFormat="1" applyFont="1" applyFill="1" applyAlignment="1">
      <alignment vertical="top"/>
    </xf>
    <xf numFmtId="164" fontId="15" fillId="2" borderId="0" xfId="0" applyNumberFormat="1" applyFont="1" applyFill="1" applyAlignment="1" applyProtection="1">
      <alignment vertical="top"/>
    </xf>
    <xf numFmtId="0" fontId="24" fillId="0" borderId="0" xfId="0" applyNumberFormat="1" applyFont="1" applyFill="1" applyAlignment="1"/>
    <xf numFmtId="0" fontId="25" fillId="0" borderId="0" xfId="0" applyNumberFormat="1" applyFont="1" applyFill="1" applyAlignment="1"/>
    <xf numFmtId="0" fontId="17" fillId="0" borderId="0" xfId="0" applyNumberFormat="1" applyFont="1" applyAlignment="1"/>
    <xf numFmtId="0" fontId="24" fillId="0" borderId="20" xfId="0" applyNumberFormat="1" applyFont="1" applyFill="1" applyBorder="1" applyAlignment="1">
      <alignment horizontal="right"/>
    </xf>
    <xf numFmtId="0" fontId="24" fillId="0" borderId="0" xfId="0" applyNumberFormat="1" applyFont="1" applyFill="1" applyAlignment="1">
      <alignment horizontal="centerContinuous"/>
    </xf>
    <xf numFmtId="0" fontId="24" fillId="0" borderId="0" xfId="0" applyNumberFormat="1" applyFont="1" applyFill="1" applyAlignment="1" applyProtection="1">
      <alignment horizontal="centerContinuous"/>
      <protection locked="0"/>
    </xf>
    <xf numFmtId="0" fontId="24" fillId="0" borderId="1" xfId="0" applyNumberFormat="1" applyFont="1" applyFill="1" applyBorder="1" applyAlignment="1">
      <alignment horizontal="center"/>
    </xf>
    <xf numFmtId="0" fontId="24" fillId="0" borderId="1" xfId="0" applyNumberFormat="1" applyFont="1" applyFill="1" applyBorder="1" applyAlignment="1" applyProtection="1">
      <protection locked="0"/>
    </xf>
    <xf numFmtId="0" fontId="24" fillId="0" borderId="1" xfId="0" applyNumberFormat="1" applyFont="1" applyFill="1" applyBorder="1" applyAlignment="1"/>
    <xf numFmtId="0" fontId="24" fillId="0" borderId="1" xfId="0" applyNumberFormat="1" applyFont="1" applyFill="1" applyBorder="1" applyAlignment="1">
      <alignment horizontal="righ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166" fontId="25" fillId="0" borderId="0" xfId="0" applyNumberFormat="1" applyFont="1" applyFill="1" applyAlignment="1"/>
    <xf numFmtId="167" fontId="25" fillId="0" borderId="0" xfId="0" applyNumberFormat="1" applyFont="1" applyFill="1" applyAlignment="1"/>
    <xf numFmtId="166" fontId="25" fillId="0" borderId="1" xfId="0" applyNumberFormat="1" applyFont="1" applyFill="1" applyBorder="1" applyAlignment="1"/>
    <xf numFmtId="166" fontId="25" fillId="0" borderId="0" xfId="0" applyNumberFormat="1" applyFont="1" applyFill="1" applyBorder="1" applyAlignment="1"/>
    <xf numFmtId="166" fontId="17" fillId="0" borderId="0" xfId="0" applyNumberFormat="1" applyFont="1" applyAlignment="1"/>
    <xf numFmtId="9" fontId="25" fillId="0" borderId="0" xfId="0" applyNumberFormat="1" applyFont="1" applyFill="1" applyAlignment="1"/>
    <xf numFmtId="166" fontId="25" fillId="0" borderId="14" xfId="0" applyNumberFormat="1" applyFont="1" applyFill="1" applyBorder="1" applyAlignment="1" applyProtection="1">
      <protection locked="0"/>
    </xf>
    <xf numFmtId="0" fontId="13" fillId="2" borderId="1" xfId="0" quotePrefix="1" applyNumberFormat="1" applyFont="1" applyFill="1" applyBorder="1" applyAlignment="1">
      <alignment horizontal="center" vertical="top"/>
    </xf>
    <xf numFmtId="169" fontId="8" fillId="2" borderId="0" xfId="0" applyNumberFormat="1" applyFont="1" applyFill="1" applyAlignment="1">
      <alignment vertical="top"/>
    </xf>
    <xf numFmtId="3" fontId="7" fillId="2" borderId="0" xfId="0" applyNumberFormat="1" applyFont="1" applyFill="1" applyAlignment="1">
      <alignment vertical="top"/>
    </xf>
    <xf numFmtId="0" fontId="19" fillId="0" borderId="0" xfId="0" applyFont="1" applyAlignment="1">
      <alignment horizontal="centerContinuous"/>
    </xf>
    <xf numFmtId="0" fontId="17" fillId="0" borderId="14" xfId="0" applyFont="1" applyBorder="1" applyAlignment="1">
      <alignment horizontal="center"/>
    </xf>
    <xf numFmtId="0" fontId="17" fillId="0" borderId="14" xfId="0" applyFont="1" applyFill="1" applyBorder="1"/>
    <xf numFmtId="0" fontId="17" fillId="0" borderId="0" xfId="0" applyFont="1" applyFill="1"/>
    <xf numFmtId="41" fontId="17" fillId="0" borderId="0" xfId="0" applyNumberFormat="1" applyFont="1" applyFill="1"/>
    <xf numFmtId="0" fontId="22" fillId="0" borderId="0" xfId="0" applyFont="1" applyFill="1" applyAlignment="1">
      <alignment horizontal="centerContinuous"/>
    </xf>
    <xf numFmtId="3" fontId="13" fillId="0" borderId="1" xfId="0" applyNumberFormat="1" applyFont="1" applyFill="1" applyBorder="1" applyAlignment="1">
      <alignment horizontal="center" vertical="top"/>
    </xf>
    <xf numFmtId="0" fontId="13" fillId="0" borderId="0" xfId="0" applyFont="1" applyAlignment="1">
      <alignment vertical="top"/>
    </xf>
    <xf numFmtId="3" fontId="0" fillId="0" borderId="0" xfId="0" applyNumberFormat="1" applyFont="1" applyFill="1" applyAlignment="1" applyProtection="1">
      <alignment vertical="top"/>
      <protection hidden="1"/>
    </xf>
    <xf numFmtId="0" fontId="13" fillId="0" borderId="0" xfId="0" applyFont="1" applyAlignment="1">
      <alignment horizontal="center" vertical="top"/>
    </xf>
    <xf numFmtId="42" fontId="8" fillId="0" borderId="0" xfId="0" applyNumberFormat="1" applyFont="1" applyFill="1" applyBorder="1" applyAlignment="1">
      <alignment vertical="top"/>
    </xf>
    <xf numFmtId="42" fontId="8" fillId="0" borderId="1" xfId="0" applyNumberFormat="1" applyFont="1" applyFill="1" applyBorder="1" applyAlignment="1">
      <alignment vertical="top"/>
    </xf>
    <xf numFmtId="10" fontId="8" fillId="0" borderId="0" xfId="0" applyNumberFormat="1" applyFont="1" applyFill="1" applyAlignment="1">
      <alignment vertical="top"/>
    </xf>
    <xf numFmtId="42" fontId="8" fillId="0" borderId="0" xfId="0" applyNumberFormat="1" applyFont="1" applyFill="1" applyAlignment="1">
      <alignment vertical="top"/>
    </xf>
    <xf numFmtId="37" fontId="8" fillId="0" borderId="0" xfId="0" applyNumberFormat="1" applyFont="1" applyFill="1" applyAlignment="1">
      <alignment vertical="top"/>
    </xf>
    <xf numFmtId="43" fontId="9" fillId="0" borderId="0" xfId="0" applyNumberFormat="1" applyFont="1" applyFill="1" applyAlignment="1">
      <alignment vertical="top"/>
    </xf>
    <xf numFmtId="10" fontId="9" fillId="0" borderId="0" xfId="0" applyNumberFormat="1" applyFont="1" applyFill="1" applyAlignment="1">
      <alignment vertical="top"/>
    </xf>
    <xf numFmtId="0" fontId="23" fillId="0" borderId="0" xfId="0" applyFont="1"/>
    <xf numFmtId="167" fontId="23" fillId="0" borderId="0" xfId="0" applyNumberFormat="1" applyFont="1"/>
    <xf numFmtId="0" fontId="23" fillId="0" borderId="0"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left"/>
    </xf>
    <xf numFmtId="164" fontId="23" fillId="0" borderId="14" xfId="0" applyNumberFormat="1" applyFont="1" applyBorder="1" applyAlignment="1">
      <alignment vertical="center" wrapText="1"/>
    </xf>
    <xf numFmtId="0" fontId="17" fillId="0" borderId="0" xfId="0" applyFont="1"/>
    <xf numFmtId="0" fontId="28" fillId="3" borderId="0" xfId="0" applyFont="1" applyFill="1" applyBorder="1" applyAlignment="1">
      <alignment horizontal="centerContinuous" vertical="top"/>
    </xf>
    <xf numFmtId="3" fontId="28" fillId="3" borderId="7" xfId="0" applyNumberFormat="1" applyFont="1" applyFill="1" applyBorder="1" applyAlignment="1">
      <alignment horizontal="centerContinuous" vertical="top"/>
    </xf>
    <xf numFmtId="0" fontId="9" fillId="0" borderId="0" xfId="0" applyFont="1" applyFill="1" applyAlignment="1">
      <alignment horizontal="center" vertical="top"/>
    </xf>
    <xf numFmtId="42" fontId="10" fillId="0" borderId="0" xfId="0" applyNumberFormat="1" applyFont="1" applyFill="1" applyAlignment="1">
      <alignment vertical="top"/>
    </xf>
    <xf numFmtId="165" fontId="8" fillId="0" borderId="0" xfId="0" applyNumberFormat="1" applyFont="1" applyFill="1" applyBorder="1" applyAlignment="1">
      <alignment vertical="top"/>
    </xf>
    <xf numFmtId="0" fontId="6" fillId="0" borderId="0" xfId="0" applyFont="1" applyFill="1" applyAlignment="1">
      <alignment vertical="top"/>
    </xf>
    <xf numFmtId="42" fontId="6" fillId="0" borderId="0" xfId="0" applyNumberFormat="1" applyFont="1" applyFill="1" applyAlignment="1">
      <alignment vertical="top"/>
    </xf>
    <xf numFmtId="42" fontId="6" fillId="2" borderId="0" xfId="0" applyNumberFormat="1" applyFont="1" applyFill="1" applyAlignment="1">
      <alignment vertical="top"/>
    </xf>
    <xf numFmtId="0" fontId="6" fillId="0" borderId="0" xfId="0" applyFont="1" applyFill="1"/>
    <xf numFmtId="164" fontId="6" fillId="2"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0" xfId="0" applyNumberFormat="1" applyFont="1" applyFill="1" applyAlignment="1">
      <alignment vertical="top"/>
    </xf>
    <xf numFmtId="0" fontId="6" fillId="0" borderId="0" xfId="0" applyFont="1"/>
    <xf numFmtId="42" fontId="6" fillId="0" borderId="0" xfId="0" applyNumberFormat="1" applyFont="1" applyFill="1"/>
    <xf numFmtId="10" fontId="6" fillId="0" borderId="0" xfId="0" applyNumberFormat="1" applyFont="1" applyFill="1"/>
    <xf numFmtId="0" fontId="13" fillId="0" borderId="0" xfId="0" applyFont="1" applyFill="1" applyAlignment="1">
      <alignment horizontal="center" vertical="top"/>
    </xf>
    <xf numFmtId="0" fontId="8" fillId="0" borderId="14" xfId="0" applyFont="1" applyFill="1" applyBorder="1"/>
    <xf numFmtId="0" fontId="6" fillId="0" borderId="14" xfId="0" applyFont="1" applyFill="1" applyBorder="1"/>
    <xf numFmtId="0" fontId="21" fillId="0" borderId="14" xfId="0" applyNumberFormat="1" applyFont="1" applyFill="1" applyBorder="1" applyAlignment="1"/>
    <xf numFmtId="0" fontId="13" fillId="0" borderId="0" xfId="0" applyFont="1" applyFill="1" applyAlignment="1">
      <alignment horizontal="center" vertical="top"/>
    </xf>
    <xf numFmtId="0" fontId="17" fillId="0" borderId="14" xfId="0" applyFont="1" applyBorder="1" applyAlignment="1">
      <alignment horizontal="center" wrapText="1"/>
    </xf>
    <xf numFmtId="42" fontId="17" fillId="0" borderId="14" xfId="0" applyNumberFormat="1" applyFont="1" applyFill="1" applyBorder="1"/>
    <xf numFmtId="41" fontId="17" fillId="0" borderId="23" xfId="0" applyNumberFormat="1" applyFont="1" applyFill="1" applyBorder="1"/>
    <xf numFmtId="0" fontId="4" fillId="0" borderId="14" xfId="5" applyBorder="1"/>
    <xf numFmtId="0" fontId="4" fillId="0" borderId="0" xfId="5"/>
    <xf numFmtId="0" fontId="30" fillId="0" borderId="14" xfId="5" applyFont="1" applyFill="1" applyBorder="1" applyAlignment="1">
      <alignment vertical="center"/>
    </xf>
    <xf numFmtId="0" fontId="4" fillId="4" borderId="28" xfId="5" applyFill="1" applyBorder="1" applyAlignment="1">
      <alignment wrapText="1"/>
    </xf>
    <xf numFmtId="0" fontId="4" fillId="4" borderId="28" xfId="5" applyFill="1" applyBorder="1"/>
    <xf numFmtId="0" fontId="13" fillId="0" borderId="9" xfId="0" applyFont="1" applyFill="1" applyBorder="1" applyAlignment="1">
      <alignment vertical="top"/>
    </xf>
    <xf numFmtId="0" fontId="28" fillId="5" borderId="27" xfId="5" applyFont="1" applyFill="1" applyBorder="1" applyAlignment="1">
      <alignment horizontal="center" vertical="center"/>
    </xf>
    <xf numFmtId="0" fontId="28" fillId="5" borderId="14" xfId="5" applyFont="1" applyFill="1" applyBorder="1" applyAlignment="1">
      <alignment horizontal="center" vertical="center"/>
    </xf>
    <xf numFmtId="0" fontId="18" fillId="0" borderId="14" xfId="5" applyFont="1" applyBorder="1"/>
    <xf numFmtId="0" fontId="18" fillId="0" borderId="19" xfId="5" applyFont="1" applyBorder="1" applyAlignment="1">
      <alignment horizontal="center"/>
    </xf>
    <xf numFmtId="0" fontId="21" fillId="0" borderId="0" xfId="0" applyNumberFormat="1" applyFont="1" applyFill="1" applyBorder="1" applyAlignment="1"/>
    <xf numFmtId="0" fontId="31" fillId="0" borderId="0" xfId="0" applyFont="1" applyFill="1"/>
    <xf numFmtId="0" fontId="32" fillId="0" borderId="19" xfId="0" applyFont="1" applyFill="1" applyBorder="1" applyAlignment="1">
      <alignment horizontal="centerContinuous"/>
    </xf>
    <xf numFmtId="0" fontId="32" fillId="0" borderId="31" xfId="0" applyFont="1" applyFill="1" applyBorder="1" applyAlignment="1">
      <alignment horizontal="centerContinuous"/>
    </xf>
    <xf numFmtId="0" fontId="32" fillId="0" borderId="0" xfId="0" applyFont="1" applyFill="1" applyAlignment="1">
      <alignment horizontal="centerContinuous"/>
    </xf>
    <xf numFmtId="0" fontId="31" fillId="0" borderId="0" xfId="0" applyFont="1" applyFill="1" applyAlignment="1">
      <alignment horizontal="centerContinuous"/>
    </xf>
    <xf numFmtId="0" fontId="33" fillId="0" borderId="0" xfId="0" applyNumberFormat="1" applyFont="1" applyFill="1" applyAlignment="1">
      <alignment horizontal="center"/>
    </xf>
    <xf numFmtId="0" fontId="33" fillId="0" borderId="0" xfId="0" applyFont="1" applyFill="1" applyAlignment="1">
      <alignment horizontal="center"/>
    </xf>
    <xf numFmtId="0" fontId="34" fillId="0" borderId="0" xfId="0" applyFont="1" applyFill="1"/>
    <xf numFmtId="0" fontId="33" fillId="0" borderId="1" xfId="0" applyNumberFormat="1" applyFont="1" applyFill="1" applyBorder="1" applyAlignment="1">
      <alignment horizontal="center"/>
    </xf>
    <xf numFmtId="0" fontId="33" fillId="0" borderId="1" xfId="0" applyFont="1" applyFill="1" applyBorder="1" applyAlignment="1">
      <alignment horizontal="center"/>
    </xf>
    <xf numFmtId="0" fontId="34" fillId="0" borderId="1" xfId="0" applyFont="1" applyFill="1" applyBorder="1"/>
    <xf numFmtId="0" fontId="31" fillId="0" borderId="0" xfId="0" applyNumberFormat="1" applyFont="1" applyFill="1" applyAlignment="1">
      <alignment horizontal="center"/>
    </xf>
    <xf numFmtId="0" fontId="31" fillId="0" borderId="0" xfId="0" applyNumberFormat="1" applyFont="1" applyFill="1" applyAlignment="1"/>
    <xf numFmtId="10" fontId="31" fillId="0" borderId="0" xfId="0" applyNumberFormat="1" applyFont="1" applyFill="1"/>
    <xf numFmtId="0" fontId="31" fillId="0" borderId="0" xfId="0" applyNumberFormat="1" applyFont="1" applyFill="1" applyAlignment="1">
      <alignment horizontal="left"/>
    </xf>
    <xf numFmtId="166" fontId="31" fillId="0" borderId="0" xfId="0" applyNumberFormat="1" applyFont="1" applyFill="1" applyAlignment="1"/>
    <xf numFmtId="10" fontId="31" fillId="0" borderId="15" xfId="0" applyNumberFormat="1" applyFont="1" applyFill="1" applyBorder="1"/>
    <xf numFmtId="0" fontId="31" fillId="0" borderId="15" xfId="0" applyFont="1" applyFill="1" applyBorder="1"/>
    <xf numFmtId="164" fontId="31" fillId="0" borderId="0" xfId="0" applyNumberFormat="1" applyFont="1" applyFill="1" applyAlignment="1"/>
    <xf numFmtId="166" fontId="31" fillId="0" borderId="1" xfId="0" applyNumberFormat="1" applyFont="1" applyFill="1" applyBorder="1" applyAlignment="1"/>
    <xf numFmtId="166" fontId="31" fillId="0" borderId="0" xfId="0" applyNumberFormat="1" applyFont="1" applyFill="1" applyBorder="1" applyAlignment="1"/>
    <xf numFmtId="9" fontId="31" fillId="0" borderId="0" xfId="0" applyNumberFormat="1" applyFont="1" applyFill="1" applyAlignment="1"/>
    <xf numFmtId="166" fontId="32" fillId="0" borderId="24" xfId="0" applyNumberFormat="1" applyFont="1" applyFill="1" applyBorder="1" applyAlignment="1" applyProtection="1">
      <protection locked="0"/>
    </xf>
    <xf numFmtId="168" fontId="31" fillId="0" borderId="0" xfId="0" applyNumberFormat="1" applyFont="1" applyFill="1"/>
    <xf numFmtId="0" fontId="0" fillId="0" borderId="0" xfId="0" applyFont="1" applyFill="1"/>
    <xf numFmtId="0" fontId="35" fillId="0" borderId="0" xfId="0" applyFont="1" applyFill="1"/>
    <xf numFmtId="166" fontId="31" fillId="6" borderId="0" xfId="0" applyNumberFormat="1" applyFont="1" applyFill="1" applyAlignment="1"/>
    <xf numFmtId="10" fontId="31" fillId="6" borderId="15" xfId="0" applyNumberFormat="1" applyFont="1" applyFill="1" applyBorder="1"/>
    <xf numFmtId="0" fontId="37" fillId="0" borderId="4" xfId="0" applyFont="1" applyFill="1" applyBorder="1" applyAlignment="1">
      <alignment vertical="top"/>
    </xf>
    <xf numFmtId="10" fontId="36" fillId="0" borderId="10" xfId="0" applyNumberFormat="1" applyFont="1" applyFill="1" applyBorder="1" applyAlignment="1">
      <alignment vertical="top"/>
    </xf>
    <xf numFmtId="10" fontId="6" fillId="0" borderId="0" xfId="1" applyNumberFormat="1" applyFont="1"/>
    <xf numFmtId="0" fontId="28" fillId="3" borderId="0" xfId="0" applyFont="1" applyFill="1" applyBorder="1" applyAlignment="1">
      <alignment horizontal="left" vertical="top"/>
    </xf>
    <xf numFmtId="3" fontId="14" fillId="0" borderId="0" xfId="0" applyNumberFormat="1" applyFont="1" applyFill="1" applyBorder="1" applyAlignment="1">
      <alignment vertical="top"/>
    </xf>
    <xf numFmtId="42" fontId="14" fillId="0" borderId="0" xfId="0" applyNumberFormat="1" applyFont="1" applyFill="1" applyBorder="1" applyAlignment="1">
      <alignment vertical="top"/>
    </xf>
    <xf numFmtId="3" fontId="9" fillId="0" borderId="32" xfId="0" applyNumberFormat="1" applyFont="1" applyFill="1" applyBorder="1" applyAlignment="1">
      <alignment vertical="top"/>
    </xf>
    <xf numFmtId="3" fontId="28" fillId="3" borderId="25" xfId="0" applyNumberFormat="1" applyFont="1" applyFill="1" applyBorder="1" applyAlignment="1">
      <alignment horizontal="centerContinuous" vertical="top"/>
    </xf>
    <xf numFmtId="0" fontId="13" fillId="0" borderId="25" xfId="0" applyFont="1" applyFill="1" applyBorder="1" applyAlignment="1">
      <alignment horizontal="center" vertical="top"/>
    </xf>
    <xf numFmtId="0" fontId="13" fillId="0" borderId="33" xfId="0" applyFont="1" applyFill="1" applyBorder="1" applyAlignment="1">
      <alignment horizontal="center" vertical="top"/>
    </xf>
    <xf numFmtId="0" fontId="9" fillId="0" borderId="25" xfId="0" applyFont="1" applyFill="1" applyBorder="1" applyAlignment="1">
      <alignment vertical="top"/>
    </xf>
    <xf numFmtId="10" fontId="14" fillId="0" borderId="25" xfId="0" applyNumberFormat="1" applyFont="1" applyFill="1" applyBorder="1" applyAlignment="1">
      <alignment vertical="top"/>
    </xf>
    <xf numFmtId="10" fontId="14" fillId="0" borderId="33" xfId="0" applyNumberFormat="1" applyFont="1" applyFill="1" applyBorder="1" applyAlignment="1">
      <alignment vertical="top"/>
    </xf>
    <xf numFmtId="10" fontId="36" fillId="0" borderId="34" xfId="0" applyNumberFormat="1" applyFont="1" applyFill="1" applyBorder="1" applyAlignment="1">
      <alignment vertical="top"/>
    </xf>
    <xf numFmtId="10" fontId="14" fillId="0" borderId="35" xfId="0" applyNumberFormat="1" applyFont="1" applyFill="1" applyBorder="1" applyAlignment="1">
      <alignment vertical="top"/>
    </xf>
    <xf numFmtId="44" fontId="9" fillId="0" borderId="0" xfId="0" applyNumberFormat="1" applyFont="1" applyFill="1" applyAlignment="1">
      <alignment vertical="top"/>
    </xf>
    <xf numFmtId="0" fontId="4" fillId="0" borderId="0" xfId="5" applyFill="1"/>
    <xf numFmtId="0" fontId="18" fillId="0" borderId="14" xfId="5" applyFont="1" applyFill="1" applyBorder="1" applyAlignment="1">
      <alignment wrapText="1"/>
    </xf>
    <xf numFmtId="0" fontId="18" fillId="0" borderId="14" xfId="5" applyFont="1" applyFill="1" applyBorder="1"/>
    <xf numFmtId="0" fontId="38" fillId="0" borderId="14" xfId="5" applyFont="1" applyFill="1" applyBorder="1"/>
    <xf numFmtId="0" fontId="38" fillId="0" borderId="0" xfId="5" applyFont="1" applyFill="1"/>
    <xf numFmtId="10" fontId="38" fillId="0" borderId="0" xfId="5" applyNumberFormat="1" applyFont="1" applyFill="1" applyBorder="1"/>
    <xf numFmtId="0" fontId="39" fillId="0" borderId="14" xfId="5" applyFont="1" applyFill="1" applyBorder="1"/>
    <xf numFmtId="44" fontId="38" fillId="0" borderId="0" xfId="5" applyNumberFormat="1" applyFont="1" applyFill="1"/>
    <xf numFmtId="0" fontId="38" fillId="0" borderId="28" xfId="5" applyFont="1" applyFill="1" applyBorder="1"/>
    <xf numFmtId="0" fontId="4" fillId="0" borderId="14" xfId="5" applyFill="1" applyBorder="1"/>
    <xf numFmtId="0" fontId="0" fillId="0" borderId="0" xfId="0" applyFill="1"/>
    <xf numFmtId="0" fontId="12" fillId="0" borderId="4" xfId="0" applyFont="1" applyFill="1" applyBorder="1" applyAlignment="1">
      <alignment horizontal="centerContinuous"/>
    </xf>
    <xf numFmtId="0" fontId="12" fillId="0" borderId="5" xfId="0" applyFont="1" applyFill="1" applyBorder="1" applyAlignment="1">
      <alignment horizontal="centerContinuous"/>
    </xf>
    <xf numFmtId="43" fontId="26" fillId="0" borderId="0" xfId="0" applyNumberFormat="1" applyFont="1" applyFill="1" applyBorder="1" applyAlignment="1">
      <alignment horizontal="center"/>
    </xf>
    <xf numFmtId="0" fontId="27" fillId="0" borderId="6" xfId="0" applyFont="1" applyFill="1" applyBorder="1"/>
    <xf numFmtId="0" fontId="27" fillId="0" borderId="0" xfId="0" applyFont="1" applyFill="1" applyBorder="1"/>
    <xf numFmtId="0" fontId="27" fillId="0" borderId="7" xfId="0" applyFont="1" applyFill="1" applyBorder="1"/>
    <xf numFmtId="0" fontId="27" fillId="0" borderId="6" xfId="0" applyFont="1" applyFill="1" applyBorder="1" applyAlignment="1">
      <alignment horizontal="left"/>
    </xf>
    <xf numFmtId="10" fontId="27" fillId="0" borderId="0" xfId="0" applyNumberFormat="1" applyFont="1" applyFill="1" applyBorder="1"/>
    <xf numFmtId="10" fontId="27" fillId="0" borderId="7" xfId="0" applyNumberFormat="1" applyFont="1" applyFill="1" applyBorder="1"/>
    <xf numFmtId="0" fontId="27" fillId="0" borderId="11" xfId="0" applyFont="1" applyFill="1" applyBorder="1" applyAlignment="1">
      <alignment horizontal="left"/>
    </xf>
    <xf numFmtId="0" fontId="27" fillId="0" borderId="2" xfId="0" applyFont="1" applyFill="1" applyBorder="1"/>
    <xf numFmtId="10" fontId="27" fillId="0" borderId="2" xfId="0" applyNumberFormat="1" applyFont="1" applyFill="1" applyBorder="1"/>
    <xf numFmtId="10" fontId="27" fillId="0" borderId="12" xfId="0" applyNumberFormat="1" applyFont="1" applyFill="1" applyBorder="1"/>
    <xf numFmtId="0" fontId="22" fillId="0" borderId="0" xfId="9" applyFont="1"/>
    <xf numFmtId="0" fontId="3" fillId="0" borderId="0" xfId="9"/>
    <xf numFmtId="0" fontId="30" fillId="0" borderId="36" xfId="9" applyFont="1" applyFill="1" applyBorder="1" applyAlignment="1">
      <alignment horizontal="center" vertical="center"/>
    </xf>
    <xf numFmtId="0" fontId="30" fillId="0" borderId="14" xfId="9" applyFont="1" applyFill="1" applyBorder="1" applyAlignment="1">
      <alignment horizontal="center" vertical="center"/>
    </xf>
    <xf numFmtId="0" fontId="18" fillId="0" borderId="14" xfId="9" applyFont="1" applyFill="1" applyBorder="1" applyAlignment="1">
      <alignment horizontal="center" wrapText="1"/>
    </xf>
    <xf numFmtId="0" fontId="18" fillId="0" borderId="14" xfId="9" applyFont="1" applyFill="1" applyBorder="1" applyAlignment="1">
      <alignment wrapText="1"/>
    </xf>
    <xf numFmtId="0" fontId="18" fillId="0" borderId="37" xfId="9" applyFont="1" applyFill="1" applyBorder="1" applyAlignment="1">
      <alignment wrapText="1"/>
    </xf>
    <xf numFmtId="0" fontId="29" fillId="0" borderId="36" xfId="9" applyFont="1" applyFill="1" applyBorder="1" applyAlignment="1">
      <alignment vertical="center"/>
    </xf>
    <xf numFmtId="0" fontId="29" fillId="0" borderId="14" xfId="9" applyFont="1" applyFill="1" applyBorder="1" applyAlignment="1">
      <alignment vertical="center"/>
    </xf>
    <xf numFmtId="168" fontId="0" fillId="0" borderId="38" xfId="10" applyNumberFormat="1" applyFont="1" applyFill="1" applyBorder="1"/>
    <xf numFmtId="0" fontId="29" fillId="0" borderId="39" xfId="9" applyFont="1" applyFill="1" applyBorder="1" applyAlignment="1">
      <alignment vertical="center"/>
    </xf>
    <xf numFmtId="168" fontId="0" fillId="0" borderId="40" xfId="10" applyNumberFormat="1" applyFont="1" applyFill="1" applyBorder="1"/>
    <xf numFmtId="0" fontId="30" fillId="0" borderId="41" xfId="9" applyFont="1" applyFill="1" applyBorder="1" applyAlignment="1">
      <alignment vertical="center"/>
    </xf>
    <xf numFmtId="0" fontId="30" fillId="0" borderId="18" xfId="9" applyFont="1" applyFill="1" applyBorder="1" applyAlignment="1">
      <alignment vertical="center"/>
    </xf>
    <xf numFmtId="168" fontId="18" fillId="0" borderId="38" xfId="10" applyNumberFormat="1" applyFont="1" applyFill="1" applyBorder="1"/>
    <xf numFmtId="0" fontId="3" fillId="0" borderId="6" xfId="9" applyFill="1" applyBorder="1"/>
    <xf numFmtId="0" fontId="3" fillId="0" borderId="0" xfId="9" applyFill="1" applyBorder="1"/>
    <xf numFmtId="0" fontId="3" fillId="0" borderId="7" xfId="9" applyFill="1" applyBorder="1"/>
    <xf numFmtId="0" fontId="30" fillId="0" borderId="42" xfId="9" applyFont="1" applyFill="1" applyBorder="1" applyAlignment="1">
      <alignment horizontal="center" vertical="center"/>
    </xf>
    <xf numFmtId="0" fontId="30" fillId="0" borderId="43" xfId="9" applyFont="1" applyFill="1" applyBorder="1" applyAlignment="1">
      <alignment horizontal="center" vertical="center"/>
    </xf>
    <xf numFmtId="0" fontId="3" fillId="0" borderId="41" xfId="9" applyFill="1" applyBorder="1"/>
    <xf numFmtId="0" fontId="29" fillId="0" borderId="19" xfId="11" applyFont="1" applyBorder="1" applyAlignment="1">
      <alignment vertical="center"/>
    </xf>
    <xf numFmtId="0" fontId="29" fillId="0" borderId="28" xfId="9" applyFont="1" applyBorder="1" applyAlignment="1">
      <alignment vertical="center"/>
    </xf>
    <xf numFmtId="0" fontId="30" fillId="0" borderId="44" xfId="9" applyFont="1" applyBorder="1" applyAlignment="1">
      <alignment vertical="center"/>
    </xf>
    <xf numFmtId="168" fontId="18" fillId="0" borderId="38" xfId="10" applyNumberFormat="1" applyFont="1" applyBorder="1"/>
    <xf numFmtId="0" fontId="3" fillId="0" borderId="0" xfId="9" applyBorder="1"/>
    <xf numFmtId="0" fontId="29" fillId="0" borderId="19" xfId="5" applyFont="1" applyFill="1" applyBorder="1" applyAlignment="1">
      <alignment vertical="center"/>
    </xf>
    <xf numFmtId="0" fontId="13" fillId="0" borderId="0" xfId="0" applyFont="1" applyBorder="1" applyAlignment="1">
      <alignment vertical="top"/>
    </xf>
    <xf numFmtId="3" fontId="13" fillId="0" borderId="0" xfId="0" applyNumberFormat="1" applyFont="1" applyFill="1" applyBorder="1" applyAlignment="1">
      <alignment horizontal="center" vertical="top"/>
    </xf>
    <xf numFmtId="0" fontId="13" fillId="0" borderId="16" xfId="0" applyFont="1" applyFill="1" applyBorder="1" applyAlignment="1">
      <alignment vertical="top"/>
    </xf>
    <xf numFmtId="0" fontId="13" fillId="0" borderId="0" xfId="0" applyFont="1" applyFill="1" applyAlignment="1">
      <alignment horizontal="center" vertical="top"/>
    </xf>
    <xf numFmtId="0" fontId="13" fillId="0" borderId="0" xfId="0" applyFont="1" applyFill="1" applyAlignment="1">
      <alignment horizontal="center" vertical="top"/>
    </xf>
    <xf numFmtId="0" fontId="7" fillId="0" borderId="0" xfId="0" applyFont="1"/>
    <xf numFmtId="3" fontId="44" fillId="0" borderId="0" xfId="0" applyNumberFormat="1" applyFont="1" applyFill="1" applyAlignment="1">
      <alignment vertical="top"/>
    </xf>
    <xf numFmtId="0" fontId="3" fillId="0" borderId="0" xfId="9" applyFill="1"/>
    <xf numFmtId="0" fontId="3" fillId="0" borderId="0" xfId="9" applyFill="1" applyAlignment="1">
      <alignment horizontal="centerContinuous"/>
    </xf>
    <xf numFmtId="0" fontId="40" fillId="0" borderId="16" xfId="9" applyFont="1" applyBorder="1"/>
    <xf numFmtId="0" fontId="3" fillId="0" borderId="13" xfId="9" applyBorder="1"/>
    <xf numFmtId="0" fontId="42" fillId="0" borderId="13" xfId="9" applyFont="1" applyFill="1" applyBorder="1" applyAlignment="1">
      <alignment horizontal="centerContinuous"/>
    </xf>
    <xf numFmtId="0" fontId="43" fillId="0" borderId="17" xfId="9" applyFont="1" applyFill="1" applyBorder="1" applyAlignment="1">
      <alignment horizontal="centerContinuous"/>
    </xf>
    <xf numFmtId="0" fontId="18" fillId="0" borderId="19" xfId="9" applyFont="1" applyFill="1" applyBorder="1" applyAlignment="1">
      <alignment horizontal="center" wrapText="1"/>
    </xf>
    <xf numFmtId="168" fontId="0" fillId="0" borderId="0" xfId="10" applyNumberFormat="1" applyFont="1" applyFill="1" applyBorder="1"/>
    <xf numFmtId="0" fontId="46" fillId="0" borderId="0" xfId="9" applyFont="1" applyFill="1" applyBorder="1" applyAlignment="1">
      <alignment horizontal="centerContinuous"/>
    </xf>
    <xf numFmtId="0" fontId="28" fillId="5" borderId="16" xfId="9" applyFont="1" applyFill="1" applyBorder="1" applyAlignment="1">
      <alignment horizontal="centerContinuous" vertical="center"/>
    </xf>
    <xf numFmtId="0" fontId="46" fillId="5" borderId="13" xfId="9" applyFont="1" applyFill="1" applyBorder="1" applyAlignment="1">
      <alignment horizontal="centerContinuous"/>
    </xf>
    <xf numFmtId="0" fontId="46" fillId="5" borderId="17" xfId="9" applyFont="1" applyFill="1" applyBorder="1" applyAlignment="1">
      <alignment horizontal="centerContinuous"/>
    </xf>
    <xf numFmtId="0" fontId="46" fillId="5" borderId="0" xfId="9" applyFont="1" applyFill="1" applyBorder="1" applyAlignment="1">
      <alignment horizontal="centerContinuous"/>
    </xf>
    <xf numFmtId="0" fontId="3" fillId="5" borderId="17" xfId="9" applyFill="1" applyBorder="1" applyAlignment="1">
      <alignment horizontal="centerContinuous"/>
    </xf>
    <xf numFmtId="0" fontId="30" fillId="0" borderId="39" xfId="9" applyFont="1" applyFill="1" applyBorder="1" applyAlignment="1">
      <alignment vertical="center"/>
    </xf>
    <xf numFmtId="0" fontId="30" fillId="0" borderId="28" xfId="9" applyFont="1" applyFill="1" applyBorder="1" applyAlignment="1">
      <alignment vertical="center"/>
    </xf>
    <xf numFmtId="168" fontId="18" fillId="0" borderId="40" xfId="10" applyNumberFormat="1" applyFont="1" applyFill="1" applyBorder="1"/>
    <xf numFmtId="168" fontId="18" fillId="0" borderId="1" xfId="10" applyNumberFormat="1" applyFont="1" applyFill="1" applyBorder="1"/>
    <xf numFmtId="0" fontId="18" fillId="0" borderId="46" xfId="9" applyFont="1" applyFill="1" applyBorder="1" applyAlignment="1">
      <alignment wrapText="1"/>
    </xf>
    <xf numFmtId="168" fontId="0" fillId="0" borderId="1" xfId="10" applyNumberFormat="1" applyFont="1" applyFill="1" applyBorder="1"/>
    <xf numFmtId="168" fontId="0" fillId="0" borderId="15" xfId="10" applyNumberFormat="1" applyFont="1" applyFill="1" applyBorder="1"/>
    <xf numFmtId="168" fontId="18" fillId="0" borderId="29" xfId="10" applyNumberFormat="1" applyFont="1" applyFill="1" applyBorder="1"/>
    <xf numFmtId="0" fontId="29" fillId="0" borderId="36" xfId="5" applyFont="1" applyBorder="1" applyAlignment="1">
      <alignment vertical="center"/>
    </xf>
    <xf numFmtId="168" fontId="3" fillId="0" borderId="40" xfId="9" applyNumberFormat="1" applyFill="1" applyBorder="1"/>
    <xf numFmtId="0" fontId="46" fillId="5" borderId="6" xfId="9" applyFont="1" applyFill="1" applyBorder="1" applyAlignment="1">
      <alignment horizontal="centerContinuous"/>
    </xf>
    <xf numFmtId="0" fontId="46" fillId="5" borderId="7" xfId="9" applyFont="1" applyFill="1" applyBorder="1" applyAlignment="1">
      <alignment horizontal="centerContinuous"/>
    </xf>
    <xf numFmtId="0" fontId="19" fillId="0" borderId="0" xfId="0" applyFont="1" applyFill="1" applyAlignment="1">
      <alignment horizontal="centerContinuous"/>
    </xf>
    <xf numFmtId="10" fontId="20" fillId="0" borderId="14" xfId="5" applyNumberFormat="1" applyFont="1" applyFill="1" applyBorder="1"/>
    <xf numFmtId="165" fontId="47" fillId="0" borderId="26" xfId="6" applyNumberFormat="1" applyFont="1" applyFill="1" applyBorder="1"/>
    <xf numFmtId="0" fontId="20" fillId="0" borderId="14" xfId="5" applyFont="1" applyFill="1" applyBorder="1"/>
    <xf numFmtId="0" fontId="20" fillId="0" borderId="0" xfId="5" applyFont="1" applyFill="1"/>
    <xf numFmtId="165" fontId="47" fillId="0" borderId="14" xfId="6" applyNumberFormat="1" applyFont="1" applyFill="1" applyBorder="1"/>
    <xf numFmtId="165" fontId="20" fillId="0" borderId="28" xfId="8" applyNumberFormat="1" applyFont="1" applyFill="1" applyBorder="1"/>
    <xf numFmtId="165" fontId="17" fillId="0" borderId="14" xfId="6" applyNumberFormat="1" applyFont="1" applyFill="1" applyBorder="1"/>
    <xf numFmtId="42" fontId="17" fillId="0" borderId="23" xfId="0" applyNumberFormat="1" applyFont="1" applyFill="1" applyBorder="1"/>
    <xf numFmtId="0" fontId="29" fillId="0" borderId="14" xfId="5" applyFont="1" applyFill="1" applyBorder="1" applyAlignment="1">
      <alignment vertical="center"/>
    </xf>
    <xf numFmtId="0" fontId="30" fillId="0" borderId="26" xfId="5" applyFont="1" applyFill="1" applyBorder="1" applyAlignment="1">
      <alignment vertical="center"/>
    </xf>
    <xf numFmtId="0" fontId="30" fillId="0" borderId="21" xfId="5" applyFont="1" applyFill="1" applyBorder="1" applyAlignment="1">
      <alignment vertical="center"/>
    </xf>
    <xf numFmtId="0" fontId="48" fillId="0" borderId="0" xfId="5" applyFont="1" applyFill="1"/>
    <xf numFmtId="44" fontId="17" fillId="0" borderId="14" xfId="6" applyFont="1" applyFill="1" applyBorder="1"/>
    <xf numFmtId="0" fontId="38" fillId="0" borderId="14" xfId="5" applyFont="1" applyFill="1" applyBorder="1" applyAlignment="1">
      <alignment horizontal="center"/>
    </xf>
    <xf numFmtId="3" fontId="20" fillId="0" borderId="14" xfId="5" applyNumberFormat="1" applyFont="1" applyFill="1" applyBorder="1"/>
    <xf numFmtId="41" fontId="17" fillId="0" borderId="14" xfId="6" applyNumberFormat="1" applyFont="1" applyFill="1" applyBorder="1"/>
    <xf numFmtId="0" fontId="18" fillId="0" borderId="19" xfId="5" applyFont="1" applyFill="1" applyBorder="1"/>
    <xf numFmtId="10" fontId="17" fillId="0" borderId="14" xfId="7" applyNumberFormat="1" applyFont="1" applyFill="1" applyBorder="1"/>
    <xf numFmtId="42" fontId="20" fillId="0" borderId="14" xfId="5" applyNumberFormat="1" applyFont="1" applyFill="1" applyBorder="1"/>
    <xf numFmtId="0" fontId="39" fillId="7" borderId="14" xfId="5" applyFont="1" applyFill="1" applyBorder="1" applyAlignment="1">
      <alignment horizontal="centerContinuous"/>
    </xf>
    <xf numFmtId="0" fontId="4" fillId="7" borderId="14" xfId="5" applyFill="1" applyBorder="1" applyAlignment="1">
      <alignment horizontal="centerContinuous"/>
    </xf>
    <xf numFmtId="42" fontId="22" fillId="0" borderId="29" xfId="0" applyNumberFormat="1" applyFont="1" applyFill="1" applyBorder="1" applyAlignment="1">
      <alignment horizontal="left"/>
    </xf>
    <xf numFmtId="0" fontId="22" fillId="0" borderId="0" xfId="0" applyFont="1" applyFill="1" applyAlignment="1">
      <alignment horizontal="center"/>
    </xf>
    <xf numFmtId="3" fontId="45" fillId="0" borderId="1" xfId="0" applyNumberFormat="1" applyFont="1" applyFill="1" applyBorder="1" applyAlignment="1">
      <alignment horizontal="center" vertical="top"/>
    </xf>
    <xf numFmtId="0" fontId="13" fillId="0" borderId="13" xfId="0" applyFont="1" applyFill="1" applyBorder="1" applyAlignment="1">
      <alignment vertical="top"/>
    </xf>
    <xf numFmtId="44" fontId="13" fillId="0" borderId="13" xfId="8" applyFont="1" applyFill="1" applyBorder="1" applyAlignment="1">
      <alignment horizontal="center" vertical="top"/>
    </xf>
    <xf numFmtId="0" fontId="8" fillId="0" borderId="0" xfId="0" applyFont="1" applyFill="1" applyAlignment="1">
      <alignment vertical="top"/>
    </xf>
    <xf numFmtId="42" fontId="6" fillId="0" borderId="0" xfId="0" applyNumberFormat="1" applyFont="1" applyFill="1" applyBorder="1"/>
    <xf numFmtId="42" fontId="6" fillId="0" borderId="1" xfId="0" applyNumberFormat="1" applyFont="1" applyFill="1" applyBorder="1"/>
    <xf numFmtId="0" fontId="8" fillId="0" borderId="0" xfId="0" applyFont="1" applyFill="1" applyBorder="1" applyAlignment="1">
      <alignment vertical="top"/>
    </xf>
    <xf numFmtId="3" fontId="8" fillId="0" borderId="9" xfId="0" applyNumberFormat="1" applyFont="1" applyFill="1" applyBorder="1" applyAlignment="1">
      <alignment vertical="top"/>
    </xf>
    <xf numFmtId="42" fontId="6" fillId="0" borderId="9" xfId="0" applyNumberFormat="1" applyFont="1" applyFill="1" applyBorder="1"/>
    <xf numFmtId="10" fontId="8" fillId="0" borderId="1" xfId="0" applyNumberFormat="1" applyFont="1" applyFill="1" applyBorder="1" applyAlignment="1">
      <alignment vertical="top"/>
    </xf>
    <xf numFmtId="167" fontId="8" fillId="0" borderId="0" xfId="0" applyNumberFormat="1" applyFont="1" applyFill="1" applyAlignment="1" applyProtection="1">
      <alignment vertical="top"/>
    </xf>
    <xf numFmtId="167" fontId="6" fillId="0" borderId="0" xfId="0" applyNumberFormat="1" applyFont="1" applyFill="1"/>
    <xf numFmtId="0" fontId="18" fillId="7" borderId="36" xfId="9" applyFont="1" applyFill="1" applyBorder="1" applyAlignment="1">
      <alignment horizontal="center" wrapText="1"/>
    </xf>
    <xf numFmtId="0" fontId="22" fillId="7" borderId="29" xfId="0" applyFont="1" applyFill="1" applyBorder="1" applyAlignment="1">
      <alignment horizontal="left"/>
    </xf>
    <xf numFmtId="0" fontId="22" fillId="7" borderId="29" xfId="0" applyFont="1" applyFill="1" applyBorder="1" applyAlignment="1">
      <alignment horizontal="centerContinuous"/>
    </xf>
    <xf numFmtId="42" fontId="22" fillId="7" borderId="29" xfId="0" applyNumberFormat="1" applyFont="1" applyFill="1" applyBorder="1" applyAlignment="1">
      <alignment horizontal="left"/>
    </xf>
    <xf numFmtId="41" fontId="17" fillId="0" borderId="47" xfId="6" applyNumberFormat="1" applyFont="1" applyFill="1" applyBorder="1"/>
    <xf numFmtId="3" fontId="20" fillId="0" borderId="47" xfId="5" applyNumberFormat="1" applyFont="1" applyFill="1" applyBorder="1"/>
    <xf numFmtId="0" fontId="26" fillId="0" borderId="30" xfId="0" applyFont="1" applyFill="1" applyBorder="1" applyAlignment="1">
      <alignment horizontal="center"/>
    </xf>
    <xf numFmtId="0" fontId="26" fillId="0" borderId="1" xfId="0" applyFont="1" applyFill="1" applyBorder="1" applyAlignment="1">
      <alignment horizontal="center"/>
    </xf>
    <xf numFmtId="43" fontId="26" fillId="0" borderId="1" xfId="0" applyNumberFormat="1" applyFont="1" applyFill="1" applyBorder="1" applyAlignment="1">
      <alignment horizontal="center"/>
    </xf>
    <xf numFmtId="0" fontId="26" fillId="0" borderId="8" xfId="0" applyFont="1" applyFill="1" applyBorder="1" applyAlignment="1">
      <alignment horizontal="center"/>
    </xf>
    <xf numFmtId="0" fontId="26" fillId="0" borderId="15" xfId="0" applyFont="1" applyFill="1" applyBorder="1" applyAlignment="1">
      <alignment horizontal="center"/>
    </xf>
    <xf numFmtId="43" fontId="26" fillId="0" borderId="15" xfId="0" applyNumberFormat="1" applyFont="1" applyFill="1" applyBorder="1" applyAlignment="1">
      <alignment horizontal="center" wrapText="1"/>
    </xf>
    <xf numFmtId="0" fontId="26" fillId="0" borderId="48" xfId="0" applyFont="1" applyFill="1" applyBorder="1" applyAlignment="1">
      <alignment horizontal="center"/>
    </xf>
    <xf numFmtId="0" fontId="26" fillId="0" borderId="49" xfId="0" applyFont="1" applyFill="1" applyBorder="1" applyAlignment="1">
      <alignment horizontal="center" wrapText="1"/>
    </xf>
    <xf numFmtId="0" fontId="42" fillId="0" borderId="3" xfId="0" applyFont="1" applyFill="1" applyBorder="1" applyAlignment="1">
      <alignment horizontal="centerContinuous"/>
    </xf>
    <xf numFmtId="0" fontId="49" fillId="5" borderId="0" xfId="0" applyFont="1" applyFill="1" applyAlignment="1">
      <alignment horizontal="centerContinuous"/>
    </xf>
    <xf numFmtId="0" fontId="41" fillId="0" borderId="0" xfId="0" applyFont="1" applyFill="1"/>
    <xf numFmtId="0" fontId="50" fillId="0" borderId="0" xfId="0" applyFont="1" applyFill="1"/>
    <xf numFmtId="0" fontId="51" fillId="0" borderId="0" xfId="5" applyFont="1" applyFill="1"/>
    <xf numFmtId="0" fontId="52" fillId="0" borderId="0" xfId="5" applyFont="1"/>
    <xf numFmtId="0" fontId="53" fillId="0" borderId="0" xfId="5" applyFont="1"/>
    <xf numFmtId="0" fontId="54" fillId="0" borderId="0" xfId="5" applyFont="1"/>
    <xf numFmtId="0" fontId="51" fillId="0" borderId="0" xfId="5" applyFont="1"/>
    <xf numFmtId="168" fontId="0" fillId="0" borderId="14" xfId="10" applyNumberFormat="1" applyFont="1" applyFill="1" applyBorder="1"/>
    <xf numFmtId="168" fontId="3" fillId="0" borderId="14" xfId="9" applyNumberFormat="1" applyFill="1" applyBorder="1"/>
    <xf numFmtId="168" fontId="0" fillId="0" borderId="28" xfId="10" applyNumberFormat="1" applyFont="1" applyFill="1" applyBorder="1"/>
    <xf numFmtId="168" fontId="18" fillId="0" borderId="18" xfId="10" applyNumberFormat="1" applyFont="1" applyFill="1" applyBorder="1"/>
    <xf numFmtId="43" fontId="18" fillId="0" borderId="18" xfId="9" applyNumberFormat="1" applyFont="1" applyFill="1" applyBorder="1"/>
    <xf numFmtId="168" fontId="3" fillId="0" borderId="36" xfId="9" applyNumberFormat="1" applyFill="1" applyBorder="1"/>
    <xf numFmtId="168" fontId="0" fillId="0" borderId="44" xfId="10" applyNumberFormat="1" applyFont="1" applyFill="1" applyBorder="1"/>
    <xf numFmtId="168" fontId="0" fillId="0" borderId="39" xfId="10" applyNumberFormat="1" applyFont="1" applyFill="1" applyBorder="1"/>
    <xf numFmtId="168" fontId="0" fillId="0" borderId="45" xfId="10" applyNumberFormat="1" applyFont="1" applyFill="1" applyBorder="1"/>
    <xf numFmtId="43" fontId="18" fillId="0" borderId="41" xfId="9" applyNumberFormat="1" applyFont="1" applyFill="1" applyBorder="1"/>
    <xf numFmtId="168" fontId="18" fillId="0" borderId="44" xfId="10" applyNumberFormat="1" applyFont="1" applyFill="1" applyBorder="1"/>
    <xf numFmtId="168" fontId="0" fillId="0" borderId="18" xfId="10" applyNumberFormat="1" applyFont="1" applyFill="1" applyBorder="1"/>
    <xf numFmtId="168" fontId="3" fillId="0" borderId="28" xfId="9" applyNumberFormat="1" applyFill="1" applyBorder="1"/>
    <xf numFmtId="168" fontId="18" fillId="0" borderId="28" xfId="10" applyNumberFormat="1" applyFont="1" applyFill="1" applyBorder="1"/>
    <xf numFmtId="168" fontId="0" fillId="0" borderId="41" xfId="10" applyNumberFormat="1" applyFont="1" applyFill="1" applyBorder="1"/>
    <xf numFmtId="168" fontId="18" fillId="0" borderId="41" xfId="10" applyNumberFormat="1" applyFont="1" applyFill="1" applyBorder="1"/>
    <xf numFmtId="168" fontId="18" fillId="0" borderId="39" xfId="10" applyNumberFormat="1" applyFont="1" applyFill="1" applyBorder="1"/>
    <xf numFmtId="168" fontId="18" fillId="0" borderId="45" xfId="10" applyNumberFormat="1" applyFont="1" applyFill="1" applyBorder="1"/>
    <xf numFmtId="10" fontId="38" fillId="0" borderId="14" xfId="5" applyNumberFormat="1" applyFont="1" applyFill="1" applyBorder="1"/>
    <xf numFmtId="44" fontId="38" fillId="0" borderId="14" xfId="5" applyNumberFormat="1" applyFont="1" applyFill="1" applyBorder="1"/>
    <xf numFmtId="43" fontId="38" fillId="0" borderId="14" xfId="5" applyNumberFormat="1" applyFont="1" applyFill="1" applyBorder="1"/>
    <xf numFmtId="10" fontId="38" fillId="0" borderId="19" xfId="5" applyNumberFormat="1" applyFont="1" applyFill="1" applyBorder="1"/>
    <xf numFmtId="165" fontId="39" fillId="0" borderId="47" xfId="6" applyNumberFormat="1" applyFont="1" applyFill="1" applyBorder="1"/>
    <xf numFmtId="0" fontId="38" fillId="0" borderId="47" xfId="5" applyFont="1" applyFill="1" applyBorder="1"/>
    <xf numFmtId="10" fontId="38" fillId="0" borderId="14" xfId="1" applyNumberFormat="1" applyFont="1" applyFill="1" applyBorder="1"/>
    <xf numFmtId="0" fontId="3" fillId="0" borderId="14" xfId="9" applyFill="1" applyBorder="1"/>
    <xf numFmtId="0" fontId="18" fillId="0" borderId="0" xfId="5" applyFont="1" applyFill="1" applyBorder="1"/>
    <xf numFmtId="165" fontId="17" fillId="0" borderId="0" xfId="6" applyNumberFormat="1" applyFont="1" applyFill="1" applyBorder="1"/>
    <xf numFmtId="165" fontId="47" fillId="0" borderId="0" xfId="6" applyNumberFormat="1" applyFont="1" applyFill="1" applyBorder="1"/>
    <xf numFmtId="10" fontId="20" fillId="0" borderId="0" xfId="5" applyNumberFormat="1" applyFont="1" applyFill="1" applyBorder="1"/>
    <xf numFmtId="10" fontId="19" fillId="0" borderId="14" xfId="0" applyNumberFormat="1" applyFont="1" applyFill="1" applyBorder="1"/>
    <xf numFmtId="10" fontId="8" fillId="0" borderId="14" xfId="5" applyNumberFormat="1" applyFont="1" applyFill="1" applyBorder="1"/>
    <xf numFmtId="10" fontId="19" fillId="2" borderId="14" xfId="0" applyNumberFormat="1" applyFont="1" applyFill="1" applyBorder="1"/>
    <xf numFmtId="10" fontId="8" fillId="2" borderId="14" xfId="5" applyNumberFormat="1" applyFont="1" applyFill="1" applyBorder="1"/>
    <xf numFmtId="0" fontId="13" fillId="2" borderId="0" xfId="0" applyFont="1" applyFill="1" applyAlignment="1">
      <alignment vertical="top"/>
    </xf>
    <xf numFmtId="0" fontId="30" fillId="0" borderId="6" xfId="9" applyFont="1" applyFill="1" applyBorder="1" applyAlignment="1">
      <alignment vertical="center"/>
    </xf>
    <xf numFmtId="0" fontId="30" fillId="0" borderId="0" xfId="9" applyFont="1" applyFill="1" applyBorder="1" applyAlignment="1">
      <alignment vertical="center"/>
    </xf>
    <xf numFmtId="168" fontId="18" fillId="0" borderId="0" xfId="10" applyNumberFormat="1" applyFont="1" applyFill="1" applyBorder="1"/>
    <xf numFmtId="43" fontId="18" fillId="0" borderId="0" xfId="9" applyNumberFormat="1" applyFont="1" applyFill="1" applyBorder="1"/>
    <xf numFmtId="168" fontId="18" fillId="0" borderId="7" xfId="10" applyNumberFormat="1" applyFont="1" applyFill="1" applyBorder="1"/>
    <xf numFmtId="43" fontId="18" fillId="0" borderId="6" xfId="9" applyNumberFormat="1" applyFont="1" applyFill="1" applyBorder="1"/>
    <xf numFmtId="0" fontId="30" fillId="0" borderId="36" xfId="9" applyFont="1" applyFill="1" applyBorder="1" applyAlignment="1">
      <alignment vertical="center"/>
    </xf>
    <xf numFmtId="168" fontId="19" fillId="0" borderId="14" xfId="10" applyNumberFormat="1" applyFont="1" applyFill="1" applyBorder="1"/>
    <xf numFmtId="168" fontId="18" fillId="0" borderId="14" xfId="9" applyNumberFormat="1" applyFont="1" applyFill="1" applyBorder="1"/>
    <xf numFmtId="168" fontId="19" fillId="0" borderId="38" xfId="10" applyNumberFormat="1" applyFont="1" applyFill="1" applyBorder="1"/>
    <xf numFmtId="168" fontId="19" fillId="0" borderId="1" xfId="10" applyNumberFormat="1" applyFont="1" applyFill="1" applyBorder="1"/>
    <xf numFmtId="168" fontId="18" fillId="0" borderId="36" xfId="9" applyNumberFormat="1" applyFont="1" applyFill="1" applyBorder="1"/>
    <xf numFmtId="168" fontId="19" fillId="0" borderId="44" xfId="10" applyNumberFormat="1" applyFont="1" applyFill="1" applyBorder="1"/>
    <xf numFmtId="10" fontId="30" fillId="0" borderId="14" xfId="9" applyNumberFormat="1" applyFont="1" applyFill="1" applyBorder="1" applyAlignment="1">
      <alignment vertical="center"/>
    </xf>
    <xf numFmtId="0" fontId="22" fillId="2" borderId="0" xfId="0" applyFont="1" applyFill="1" applyAlignment="1">
      <alignment horizontal="centerContinuous"/>
    </xf>
    <xf numFmtId="42" fontId="22" fillId="2" borderId="29" xfId="0" applyNumberFormat="1" applyFont="1" applyFill="1" applyBorder="1" applyAlignment="1">
      <alignment horizontal="left"/>
    </xf>
    <xf numFmtId="0" fontId="4" fillId="2" borderId="14" xfId="5" applyFill="1" applyBorder="1"/>
    <xf numFmtId="0" fontId="38" fillId="2" borderId="14" xfId="5" applyFont="1" applyFill="1" applyBorder="1" applyAlignment="1">
      <alignment horizontal="center"/>
    </xf>
    <xf numFmtId="0" fontId="55" fillId="0" borderId="0" xfId="0" applyFont="1" applyFill="1"/>
    <xf numFmtId="0" fontId="19" fillId="0" borderId="26" xfId="0" applyFont="1" applyFill="1" applyBorder="1"/>
    <xf numFmtId="42" fontId="19" fillId="0" borderId="22" xfId="0" applyNumberFormat="1" applyFont="1" applyFill="1" applyBorder="1"/>
    <xf numFmtId="0" fontId="8" fillId="2" borderId="0" xfId="9" applyFont="1" applyFill="1"/>
    <xf numFmtId="0" fontId="1" fillId="0" borderId="14" xfId="0" applyFont="1" applyFill="1" applyBorder="1"/>
    <xf numFmtId="0" fontId="1" fillId="0" borderId="0" xfId="0" applyFont="1"/>
    <xf numFmtId="0" fontId="1" fillId="0" borderId="0" xfId="0" applyFont="1" applyFill="1"/>
    <xf numFmtId="0" fontId="18" fillId="0" borderId="0" xfId="0" applyFont="1" applyFill="1" applyAlignment="1">
      <alignment horizontal="centerContinuous"/>
    </xf>
    <xf numFmtId="0" fontId="1" fillId="0" borderId="0" xfId="0" applyFont="1" applyFill="1" applyAlignment="1">
      <alignment horizontal="centerContinuous"/>
    </xf>
    <xf numFmtId="0" fontId="1" fillId="0" borderId="16" xfId="0" applyFont="1" applyFill="1" applyBorder="1"/>
    <xf numFmtId="17" fontId="18" fillId="0" borderId="13" xfId="0" applyNumberFormat="1" applyFont="1" applyFill="1" applyBorder="1" applyAlignment="1">
      <alignment horizontal="centerContinuous"/>
    </xf>
    <xf numFmtId="0" fontId="1" fillId="0" borderId="13" xfId="0" applyFont="1" applyFill="1" applyBorder="1" applyAlignment="1">
      <alignment horizontal="centerContinuous"/>
    </xf>
    <xf numFmtId="0" fontId="1" fillId="0" borderId="17" xfId="0" applyFont="1" applyFill="1" applyBorder="1" applyAlignment="1">
      <alignment horizontal="centerContinuous"/>
    </xf>
    <xf numFmtId="43" fontId="1" fillId="0" borderId="0" xfId="0" applyNumberFormat="1" applyFont="1" applyFill="1"/>
    <xf numFmtId="43" fontId="1" fillId="0" borderId="0" xfId="0" applyNumberFormat="1" applyFont="1"/>
    <xf numFmtId="0" fontId="8" fillId="0" borderId="18" xfId="0" applyFont="1" applyFill="1" applyBorder="1"/>
    <xf numFmtId="0" fontId="18" fillId="0" borderId="14" xfId="0" applyFont="1" applyFill="1" applyBorder="1" applyAlignment="1">
      <alignment horizontal="center" vertical="center" wrapText="1"/>
    </xf>
    <xf numFmtId="0" fontId="8" fillId="0" borderId="18" xfId="0" applyFont="1" applyFill="1" applyBorder="1" applyAlignment="1">
      <alignment horizontal="center" wrapText="1"/>
    </xf>
    <xf numFmtId="0" fontId="56" fillId="0" borderId="19" xfId="0" applyFont="1" applyFill="1" applyBorder="1"/>
    <xf numFmtId="165" fontId="8" fillId="0" borderId="14" xfId="0" applyNumberFormat="1" applyFont="1" applyFill="1" applyBorder="1"/>
    <xf numFmtId="171" fontId="8" fillId="0" borderId="14" xfId="0" applyNumberFormat="1" applyFont="1" applyFill="1" applyBorder="1"/>
    <xf numFmtId="171" fontId="1" fillId="0" borderId="14" xfId="0" applyNumberFormat="1" applyFont="1" applyFill="1" applyBorder="1"/>
    <xf numFmtId="10" fontId="1" fillId="0" borderId="0" xfId="0" applyNumberFormat="1" applyFont="1" applyFill="1"/>
    <xf numFmtId="0" fontId="57" fillId="0" borderId="0" xfId="0" applyNumberFormat="1" applyFont="1" applyFill="1" applyAlignment="1"/>
    <xf numFmtId="0" fontId="1" fillId="0" borderId="14" xfId="0" applyFont="1" applyFill="1" applyBorder="1" applyAlignment="1">
      <alignment horizontal="center"/>
    </xf>
    <xf numFmtId="0" fontId="8" fillId="0" borderId="14" xfId="0" applyFont="1" applyFill="1" applyBorder="1" applyAlignment="1">
      <alignment horizontal="center" wrapText="1"/>
    </xf>
    <xf numFmtId="0" fontId="21" fillId="0" borderId="14" xfId="0" applyFont="1" applyFill="1" applyBorder="1" applyAlignment="1">
      <alignment horizontal="center"/>
    </xf>
    <xf numFmtId="10" fontId="8" fillId="0" borderId="14" xfId="0" applyNumberFormat="1" applyFont="1" applyFill="1" applyBorder="1" applyAlignment="1"/>
    <xf numFmtId="43" fontId="8" fillId="0" borderId="14" xfId="0" applyNumberFormat="1" applyFont="1" applyFill="1" applyBorder="1" applyAlignment="1"/>
    <xf numFmtId="0" fontId="8" fillId="0" borderId="14" xfId="0" applyNumberFormat="1" applyFont="1" applyFill="1" applyBorder="1" applyAlignment="1"/>
    <xf numFmtId="170" fontId="1" fillId="0" borderId="0" xfId="0" applyNumberFormat="1" applyFont="1" applyFill="1"/>
    <xf numFmtId="43" fontId="1" fillId="0" borderId="0" xfId="0" applyNumberFormat="1" applyFont="1" applyFill="1" applyAlignment="1">
      <alignment wrapText="1"/>
    </xf>
    <xf numFmtId="0" fontId="21" fillId="0" borderId="3" xfId="0" applyFont="1" applyFill="1" applyBorder="1" applyAlignment="1">
      <alignment horizontal="centerContinuous"/>
    </xf>
    <xf numFmtId="0" fontId="26" fillId="0" borderId="6" xfId="0" applyFont="1" applyFill="1" applyBorder="1" applyAlignment="1">
      <alignment horizontal="center"/>
    </xf>
    <xf numFmtId="0" fontId="26" fillId="0" borderId="0" xfId="0" applyFont="1" applyFill="1" applyBorder="1" applyAlignment="1">
      <alignment horizontal="center"/>
    </xf>
    <xf numFmtId="43" fontId="26" fillId="0" borderId="0" xfId="0" applyNumberFormat="1" applyFont="1" applyFill="1" applyBorder="1" applyAlignment="1">
      <alignment horizontal="center" wrapText="1"/>
    </xf>
    <xf numFmtId="0" fontId="26" fillId="0" borderId="7" xfId="0" applyFont="1" applyFill="1" applyBorder="1" applyAlignment="1">
      <alignment horizontal="center" wrapText="1"/>
    </xf>
    <xf numFmtId="172" fontId="1" fillId="0" borderId="0" xfId="0" applyNumberFormat="1" applyFont="1" applyFill="1"/>
    <xf numFmtId="0" fontId="26" fillId="0" borderId="7" xfId="0" applyFont="1" applyFill="1" applyBorder="1" applyAlignment="1">
      <alignment horizontal="center"/>
    </xf>
    <xf numFmtId="173" fontId="1" fillId="0" borderId="0" xfId="0" applyNumberFormat="1" applyFont="1" applyFill="1"/>
    <xf numFmtId="0" fontId="18" fillId="0" borderId="13" xfId="0" applyFont="1" applyFill="1" applyBorder="1" applyAlignment="1">
      <alignment horizontal="centerContinuous"/>
    </xf>
    <xf numFmtId="0" fontId="18" fillId="0" borderId="0" xfId="0" applyFont="1" applyFill="1" applyBorder="1"/>
    <xf numFmtId="0" fontId="18" fillId="0" borderId="0" xfId="0" applyFont="1" applyFill="1" applyBorder="1" applyAlignment="1">
      <alignment horizontal="center" vertical="center" wrapText="1"/>
    </xf>
    <xf numFmtId="165" fontId="8" fillId="0" borderId="0" xfId="0" applyNumberFormat="1" applyFont="1" applyFill="1" applyBorder="1"/>
    <xf numFmtId="168" fontId="1" fillId="0" borderId="0" xfId="16" applyNumberFormat="1" applyFont="1" applyFill="1"/>
    <xf numFmtId="171" fontId="8" fillId="0" borderId="0" xfId="0" applyNumberFormat="1" applyFont="1" applyFill="1" applyBorder="1"/>
    <xf numFmtId="0" fontId="1" fillId="0" borderId="0" xfId="0" applyFont="1" applyFill="1" applyBorder="1"/>
    <xf numFmtId="44" fontId="1" fillId="0" borderId="0" xfId="0" applyNumberFormat="1" applyFont="1" applyFill="1" applyBorder="1"/>
    <xf numFmtId="43" fontId="1" fillId="0" borderId="0" xfId="0" applyNumberFormat="1" applyFont="1" applyFill="1" applyBorder="1"/>
    <xf numFmtId="0" fontId="1" fillId="0" borderId="0" xfId="0" applyFont="1" applyBorder="1"/>
    <xf numFmtId="42" fontId="1" fillId="0" borderId="0" xfId="0" applyNumberFormat="1" applyFont="1" applyFill="1"/>
    <xf numFmtId="44" fontId="1" fillId="0" borderId="0" xfId="0" applyNumberFormat="1" applyFont="1" applyFill="1"/>
    <xf numFmtId="168" fontId="18" fillId="2" borderId="7" xfId="10" applyNumberFormat="1" applyFont="1" applyFill="1" applyBorder="1"/>
    <xf numFmtId="0" fontId="3" fillId="2" borderId="0" xfId="9" applyFill="1"/>
    <xf numFmtId="0" fontId="2" fillId="2" borderId="0" xfId="15" applyFill="1" applyAlignment="1">
      <alignment wrapText="1"/>
    </xf>
    <xf numFmtId="0" fontId="1" fillId="2" borderId="14" xfId="0" applyFont="1" applyFill="1" applyBorder="1"/>
    <xf numFmtId="9" fontId="1" fillId="2" borderId="0" xfId="1" applyFont="1" applyFill="1"/>
    <xf numFmtId="9" fontId="2" fillId="2" borderId="0" xfId="15" applyNumberFormat="1" applyFill="1"/>
    <xf numFmtId="0" fontId="13" fillId="0" borderId="0" xfId="0" applyFont="1" applyFill="1" applyAlignment="1">
      <alignment horizontal="center" vertical="top"/>
    </xf>
    <xf numFmtId="0" fontId="24" fillId="0" borderId="0" xfId="0" applyNumberFormat="1" applyFont="1" applyFill="1" applyAlignment="1">
      <alignment horizontal="center"/>
    </xf>
    <xf numFmtId="0" fontId="13" fillId="0" borderId="0" xfId="0" applyFont="1" applyFill="1" applyAlignment="1">
      <alignment horizontal="center" vertical="top"/>
    </xf>
    <xf numFmtId="0" fontId="54" fillId="0" borderId="0" xfId="5" applyFont="1" applyAlignment="1">
      <alignment horizontal="left" wrapText="1"/>
    </xf>
    <xf numFmtId="0" fontId="42" fillId="0" borderId="16" xfId="9" applyFont="1" applyFill="1" applyBorder="1" applyAlignment="1">
      <alignment horizontal="center"/>
    </xf>
    <xf numFmtId="0" fontId="42" fillId="0" borderId="13" xfId="9" applyFont="1" applyFill="1" applyBorder="1" applyAlignment="1">
      <alignment horizontal="center"/>
    </xf>
    <xf numFmtId="0" fontId="42" fillId="0" borderId="17" xfId="9" applyFont="1" applyFill="1" applyBorder="1" applyAlignment="1">
      <alignment horizontal="center"/>
    </xf>
    <xf numFmtId="0" fontId="24" fillId="0" borderId="0" xfId="0" applyNumberFormat="1" applyFont="1" applyFill="1" applyAlignment="1" applyProtection="1">
      <alignment horizontal="center"/>
      <protection locked="0"/>
    </xf>
    <xf numFmtId="0" fontId="24" fillId="0" borderId="0" xfId="0" applyNumberFormat="1" applyFont="1" applyAlignment="1">
      <alignment horizontal="center"/>
    </xf>
    <xf numFmtId="0" fontId="24" fillId="0" borderId="0" xfId="0" applyNumberFormat="1" applyFont="1" applyFill="1" applyAlignment="1">
      <alignment horizontal="center"/>
    </xf>
  </cellXfs>
  <cellStyles count="17">
    <cellStyle name="Comma" xfId="16" builtinId="3"/>
    <cellStyle name="Comma 2" xfId="10"/>
    <cellStyle name="Comma 3" xfId="13"/>
    <cellStyle name="Currency" xfId="8" builtinId="4"/>
    <cellStyle name="Currency 2" xfId="4"/>
    <cellStyle name="Currency 3" xfId="6"/>
    <cellStyle name="Normal" xfId="0" builtinId="0"/>
    <cellStyle name="Normal 162" xfId="2"/>
    <cellStyle name="Normal 2" xfId="3"/>
    <cellStyle name="Normal 3" xfId="5"/>
    <cellStyle name="Normal 3 2" xfId="11"/>
    <cellStyle name="Normal 3 3" xfId="14"/>
    <cellStyle name="Normal 4" xfId="9"/>
    <cellStyle name="Normal 4 2" xfId="15"/>
    <cellStyle name="Normal 5" xfId="12"/>
    <cellStyle name="Percent" xfId="1" builtinId="5"/>
    <cellStyle name="Percent 2" xfId="7"/>
  </cellStyles>
  <dxfs count="0"/>
  <tableStyles count="0" defaultTableStyle="TableStyleMedium2" defaultPivotStyle="PivotStyleLight16"/>
  <colors>
    <mruColors>
      <color rgb="FFFFCCCC"/>
      <color rgb="FF0000FF"/>
      <color rgb="FFCCFFCC"/>
      <color rgb="FFE31D93"/>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customXml" Target="../customXml/item4.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rpRevnu/PUBLIC/Cost%20Recovery%20Mechanism%20for%20Gas%20(CRM)/2019%20Filing/October%202019%20CRM%20Filing/Support/Removed%20pag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stdpt2\rpl\GrpRates\Public\Gas%20CRM\2021\Revenue%20Requirement\CRM%20Summary%20Orders%20Aug%2021%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ed Volume"/>
      <sheetName val="CRM Rates"/>
      <sheetName val="Rate Impacts--&gt;"/>
      <sheetName val="Rate Impacts"/>
      <sheetName val="Typical Res Bill"/>
      <sheetName val="Schedule 149 Revenue"/>
      <sheetName val="Removed pages"/>
    </sheetNames>
    <definedNames>
      <definedName name="Number_of_Payments" refersTo="#REF!"/>
      <definedName name="Values_Entered" refersTo="#REF!"/>
    </definedNames>
    <sheetDataSet>
      <sheetData sheetId="0"/>
      <sheetData sheetId="1"/>
      <sheetData sheetId="2"/>
      <sheetData sheetId="3"/>
      <sheetData sheetId="4"/>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amp;M=&gt;"/>
      <sheetName val="O&amp;M Cross Bore Inspection"/>
      <sheetName val="O&amp;M Cross Bore Repairs"/>
      <sheetName val="Pvt BMM"/>
      <sheetName val="Buried Meters Mitig"/>
      <sheetName val="Capital=&gt;"/>
      <sheetName val="Meters replacement"/>
      <sheetName val="Dupont Plastic Repl"/>
    </sheetNames>
    <sheetDataSet>
      <sheetData sheetId="0">
        <row r="5">
          <cell r="C5">
            <v>2622022.87</v>
          </cell>
          <cell r="D5">
            <v>362050</v>
          </cell>
        </row>
        <row r="6">
          <cell r="C6">
            <v>44277.37</v>
          </cell>
          <cell r="D6">
            <v>72000</v>
          </cell>
        </row>
        <row r="9">
          <cell r="C9">
            <v>1321531.67</v>
          </cell>
          <cell r="D9">
            <v>150768</v>
          </cell>
        </row>
        <row r="14">
          <cell r="C14">
            <v>29085048.549999904</v>
          </cell>
          <cell r="D14">
            <v>10927197</v>
          </cell>
        </row>
        <row r="15">
          <cell r="C15">
            <v>2655197.3500000015</v>
          </cell>
          <cell r="D15">
            <v>859800</v>
          </cell>
        </row>
      </sheetData>
      <sheetData sheetId="1"/>
      <sheetData sheetId="2"/>
      <sheetData sheetId="3">
        <row r="12">
          <cell r="F12">
            <v>0.64599184639918761</v>
          </cell>
        </row>
        <row r="13">
          <cell r="F13">
            <v>0.35400815360081234</v>
          </cell>
        </row>
      </sheetData>
      <sheetData sheetId="4">
        <row r="8247">
          <cell r="E8247">
            <v>0.98591943695151862</v>
          </cell>
          <cell r="F8247">
            <v>8.4955209586464343E-4</v>
          </cell>
          <cell r="G8247">
            <v>1.3231010952616851E-2</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tabSelected="1" zoomScale="70" zoomScaleNormal="70" workbookViewId="0">
      <selection activeCell="H43" sqref="H43"/>
    </sheetView>
  </sheetViews>
  <sheetFormatPr defaultColWidth="9.28515625" defaultRowHeight="12.75" x14ac:dyDescent="0.2"/>
  <cols>
    <col min="1" max="1" width="55.28515625" style="108" customWidth="1"/>
    <col min="2" max="2" width="19.42578125" style="108" bestFit="1" customWidth="1"/>
    <col min="3" max="4" width="9.28515625" style="108"/>
    <col min="5" max="5" width="48.28515625" style="108" bestFit="1" customWidth="1"/>
    <col min="6" max="6" width="12.7109375" style="108" bestFit="1" customWidth="1"/>
    <col min="7" max="8" width="9.28515625" style="108"/>
    <col min="9" max="9" width="48.28515625" style="108" bestFit="1" customWidth="1"/>
    <col min="10" max="10" width="12.42578125" style="108" bestFit="1" customWidth="1"/>
    <col min="11" max="16384" width="9.28515625" style="108"/>
  </cols>
  <sheetData>
    <row r="3" spans="1:10" x14ac:dyDescent="0.2">
      <c r="A3" s="85" t="s">
        <v>76</v>
      </c>
      <c r="B3" s="85"/>
    </row>
    <row r="4" spans="1:10" x14ac:dyDescent="0.2">
      <c r="A4" s="85" t="s">
        <v>77</v>
      </c>
      <c r="B4" s="85"/>
    </row>
    <row r="5" spans="1:10" x14ac:dyDescent="0.2">
      <c r="A5" s="271" t="s">
        <v>184</v>
      </c>
      <c r="B5" s="271"/>
      <c r="E5"/>
      <c r="F5"/>
      <c r="G5"/>
      <c r="I5"/>
      <c r="J5"/>
    </row>
    <row r="6" spans="1:10" x14ac:dyDescent="0.2">
      <c r="A6" s="271" t="s">
        <v>185</v>
      </c>
      <c r="B6" s="271"/>
      <c r="E6"/>
      <c r="F6"/>
      <c r="G6"/>
      <c r="I6"/>
      <c r="J6"/>
    </row>
    <row r="7" spans="1:10" x14ac:dyDescent="0.2">
      <c r="A7" s="85"/>
      <c r="B7" s="85"/>
      <c r="E7"/>
      <c r="F7"/>
      <c r="G7"/>
      <c r="I7"/>
      <c r="J7"/>
    </row>
    <row r="8" spans="1:10" x14ac:dyDescent="0.2">
      <c r="E8"/>
      <c r="F8"/>
      <c r="G8"/>
      <c r="I8"/>
      <c r="J8"/>
    </row>
    <row r="9" spans="1:10" ht="65.25" customHeight="1" x14ac:dyDescent="0.2">
      <c r="A9" s="86" t="s">
        <v>84</v>
      </c>
      <c r="B9" s="129" t="s">
        <v>101</v>
      </c>
      <c r="E9"/>
      <c r="F9"/>
      <c r="G9"/>
      <c r="I9"/>
      <c r="J9"/>
    </row>
    <row r="10" spans="1:10" ht="27.75" customHeight="1" x14ac:dyDescent="0.2">
      <c r="A10" s="87"/>
      <c r="B10" s="130"/>
      <c r="E10"/>
      <c r="F10"/>
      <c r="G10"/>
      <c r="I10"/>
      <c r="J10"/>
    </row>
    <row r="11" spans="1:10" ht="27.75" customHeight="1" x14ac:dyDescent="0.2">
      <c r="A11" s="87" t="s">
        <v>198</v>
      </c>
      <c r="B11" s="279">
        <f>'2019 CRM'!G42</f>
        <v>6589498.4750629179</v>
      </c>
      <c r="E11"/>
      <c r="F11"/>
      <c r="G11"/>
      <c r="I11"/>
      <c r="J11"/>
    </row>
    <row r="12" spans="1:10" x14ac:dyDescent="0.2">
      <c r="A12" s="87" t="s">
        <v>186</v>
      </c>
      <c r="B12" s="131">
        <f>'2020 + true up CAP'!F39</f>
        <v>5999565.1661180267</v>
      </c>
      <c r="E12"/>
      <c r="F12"/>
      <c r="G12"/>
      <c r="I12"/>
      <c r="J12"/>
    </row>
    <row r="13" spans="1:10" s="88" customFormat="1" x14ac:dyDescent="0.2">
      <c r="A13" s="87" t="s">
        <v>187</v>
      </c>
      <c r="B13" s="131">
        <f>'2020TrueUp'!F7</f>
        <v>-109844.95791395041</v>
      </c>
      <c r="C13" s="383"/>
      <c r="E13" s="197"/>
      <c r="F13" s="197"/>
      <c r="G13" s="197"/>
      <c r="I13" s="197"/>
      <c r="J13" s="197"/>
    </row>
    <row r="14" spans="1:10" s="88" customFormat="1" x14ac:dyDescent="0.2">
      <c r="A14" s="87" t="s">
        <v>188</v>
      </c>
      <c r="B14" s="131">
        <f>'2021 C&amp;OM'!F28</f>
        <v>9255948.5950490944</v>
      </c>
      <c r="E14" s="197"/>
      <c r="F14" s="197"/>
      <c r="G14" s="197"/>
      <c r="I14" s="197"/>
      <c r="J14" s="197"/>
    </row>
    <row r="15" spans="1:10" s="88" customFormat="1" ht="13.5" thickBot="1" x14ac:dyDescent="0.25">
      <c r="A15" s="384" t="s">
        <v>189</v>
      </c>
      <c r="B15" s="385">
        <f>SUM(B11:B14)</f>
        <v>21735167.278316088</v>
      </c>
      <c r="C15" s="383"/>
      <c r="E15" s="197"/>
      <c r="F15" s="197"/>
      <c r="G15" s="197"/>
      <c r="I15" s="197"/>
      <c r="J15" s="197"/>
    </row>
    <row r="16" spans="1:10" ht="13.5" thickTop="1" x14ac:dyDescent="0.2">
      <c r="A16" s="88"/>
      <c r="B16" s="89"/>
      <c r="E16"/>
      <c r="F16"/>
      <c r="G16"/>
      <c r="I16"/>
      <c r="J16"/>
    </row>
    <row r="17" spans="1:10" x14ac:dyDescent="0.2">
      <c r="A17" s="197"/>
      <c r="B17" s="197"/>
      <c r="E17"/>
      <c r="F17"/>
      <c r="G17"/>
      <c r="I17"/>
      <c r="J17"/>
    </row>
    <row r="18" spans="1:10" x14ac:dyDescent="0.2">
      <c r="A18" s="197"/>
      <c r="B18" s="197"/>
      <c r="I18"/>
      <c r="J18"/>
    </row>
    <row r="19" spans="1:10" x14ac:dyDescent="0.2">
      <c r="A19" s="197"/>
      <c r="B19" s="197"/>
    </row>
    <row r="20" spans="1:10" x14ac:dyDescent="0.2">
      <c r="A20" s="197"/>
      <c r="B20" s="197"/>
    </row>
    <row r="21" spans="1:10" x14ac:dyDescent="0.2">
      <c r="A21" s="197"/>
      <c r="B21" s="197"/>
    </row>
    <row r="22" spans="1:10" x14ac:dyDescent="0.2">
      <c r="A22" s="197"/>
      <c r="B22" s="197"/>
    </row>
    <row r="23" spans="1:10" x14ac:dyDescent="0.2">
      <c r="A23" s="197"/>
      <c r="B23" s="197"/>
    </row>
    <row r="24" spans="1:10" x14ac:dyDescent="0.2">
      <c r="A24"/>
      <c r="B24"/>
    </row>
    <row r="25" spans="1:10" x14ac:dyDescent="0.2">
      <c r="A25"/>
      <c r="B25"/>
    </row>
    <row r="26" spans="1:10" x14ac:dyDescent="0.2">
      <c r="A26"/>
    </row>
  </sheetData>
  <printOptions horizontalCentered="1"/>
  <pageMargins left="0.7" right="0.7" top="0.75" bottom="0.75" header="0.3" footer="0.3"/>
  <pageSetup orientation="portrait" r:id="rId1"/>
  <headerFooter>
    <oddFooter>&amp;L&amp;F
&amp;A&amp;C&amp;P&amp;R&amp;D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J40" sqref="J40"/>
    </sheetView>
  </sheetViews>
  <sheetFormatPr defaultRowHeight="12.75" x14ac:dyDescent="0.2"/>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AD27" activePane="bottomRight" state="frozen"/>
      <selection activeCell="F22" sqref="F22"/>
      <selection pane="topRight" activeCell="F22" sqref="F22"/>
      <selection pane="bottomLeft" activeCell="F22" sqref="F22"/>
      <selection pane="bottomRight" activeCell="AP66" sqref="AP66"/>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1.28515625" style="3" bestFit="1" customWidth="1"/>
    <col min="49" max="16384" width="10.28515625" style="3"/>
  </cols>
  <sheetData>
    <row r="1" spans="1:41" ht="17.25" customHeight="1" x14ac:dyDescent="0.25">
      <c r="A1" s="1" t="s">
        <v>0</v>
      </c>
      <c r="B1" s="2"/>
      <c r="C1" s="2"/>
      <c r="E1" s="443"/>
      <c r="F1" s="443"/>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42" t="s">
        <v>194</v>
      </c>
      <c r="D3" s="114"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71" t="s">
        <v>168</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72">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'2021 C&amp;OM'!G7</f>
        <v>2.5037797681796828E-2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f>'2021 C&amp;OM'!F6</f>
        <v>43527242.899999909</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4"/>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4"/>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c r="AS26" s="82">
        <v>2061</v>
      </c>
    </row>
    <row r="27" spans="1:48" x14ac:dyDescent="0.2">
      <c r="A27" s="242">
        <v>1</v>
      </c>
      <c r="B27" s="2" t="s">
        <v>123</v>
      </c>
      <c r="C27" s="2"/>
      <c r="D27" s="114"/>
      <c r="E27" s="38">
        <f>$F22*$F17</f>
        <v>1089826.3013766252</v>
      </c>
      <c r="F27" s="98">
        <f>$F22*$F17</f>
        <v>1089826.3013766252</v>
      </c>
      <c r="G27" s="98">
        <f>$F22*$F17</f>
        <v>1089826.3013766252</v>
      </c>
      <c r="H27" s="98">
        <f t="shared" ref="H27:AQ27" si="0">$F22*$F17</f>
        <v>1089826.3013766252</v>
      </c>
      <c r="I27" s="98">
        <f t="shared" si="0"/>
        <v>1089826.3013766252</v>
      </c>
      <c r="J27" s="98">
        <f t="shared" si="0"/>
        <v>1089826.3013766252</v>
      </c>
      <c r="K27" s="98">
        <f t="shared" si="0"/>
        <v>1089826.3013766252</v>
      </c>
      <c r="L27" s="98">
        <f t="shared" si="0"/>
        <v>1089826.3013766252</v>
      </c>
      <c r="M27" s="98">
        <f t="shared" si="0"/>
        <v>1089826.3013766252</v>
      </c>
      <c r="N27" s="98">
        <f t="shared" si="0"/>
        <v>1089826.3013766252</v>
      </c>
      <c r="O27" s="98">
        <f t="shared" si="0"/>
        <v>1089826.3013766252</v>
      </c>
      <c r="P27" s="98">
        <f t="shared" si="0"/>
        <v>1089826.3013766252</v>
      </c>
      <c r="Q27" s="98">
        <f t="shared" si="0"/>
        <v>1089826.3013766252</v>
      </c>
      <c r="R27" s="98">
        <f t="shared" si="0"/>
        <v>1089826.3013766252</v>
      </c>
      <c r="S27" s="98">
        <f t="shared" si="0"/>
        <v>1089826.3013766252</v>
      </c>
      <c r="T27" s="98">
        <f t="shared" si="0"/>
        <v>1089826.3013766252</v>
      </c>
      <c r="U27" s="98">
        <f t="shared" si="0"/>
        <v>1089826.3013766252</v>
      </c>
      <c r="V27" s="98">
        <f t="shared" si="0"/>
        <v>1089826.3013766252</v>
      </c>
      <c r="W27" s="98">
        <f t="shared" si="0"/>
        <v>1089826.3013766252</v>
      </c>
      <c r="X27" s="98">
        <f t="shared" si="0"/>
        <v>1089826.3013766252</v>
      </c>
      <c r="Y27" s="98">
        <f t="shared" si="0"/>
        <v>1089826.3013766252</v>
      </c>
      <c r="Z27" s="98">
        <f t="shared" si="0"/>
        <v>1089826.3013766252</v>
      </c>
      <c r="AA27" s="98">
        <f t="shared" si="0"/>
        <v>1089826.3013766252</v>
      </c>
      <c r="AB27" s="98">
        <f t="shared" si="0"/>
        <v>1089826.3013766252</v>
      </c>
      <c r="AC27" s="98">
        <f t="shared" si="0"/>
        <v>1089826.3013766252</v>
      </c>
      <c r="AD27" s="98">
        <f t="shared" si="0"/>
        <v>1089826.3013766252</v>
      </c>
      <c r="AE27" s="98">
        <f t="shared" si="0"/>
        <v>1089826.3013766252</v>
      </c>
      <c r="AF27" s="98">
        <f t="shared" si="0"/>
        <v>1089826.3013766252</v>
      </c>
      <c r="AG27" s="98">
        <f t="shared" si="0"/>
        <v>1089826.3013766252</v>
      </c>
      <c r="AH27" s="98">
        <f t="shared" si="0"/>
        <v>1089826.3013766252</v>
      </c>
      <c r="AI27" s="98">
        <f t="shared" si="0"/>
        <v>1089826.3013766252</v>
      </c>
      <c r="AJ27" s="98">
        <f t="shared" si="0"/>
        <v>1089826.3013766252</v>
      </c>
      <c r="AK27" s="98">
        <f t="shared" si="0"/>
        <v>1089826.3013766252</v>
      </c>
      <c r="AL27" s="98">
        <f t="shared" si="0"/>
        <v>1089826.3013766252</v>
      </c>
      <c r="AM27" s="98">
        <f t="shared" si="0"/>
        <v>1089826.3013766252</v>
      </c>
      <c r="AN27" s="98">
        <f t="shared" si="0"/>
        <v>1089826.3013766252</v>
      </c>
      <c r="AO27" s="98">
        <f t="shared" si="0"/>
        <v>1089826.3013766252</v>
      </c>
      <c r="AP27" s="98">
        <f t="shared" si="0"/>
        <v>1089826.3013766252</v>
      </c>
      <c r="AQ27" s="98">
        <f t="shared" si="0"/>
        <v>1089826.3013766252</v>
      </c>
      <c r="AR27" s="98">
        <f>$F22*$F17-65809</f>
        <v>1024017.3013766252</v>
      </c>
      <c r="AS27" s="98"/>
      <c r="AT27" s="100">
        <f>SUM(D27:AS27)</f>
        <v>43527243.055065028</v>
      </c>
      <c r="AU27" s="22">
        <f>F22</f>
        <v>43527242.899999909</v>
      </c>
      <c r="AV27" s="100">
        <f>+AU27-AT27</f>
        <v>-0.15506511926651001</v>
      </c>
    </row>
    <row r="28" spans="1:48" x14ac:dyDescent="0.2">
      <c r="A28" s="2"/>
      <c r="B28" s="2"/>
      <c r="C28" s="2"/>
      <c r="D28" s="114"/>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5"/>
    </row>
    <row r="29" spans="1:48" x14ac:dyDescent="0.2">
      <c r="A29" s="242">
        <f>A27+1</f>
        <v>2</v>
      </c>
      <c r="B29" s="2" t="s">
        <v>54</v>
      </c>
      <c r="C29" s="2"/>
      <c r="D29" s="114"/>
      <c r="E29" s="38">
        <f>E53</f>
        <v>520320.72376170894</v>
      </c>
      <c r="F29" s="98">
        <f t="shared" ref="F29:AS29" si="1">F53</f>
        <v>503807.75273056066</v>
      </c>
      <c r="G29" s="98">
        <f t="shared" si="1"/>
        <v>485673.23213987664</v>
      </c>
      <c r="H29" s="98">
        <f t="shared" si="1"/>
        <v>468115.97654442204</v>
      </c>
      <c r="I29" s="98">
        <f t="shared" si="1"/>
        <v>451092.77416912204</v>
      </c>
      <c r="J29" s="98">
        <f t="shared" si="1"/>
        <v>434563.73722159985</v>
      </c>
      <c r="K29" s="98">
        <f t="shared" si="1"/>
        <v>418491.74789506057</v>
      </c>
      <c r="L29" s="98">
        <f t="shared" si="1"/>
        <v>402842.45836829097</v>
      </c>
      <c r="M29" s="98">
        <f t="shared" si="1"/>
        <v>387429.17161308351</v>
      </c>
      <c r="N29" s="98">
        <f t="shared" si="1"/>
        <v>372049.67868197296</v>
      </c>
      <c r="O29" s="98">
        <f t="shared" si="1"/>
        <v>356670.18575086235</v>
      </c>
      <c r="P29" s="98">
        <f t="shared" si="1"/>
        <v>341290.69281975168</v>
      </c>
      <c r="Q29" s="98">
        <f t="shared" si="1"/>
        <v>325911.19988864125</v>
      </c>
      <c r="R29" s="98">
        <f t="shared" si="1"/>
        <v>310531.70695753058</v>
      </c>
      <c r="S29" s="98">
        <f t="shared" si="1"/>
        <v>295152.21402642003</v>
      </c>
      <c r="T29" s="98">
        <f t="shared" si="1"/>
        <v>279772.72109530942</v>
      </c>
      <c r="U29" s="98">
        <f t="shared" si="1"/>
        <v>264393.22816419881</v>
      </c>
      <c r="V29" s="98">
        <f t="shared" si="1"/>
        <v>249013.73523308829</v>
      </c>
      <c r="W29" s="98">
        <f t="shared" si="1"/>
        <v>233634.24230197768</v>
      </c>
      <c r="X29" s="98">
        <f t="shared" si="1"/>
        <v>218254.74937086712</v>
      </c>
      <c r="Y29" s="98">
        <f t="shared" si="1"/>
        <v>204111.22400631756</v>
      </c>
      <c r="Z29" s="98">
        <f t="shared" si="1"/>
        <v>192439.07977777394</v>
      </c>
      <c r="AA29" s="98">
        <f t="shared" si="1"/>
        <v>182002.90311579139</v>
      </c>
      <c r="AB29" s="98">
        <f t="shared" si="1"/>
        <v>171566.72645380881</v>
      </c>
      <c r="AC29" s="98">
        <f t="shared" si="1"/>
        <v>161130.5497918262</v>
      </c>
      <c r="AD29" s="98">
        <f t="shared" si="1"/>
        <v>150694.37312984365</v>
      </c>
      <c r="AE29" s="98">
        <f t="shared" si="1"/>
        <v>140258.19646786107</v>
      </c>
      <c r="AF29" s="98">
        <f t="shared" si="1"/>
        <v>129822.0198058785</v>
      </c>
      <c r="AG29" s="98">
        <f t="shared" si="1"/>
        <v>119385.84314389594</v>
      </c>
      <c r="AH29" s="98">
        <f t="shared" si="1"/>
        <v>108949.66648191337</v>
      </c>
      <c r="AI29" s="98">
        <f t="shared" si="1"/>
        <v>98513.489819930808</v>
      </c>
      <c r="AJ29" s="98">
        <f t="shared" si="1"/>
        <v>88077.313157948258</v>
      </c>
      <c r="AK29" s="98">
        <f t="shared" si="1"/>
        <v>77641.136495965664</v>
      </c>
      <c r="AL29" s="98">
        <f t="shared" si="1"/>
        <v>67204.959833983085</v>
      </c>
      <c r="AM29" s="98">
        <f t="shared" si="1"/>
        <v>56768.783172000512</v>
      </c>
      <c r="AN29" s="98">
        <f t="shared" si="1"/>
        <v>46332.606510017948</v>
      </c>
      <c r="AO29" s="98">
        <f t="shared" si="1"/>
        <v>35896.429848035368</v>
      </c>
      <c r="AP29" s="98">
        <f t="shared" si="1"/>
        <v>25460.253186052803</v>
      </c>
      <c r="AQ29" s="98">
        <f t="shared" si="1"/>
        <v>15024.076524070235</v>
      </c>
      <c r="AR29" s="98">
        <f t="shared" si="1"/>
        <v>4902.9933540876627</v>
      </c>
      <c r="AS29" s="98">
        <f t="shared" si="1"/>
        <v>-1.4849036229765515E-3</v>
      </c>
      <c r="AT29" s="100">
        <f>SUM(D29:AS29)</f>
        <v>9395194.5513264444</v>
      </c>
    </row>
    <row r="30" spans="1:48" x14ac:dyDescent="0.2">
      <c r="A30" s="2"/>
      <c r="B30" s="2"/>
      <c r="C30" s="2"/>
      <c r="D30" s="114"/>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row>
    <row r="31" spans="1:48" x14ac:dyDescent="0.2">
      <c r="A31" s="2"/>
      <c r="B31" s="2" t="s">
        <v>55</v>
      </c>
      <c r="C31" s="2"/>
      <c r="D31" s="114"/>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row>
    <row r="32" spans="1:48" x14ac:dyDescent="0.2">
      <c r="A32" s="242">
        <f>A29+1</f>
        <v>3</v>
      </c>
      <c r="B32" s="2"/>
      <c r="C32" s="2"/>
      <c r="D32" s="114"/>
      <c r="E32" s="38">
        <f>E49*$F10</f>
        <v>0</v>
      </c>
      <c r="F32" s="98">
        <f t="shared" ref="F32:AS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100">
        <f t="shared" ref="AT32:AT42" si="3">SUM(D32:AS32)</f>
        <v>0</v>
      </c>
    </row>
    <row r="33" spans="1:46" x14ac:dyDescent="0.2">
      <c r="A33" s="242">
        <f>A32+1</f>
        <v>4</v>
      </c>
      <c r="B33" s="13"/>
      <c r="C33" s="13" t="s">
        <v>102</v>
      </c>
      <c r="D33" s="114"/>
      <c r="E33" s="38">
        <f>E49*$F11</f>
        <v>1214788.0556746582</v>
      </c>
      <c r="F33" s="98">
        <f t="shared" ref="F33:AS33" si="4">F49*$F11</f>
        <v>1176235.3725769783</v>
      </c>
      <c r="G33" s="98">
        <f t="shared" si="4"/>
        <v>1133896.8724886407</v>
      </c>
      <c r="H33" s="98">
        <f t="shared" si="4"/>
        <v>1092906.1077280329</v>
      </c>
      <c r="I33" s="98">
        <f t="shared" si="4"/>
        <v>1053162.1921573789</v>
      </c>
      <c r="J33" s="98">
        <f t="shared" si="4"/>
        <v>1014572.0001110388</v>
      </c>
      <c r="K33" s="98">
        <f t="shared" si="4"/>
        <v>977048.87298348686</v>
      </c>
      <c r="L33" s="98">
        <f t="shared" si="4"/>
        <v>940512.61922931101</v>
      </c>
      <c r="M33" s="98">
        <f t="shared" si="4"/>
        <v>904527.3589968367</v>
      </c>
      <c r="N33" s="98">
        <f t="shared" si="4"/>
        <v>868620.99689775158</v>
      </c>
      <c r="O33" s="98">
        <f t="shared" si="4"/>
        <v>832714.63479866635</v>
      </c>
      <c r="P33" s="98">
        <f t="shared" si="4"/>
        <v>796808.27269958123</v>
      </c>
      <c r="Q33" s="98">
        <f t="shared" si="4"/>
        <v>760901.91060049611</v>
      </c>
      <c r="R33" s="98">
        <f t="shared" si="4"/>
        <v>724995.54850141099</v>
      </c>
      <c r="S33" s="98">
        <f t="shared" si="4"/>
        <v>689089.18640232587</v>
      </c>
      <c r="T33" s="98">
        <f t="shared" si="4"/>
        <v>653182.82430324063</v>
      </c>
      <c r="U33" s="98">
        <f t="shared" si="4"/>
        <v>617276.46220415551</v>
      </c>
      <c r="V33" s="98">
        <f t="shared" si="4"/>
        <v>581370.10010507039</v>
      </c>
      <c r="W33" s="98">
        <f t="shared" si="4"/>
        <v>545463.73800598527</v>
      </c>
      <c r="X33" s="98">
        <f t="shared" si="4"/>
        <v>509557.37590690015</v>
      </c>
      <c r="Y33" s="98">
        <f t="shared" si="4"/>
        <v>476536.61603062256</v>
      </c>
      <c r="Z33" s="98">
        <f t="shared" si="4"/>
        <v>449285.76718793774</v>
      </c>
      <c r="AA33" s="98">
        <f t="shared" si="4"/>
        <v>424920.52056806051</v>
      </c>
      <c r="AB33" s="98">
        <f t="shared" si="4"/>
        <v>400555.27394818328</v>
      </c>
      <c r="AC33" s="98">
        <f t="shared" si="4"/>
        <v>376190.02732830605</v>
      </c>
      <c r="AD33" s="98">
        <f t="shared" si="4"/>
        <v>351824.78070842882</v>
      </c>
      <c r="AE33" s="98">
        <f t="shared" si="4"/>
        <v>327459.53408855159</v>
      </c>
      <c r="AF33" s="98">
        <f t="shared" si="4"/>
        <v>303094.28746867442</v>
      </c>
      <c r="AG33" s="98">
        <f t="shared" si="4"/>
        <v>278729.04084879719</v>
      </c>
      <c r="AH33" s="98">
        <f t="shared" si="4"/>
        <v>254363.79422891993</v>
      </c>
      <c r="AI33" s="98">
        <f t="shared" si="4"/>
        <v>229998.54760904273</v>
      </c>
      <c r="AJ33" s="98">
        <f t="shared" si="4"/>
        <v>205633.30098916549</v>
      </c>
      <c r="AK33" s="98">
        <f t="shared" si="4"/>
        <v>181268.05436928826</v>
      </c>
      <c r="AL33" s="98">
        <f t="shared" si="4"/>
        <v>156902.80774941103</v>
      </c>
      <c r="AM33" s="98">
        <f t="shared" si="4"/>
        <v>132537.56112953377</v>
      </c>
      <c r="AN33" s="98">
        <f t="shared" si="4"/>
        <v>108172.31450965656</v>
      </c>
      <c r="AO33" s="98">
        <f t="shared" si="4"/>
        <v>83807.06788977934</v>
      </c>
      <c r="AP33" s="98">
        <f t="shared" si="4"/>
        <v>59441.821269902102</v>
      </c>
      <c r="AQ33" s="98">
        <f t="shared" si="4"/>
        <v>35076.574650024872</v>
      </c>
      <c r="AR33" s="98">
        <f t="shared" si="4"/>
        <v>11446.973936647648</v>
      </c>
      <c r="AS33" s="98">
        <f t="shared" si="4"/>
        <v>-3.4667909668845824E-3</v>
      </c>
      <c r="AT33" s="100">
        <f t="shared" si="3"/>
        <v>21934875.165414087</v>
      </c>
    </row>
    <row r="34" spans="1:46" x14ac:dyDescent="0.2">
      <c r="A34" s="242">
        <f>A33+1</f>
        <v>5</v>
      </c>
      <c r="B34" s="2"/>
      <c r="C34" s="2" t="s">
        <v>9</v>
      </c>
      <c r="D34" s="114"/>
      <c r="E34" s="40">
        <f>E49*$F12</f>
        <v>1957397.0084369052</v>
      </c>
      <c r="F34" s="96">
        <f t="shared" ref="F34:AS34" si="5">F49*$F12</f>
        <v>1895276.7840816332</v>
      </c>
      <c r="G34" s="96">
        <f t="shared" si="5"/>
        <v>1827056.4447166789</v>
      </c>
      <c r="H34" s="96">
        <f t="shared" si="5"/>
        <v>1761007.721286159</v>
      </c>
      <c r="I34" s="96">
        <f t="shared" si="5"/>
        <v>1696968.0552076495</v>
      </c>
      <c r="J34" s="96">
        <f t="shared" si="5"/>
        <v>1634787.3924050662</v>
      </c>
      <c r="K34" s="96">
        <f t="shared" si="5"/>
        <v>1574326.0992242757</v>
      </c>
      <c r="L34" s="96">
        <f t="shared" si="5"/>
        <v>1515454.9624330949</v>
      </c>
      <c r="M34" s="96">
        <f t="shared" si="5"/>
        <v>1457471.6455920762</v>
      </c>
      <c r="N34" s="96">
        <f t="shared" si="5"/>
        <v>1399615.4578988508</v>
      </c>
      <c r="O34" s="96">
        <f t="shared" si="5"/>
        <v>1341759.2702056251</v>
      </c>
      <c r="P34" s="96">
        <f t="shared" si="5"/>
        <v>1283903.0825123994</v>
      </c>
      <c r="Q34" s="96">
        <f t="shared" si="5"/>
        <v>1226046.8948191742</v>
      </c>
      <c r="R34" s="96">
        <f t="shared" si="5"/>
        <v>1168190.7071259485</v>
      </c>
      <c r="S34" s="96">
        <f t="shared" si="5"/>
        <v>1110334.5194327231</v>
      </c>
      <c r="T34" s="96">
        <f t="shared" si="5"/>
        <v>1052478.3317394974</v>
      </c>
      <c r="U34" s="96">
        <f t="shared" si="5"/>
        <v>994622.1440462718</v>
      </c>
      <c r="V34" s="96">
        <f t="shared" si="5"/>
        <v>936765.95635304647</v>
      </c>
      <c r="W34" s="96">
        <f t="shared" si="5"/>
        <v>878909.76865982078</v>
      </c>
      <c r="X34" s="96">
        <f t="shared" si="5"/>
        <v>821053.58096659544</v>
      </c>
      <c r="Y34" s="96">
        <f t="shared" si="5"/>
        <v>767846.98554757563</v>
      </c>
      <c r="Z34" s="96">
        <f t="shared" si="5"/>
        <v>723937.49059257819</v>
      </c>
      <c r="AA34" s="96">
        <f t="shared" si="5"/>
        <v>684677.58791178663</v>
      </c>
      <c r="AB34" s="96">
        <f t="shared" si="5"/>
        <v>645417.68523099506</v>
      </c>
      <c r="AC34" s="96">
        <f t="shared" si="5"/>
        <v>606157.78255020338</v>
      </c>
      <c r="AD34" s="96">
        <f t="shared" si="5"/>
        <v>566897.87986941182</v>
      </c>
      <c r="AE34" s="96">
        <f t="shared" si="5"/>
        <v>527637.97718862025</v>
      </c>
      <c r="AF34" s="96">
        <f t="shared" si="5"/>
        <v>488378.07450782874</v>
      </c>
      <c r="AG34" s="96">
        <f t="shared" si="5"/>
        <v>449118.17182703718</v>
      </c>
      <c r="AH34" s="96">
        <f t="shared" si="5"/>
        <v>409858.26914624556</v>
      </c>
      <c r="AI34" s="96">
        <f t="shared" si="5"/>
        <v>370598.36646545399</v>
      </c>
      <c r="AJ34" s="96">
        <f t="shared" si="5"/>
        <v>331338.46378466248</v>
      </c>
      <c r="AK34" s="96">
        <f t="shared" si="5"/>
        <v>292078.56110387086</v>
      </c>
      <c r="AL34" s="96">
        <f t="shared" si="5"/>
        <v>252818.65842307927</v>
      </c>
      <c r="AM34" s="96">
        <f t="shared" si="5"/>
        <v>213558.75574228767</v>
      </c>
      <c r="AN34" s="96">
        <f t="shared" si="5"/>
        <v>174298.85306149611</v>
      </c>
      <c r="AO34" s="96">
        <f t="shared" si="5"/>
        <v>135038.95038070451</v>
      </c>
      <c r="AP34" s="96">
        <f t="shared" si="5"/>
        <v>95779.047699912931</v>
      </c>
      <c r="AQ34" s="96">
        <f t="shared" si="5"/>
        <v>56519.145019121359</v>
      </c>
      <c r="AR34" s="96">
        <f t="shared" si="5"/>
        <v>18444.594046329781</v>
      </c>
      <c r="AS34" s="96">
        <f t="shared" si="5"/>
        <v>-5.5860660102451222E-3</v>
      </c>
      <c r="AT34" s="100">
        <f t="shared" si="3"/>
        <v>35343827.121656649</v>
      </c>
    </row>
    <row r="35" spans="1:46" x14ac:dyDescent="0.2">
      <c r="A35" s="242">
        <f>A34+1</f>
        <v>6</v>
      </c>
      <c r="B35" s="2"/>
      <c r="C35" s="2" t="s">
        <v>58</v>
      </c>
      <c r="D35" s="114"/>
      <c r="E35" s="38">
        <f>E32+E33+E34</f>
        <v>3172185.0641115634</v>
      </c>
      <c r="F35" s="98">
        <f>F32+F33+F34</f>
        <v>3071512.1566586113</v>
      </c>
      <c r="G35" s="98">
        <f>G32+G33+G34</f>
        <v>2960953.3172053196</v>
      </c>
      <c r="H35" s="98">
        <f t="shared" ref="H35:AS35" si="6">H32+H33+H34</f>
        <v>2853913.8290141919</v>
      </c>
      <c r="I35" s="98">
        <f t="shared" si="6"/>
        <v>2750130.2473650286</v>
      </c>
      <c r="J35" s="98">
        <f t="shared" si="6"/>
        <v>2649359.392516105</v>
      </c>
      <c r="K35" s="98">
        <f t="shared" si="6"/>
        <v>2551374.9722077623</v>
      </c>
      <c r="L35" s="98">
        <f t="shared" si="6"/>
        <v>2455967.5816624057</v>
      </c>
      <c r="M35" s="98">
        <f t="shared" si="6"/>
        <v>2361999.0045889132</v>
      </c>
      <c r="N35" s="98">
        <f t="shared" si="6"/>
        <v>2268236.4547966025</v>
      </c>
      <c r="O35" s="98">
        <f t="shared" si="6"/>
        <v>2174473.9050042913</v>
      </c>
      <c r="P35" s="98">
        <f t="shared" si="6"/>
        <v>2080711.3552119806</v>
      </c>
      <c r="Q35" s="98">
        <f t="shared" si="6"/>
        <v>1986948.8054196704</v>
      </c>
      <c r="R35" s="98">
        <f t="shared" si="6"/>
        <v>1893186.2556273595</v>
      </c>
      <c r="S35" s="98">
        <f t="shared" si="6"/>
        <v>1799423.705835049</v>
      </c>
      <c r="T35" s="98">
        <f t="shared" si="6"/>
        <v>1705661.1560427379</v>
      </c>
      <c r="U35" s="98">
        <f t="shared" si="6"/>
        <v>1611898.6062504272</v>
      </c>
      <c r="V35" s="98">
        <f t="shared" si="6"/>
        <v>1518136.056458117</v>
      </c>
      <c r="W35" s="98">
        <f t="shared" si="6"/>
        <v>1424373.5066658061</v>
      </c>
      <c r="X35" s="98">
        <f t="shared" si="6"/>
        <v>1330610.9568734956</v>
      </c>
      <c r="Y35" s="98">
        <f t="shared" si="6"/>
        <v>1244383.6015781981</v>
      </c>
      <c r="Z35" s="98">
        <f t="shared" si="6"/>
        <v>1173223.2577805161</v>
      </c>
      <c r="AA35" s="98">
        <f t="shared" si="6"/>
        <v>1109598.1084798472</v>
      </c>
      <c r="AB35" s="98">
        <f t="shared" si="6"/>
        <v>1045972.9591791783</v>
      </c>
      <c r="AC35" s="98">
        <f t="shared" si="6"/>
        <v>982347.80987850949</v>
      </c>
      <c r="AD35" s="98">
        <f t="shared" si="6"/>
        <v>918722.66057784064</v>
      </c>
      <c r="AE35" s="98">
        <f t="shared" si="6"/>
        <v>855097.51127717178</v>
      </c>
      <c r="AF35" s="98">
        <f t="shared" si="6"/>
        <v>791472.36197650316</v>
      </c>
      <c r="AG35" s="98">
        <f t="shared" si="6"/>
        <v>727847.21267583431</v>
      </c>
      <c r="AH35" s="98">
        <f t="shared" si="6"/>
        <v>664222.06337516545</v>
      </c>
      <c r="AI35" s="98">
        <f t="shared" si="6"/>
        <v>600596.91407449672</v>
      </c>
      <c r="AJ35" s="98">
        <f t="shared" si="6"/>
        <v>536971.76477382798</v>
      </c>
      <c r="AK35" s="98">
        <f t="shared" si="6"/>
        <v>473346.61547315912</v>
      </c>
      <c r="AL35" s="98">
        <f t="shared" si="6"/>
        <v>409721.46617249027</v>
      </c>
      <c r="AM35" s="98">
        <f t="shared" si="6"/>
        <v>346096.31687182141</v>
      </c>
      <c r="AN35" s="98">
        <f t="shared" si="6"/>
        <v>282471.16757115268</v>
      </c>
      <c r="AO35" s="98">
        <f t="shared" si="6"/>
        <v>218846.01827048385</v>
      </c>
      <c r="AP35" s="98">
        <f t="shared" si="6"/>
        <v>155220.86896981503</v>
      </c>
      <c r="AQ35" s="98">
        <f t="shared" si="6"/>
        <v>91595.71966914623</v>
      </c>
      <c r="AR35" s="98">
        <f t="shared" si="6"/>
        <v>29891.567982977431</v>
      </c>
      <c r="AS35" s="98">
        <f t="shared" si="6"/>
        <v>-9.052856977129705E-3</v>
      </c>
      <c r="AT35" s="100">
        <f t="shared" si="3"/>
        <v>57278702.287070714</v>
      </c>
    </row>
    <row r="36" spans="1:46" x14ac:dyDescent="0.2">
      <c r="A36" s="2"/>
      <c r="B36" s="2"/>
      <c r="C36" s="2"/>
      <c r="D36" s="114"/>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100">
        <f t="shared" si="3"/>
        <v>0</v>
      </c>
    </row>
    <row r="37" spans="1:46" x14ac:dyDescent="0.2">
      <c r="A37" s="242">
        <f>A35+1</f>
        <v>7</v>
      </c>
      <c r="B37" s="2" t="s">
        <v>59</v>
      </c>
      <c r="C37" s="2"/>
      <c r="D37" s="114"/>
      <c r="E37" s="41">
        <f>E27+E29+E35</f>
        <v>4782332.0892498977</v>
      </c>
      <c r="F37" s="95">
        <f>F27+F29+F35</f>
        <v>4665146.2107657976</v>
      </c>
      <c r="G37" s="95">
        <f t="shared" ref="G37:AS37" si="7">G27+G29+G35</f>
        <v>4536452.8507218212</v>
      </c>
      <c r="H37" s="95">
        <f t="shared" si="7"/>
        <v>4411856.1069352394</v>
      </c>
      <c r="I37" s="95">
        <f t="shared" si="7"/>
        <v>4291049.3229107764</v>
      </c>
      <c r="J37" s="95">
        <f t="shared" si="7"/>
        <v>4173749.43111433</v>
      </c>
      <c r="K37" s="95">
        <f t="shared" si="7"/>
        <v>4059693.0214794483</v>
      </c>
      <c r="L37" s="95">
        <f t="shared" si="7"/>
        <v>3948636.3414073219</v>
      </c>
      <c r="M37" s="95">
        <f t="shared" si="7"/>
        <v>3839254.4775786218</v>
      </c>
      <c r="N37" s="95">
        <f t="shared" si="7"/>
        <v>3730112.4348552004</v>
      </c>
      <c r="O37" s="95">
        <f t="shared" si="7"/>
        <v>3620970.3921317789</v>
      </c>
      <c r="P37" s="95">
        <f t="shared" si="7"/>
        <v>3511828.3494083574</v>
      </c>
      <c r="Q37" s="95">
        <f t="shared" si="7"/>
        <v>3402686.3066849369</v>
      </c>
      <c r="R37" s="95">
        <f t="shared" si="7"/>
        <v>3293544.2639615154</v>
      </c>
      <c r="S37" s="95">
        <f t="shared" si="7"/>
        <v>3184402.2212380944</v>
      </c>
      <c r="T37" s="95">
        <f t="shared" si="7"/>
        <v>3075260.1785146724</v>
      </c>
      <c r="U37" s="95">
        <f t="shared" si="7"/>
        <v>2966118.1357912514</v>
      </c>
      <c r="V37" s="95">
        <f t="shared" si="7"/>
        <v>2856976.0930678304</v>
      </c>
      <c r="W37" s="95">
        <f t="shared" si="7"/>
        <v>2747834.050344409</v>
      </c>
      <c r="X37" s="95">
        <f t="shared" si="7"/>
        <v>2638692.0076209879</v>
      </c>
      <c r="Y37" s="95">
        <f t="shared" si="7"/>
        <v>2538321.1269611409</v>
      </c>
      <c r="Z37" s="95">
        <f t="shared" si="7"/>
        <v>2455488.638934915</v>
      </c>
      <c r="AA37" s="95">
        <f t="shared" si="7"/>
        <v>2381427.3129722639</v>
      </c>
      <c r="AB37" s="95">
        <f t="shared" si="7"/>
        <v>2307365.9870096124</v>
      </c>
      <c r="AC37" s="95">
        <f t="shared" si="7"/>
        <v>2233304.6610469609</v>
      </c>
      <c r="AD37" s="95">
        <f t="shared" si="7"/>
        <v>2159243.3350843098</v>
      </c>
      <c r="AE37" s="95">
        <f t="shared" si="7"/>
        <v>2085182.009121658</v>
      </c>
      <c r="AF37" s="95">
        <f t="shared" si="7"/>
        <v>2011120.6831590068</v>
      </c>
      <c r="AG37" s="95">
        <f t="shared" si="7"/>
        <v>1937059.3571963555</v>
      </c>
      <c r="AH37" s="95">
        <f t="shared" si="7"/>
        <v>1862998.031233704</v>
      </c>
      <c r="AI37" s="95">
        <f t="shared" si="7"/>
        <v>1788936.7052710527</v>
      </c>
      <c r="AJ37" s="95">
        <f t="shared" si="7"/>
        <v>1714875.3793084014</v>
      </c>
      <c r="AK37" s="95">
        <f t="shared" si="7"/>
        <v>1640814.0533457501</v>
      </c>
      <c r="AL37" s="95">
        <f t="shared" si="7"/>
        <v>1566752.7273830986</v>
      </c>
      <c r="AM37" s="95">
        <f t="shared" si="7"/>
        <v>1492691.401420447</v>
      </c>
      <c r="AN37" s="95">
        <f t="shared" si="7"/>
        <v>1418630.075457796</v>
      </c>
      <c r="AO37" s="95">
        <f t="shared" si="7"/>
        <v>1344568.7494951445</v>
      </c>
      <c r="AP37" s="95">
        <f t="shared" si="7"/>
        <v>1270507.4235324932</v>
      </c>
      <c r="AQ37" s="95">
        <f t="shared" si="7"/>
        <v>1196446.0975698417</v>
      </c>
      <c r="AR37" s="95">
        <f t="shared" si="7"/>
        <v>1058811.8627136904</v>
      </c>
      <c r="AS37" s="95">
        <f t="shared" si="7"/>
        <v>-1.0537760600106257E-2</v>
      </c>
      <c r="AT37" s="100">
        <f t="shared" si="3"/>
        <v>110201139.89346217</v>
      </c>
    </row>
    <row r="38" spans="1:46" x14ac:dyDescent="0.2">
      <c r="A38" s="242">
        <f>A37+1</f>
        <v>8</v>
      </c>
      <c r="B38" s="2" t="s">
        <v>60</v>
      </c>
      <c r="C38" s="2"/>
      <c r="D38" s="114"/>
      <c r="E38" s="40">
        <f>E37/(1-$F16)-E37</f>
        <v>227690.49645241257</v>
      </c>
      <c r="F38" s="96">
        <f t="shared" ref="F38:AS38" si="8">F37/(1-$F16)-F37</f>
        <v>222111.18695417978</v>
      </c>
      <c r="G38" s="96">
        <f t="shared" si="8"/>
        <v>215983.99743833486</v>
      </c>
      <c r="H38" s="96">
        <f t="shared" si="8"/>
        <v>210051.85096258204</v>
      </c>
      <c r="I38" s="96">
        <f t="shared" si="8"/>
        <v>204300.1473761294</v>
      </c>
      <c r="J38" s="96">
        <f t="shared" si="8"/>
        <v>198715.40961670317</v>
      </c>
      <c r="K38" s="96">
        <f t="shared" si="8"/>
        <v>193285.09652913641</v>
      </c>
      <c r="L38" s="96">
        <f t="shared" si="8"/>
        <v>187997.60286536068</v>
      </c>
      <c r="M38" s="96">
        <f t="shared" si="8"/>
        <v>182789.84848669032</v>
      </c>
      <c r="N38" s="96">
        <f t="shared" si="8"/>
        <v>177593.51217466639</v>
      </c>
      <c r="O38" s="96">
        <f t="shared" si="8"/>
        <v>172397.17586264247</v>
      </c>
      <c r="P38" s="96">
        <f t="shared" si="8"/>
        <v>167200.83955061855</v>
      </c>
      <c r="Q38" s="96">
        <f t="shared" si="8"/>
        <v>162004.50323859463</v>
      </c>
      <c r="R38" s="96">
        <f t="shared" si="8"/>
        <v>156808.1669265707</v>
      </c>
      <c r="S38" s="96">
        <f t="shared" si="8"/>
        <v>151611.83061454725</v>
      </c>
      <c r="T38" s="96">
        <f t="shared" si="8"/>
        <v>146415.49430252332</v>
      </c>
      <c r="U38" s="96">
        <f t="shared" si="8"/>
        <v>141219.1579904994</v>
      </c>
      <c r="V38" s="96">
        <f t="shared" si="8"/>
        <v>136022.82167847548</v>
      </c>
      <c r="W38" s="96">
        <f t="shared" si="8"/>
        <v>130826.48536645155</v>
      </c>
      <c r="X38" s="96">
        <f t="shared" si="8"/>
        <v>125630.14905442763</v>
      </c>
      <c r="Y38" s="96">
        <f t="shared" si="8"/>
        <v>120851.41449139314</v>
      </c>
      <c r="Z38" s="96">
        <f t="shared" si="8"/>
        <v>116907.69624491781</v>
      </c>
      <c r="AA38" s="96">
        <f t="shared" si="8"/>
        <v>113381.57974743191</v>
      </c>
      <c r="AB38" s="96">
        <f t="shared" si="8"/>
        <v>109855.46324994601</v>
      </c>
      <c r="AC38" s="96">
        <f t="shared" si="8"/>
        <v>106329.34675246011</v>
      </c>
      <c r="AD38" s="96">
        <f t="shared" si="8"/>
        <v>102803.23025497468</v>
      </c>
      <c r="AE38" s="96">
        <f t="shared" si="8"/>
        <v>99277.113757488551</v>
      </c>
      <c r="AF38" s="96">
        <f t="shared" si="8"/>
        <v>95750.997260002885</v>
      </c>
      <c r="AG38" s="96">
        <f t="shared" si="8"/>
        <v>92224.880762516987</v>
      </c>
      <c r="AH38" s="96">
        <f t="shared" si="8"/>
        <v>88698.764265031088</v>
      </c>
      <c r="AI38" s="96">
        <f t="shared" si="8"/>
        <v>85172.64776754519</v>
      </c>
      <c r="AJ38" s="96">
        <f t="shared" si="8"/>
        <v>81646.531270059291</v>
      </c>
      <c r="AK38" s="96">
        <f t="shared" si="8"/>
        <v>78120.414772573393</v>
      </c>
      <c r="AL38" s="96">
        <f t="shared" si="8"/>
        <v>74594.298275087727</v>
      </c>
      <c r="AM38" s="96">
        <f t="shared" si="8"/>
        <v>71068.181777601829</v>
      </c>
      <c r="AN38" s="96">
        <f t="shared" si="8"/>
        <v>67542.06528011593</v>
      </c>
      <c r="AO38" s="96">
        <f t="shared" si="8"/>
        <v>64015.948782630032</v>
      </c>
      <c r="AP38" s="96">
        <f t="shared" si="8"/>
        <v>60489.832285144133</v>
      </c>
      <c r="AQ38" s="96">
        <f t="shared" si="8"/>
        <v>56963.715787658235</v>
      </c>
      <c r="AR38" s="96">
        <f t="shared" si="8"/>
        <v>50410.844368777005</v>
      </c>
      <c r="AS38" s="96">
        <f t="shared" si="8"/>
        <v>-5.0171085942114259E-4</v>
      </c>
      <c r="AT38" s="100">
        <f t="shared" si="3"/>
        <v>5246760.7400931939</v>
      </c>
    </row>
    <row r="39" spans="1:46" x14ac:dyDescent="0.2">
      <c r="A39" s="242">
        <f>A38+1</f>
        <v>9</v>
      </c>
      <c r="B39" s="2"/>
      <c r="C39" s="2" t="s">
        <v>61</v>
      </c>
      <c r="D39" s="114"/>
      <c r="E39" s="41">
        <f>SUM(E37:E38)</f>
        <v>5010022.5857023103</v>
      </c>
      <c r="F39" s="95">
        <f t="shared" ref="F39:AS39" si="9">SUM(F37:F38)</f>
        <v>4887257.3977199774</v>
      </c>
      <c r="G39" s="95">
        <f t="shared" si="9"/>
        <v>4752436.848160156</v>
      </c>
      <c r="H39" s="95">
        <f t="shared" si="9"/>
        <v>4621907.9578978214</v>
      </c>
      <c r="I39" s="95">
        <f t="shared" si="9"/>
        <v>4495349.4702869058</v>
      </c>
      <c r="J39" s="95">
        <f t="shared" si="9"/>
        <v>4372464.8407310331</v>
      </c>
      <c r="K39" s="95">
        <f t="shared" si="9"/>
        <v>4252978.1180085847</v>
      </c>
      <c r="L39" s="95">
        <f t="shared" si="9"/>
        <v>4136633.9442726825</v>
      </c>
      <c r="M39" s="95">
        <f t="shared" si="9"/>
        <v>4022044.3260653121</v>
      </c>
      <c r="N39" s="95">
        <f t="shared" si="9"/>
        <v>3907705.9470298667</v>
      </c>
      <c r="O39" s="95">
        <f t="shared" si="9"/>
        <v>3793367.5679944213</v>
      </c>
      <c r="P39" s="95">
        <f t="shared" si="9"/>
        <v>3679029.188958976</v>
      </c>
      <c r="Q39" s="95">
        <f t="shared" si="9"/>
        <v>3564690.8099235315</v>
      </c>
      <c r="R39" s="95">
        <f t="shared" si="9"/>
        <v>3450352.4308880861</v>
      </c>
      <c r="S39" s="95">
        <f t="shared" si="9"/>
        <v>3336014.0518526416</v>
      </c>
      <c r="T39" s="95">
        <f t="shared" si="9"/>
        <v>3221675.6728171958</v>
      </c>
      <c r="U39" s="95">
        <f t="shared" si="9"/>
        <v>3107337.2937817508</v>
      </c>
      <c r="V39" s="95">
        <f t="shared" si="9"/>
        <v>2992998.9147463059</v>
      </c>
      <c r="W39" s="95">
        <f t="shared" si="9"/>
        <v>2878660.5357108605</v>
      </c>
      <c r="X39" s="95">
        <f t="shared" si="9"/>
        <v>2764322.1566754156</v>
      </c>
      <c r="Y39" s="95">
        <f t="shared" si="9"/>
        <v>2659172.541452534</v>
      </c>
      <c r="Z39" s="95">
        <f t="shared" si="9"/>
        <v>2572396.3351798328</v>
      </c>
      <c r="AA39" s="95">
        <f t="shared" si="9"/>
        <v>2494808.8927196958</v>
      </c>
      <c r="AB39" s="95">
        <f t="shared" si="9"/>
        <v>2417221.4502595584</v>
      </c>
      <c r="AC39" s="95">
        <f t="shared" si="9"/>
        <v>2339634.007799421</v>
      </c>
      <c r="AD39" s="95">
        <f t="shared" si="9"/>
        <v>2262046.5653392845</v>
      </c>
      <c r="AE39" s="95">
        <f t="shared" si="9"/>
        <v>2184459.1228791466</v>
      </c>
      <c r="AF39" s="95">
        <f t="shared" si="9"/>
        <v>2106871.6804190096</v>
      </c>
      <c r="AG39" s="95">
        <f t="shared" si="9"/>
        <v>2029284.2379588725</v>
      </c>
      <c r="AH39" s="95">
        <f t="shared" si="9"/>
        <v>1951696.795498735</v>
      </c>
      <c r="AI39" s="95">
        <f t="shared" si="9"/>
        <v>1874109.3530385979</v>
      </c>
      <c r="AJ39" s="95">
        <f t="shared" si="9"/>
        <v>1796521.9105784607</v>
      </c>
      <c r="AK39" s="95">
        <f t="shared" si="9"/>
        <v>1718934.4681183235</v>
      </c>
      <c r="AL39" s="95">
        <f t="shared" si="9"/>
        <v>1641347.0256581863</v>
      </c>
      <c r="AM39" s="95">
        <f t="shared" si="9"/>
        <v>1563759.5831980489</v>
      </c>
      <c r="AN39" s="95">
        <f t="shared" si="9"/>
        <v>1486172.1407379119</v>
      </c>
      <c r="AO39" s="95">
        <f t="shared" si="9"/>
        <v>1408584.6982777745</v>
      </c>
      <c r="AP39" s="95">
        <f t="shared" si="9"/>
        <v>1330997.2558176373</v>
      </c>
      <c r="AQ39" s="95">
        <f t="shared" si="9"/>
        <v>1253409.8133574999</v>
      </c>
      <c r="AR39" s="95">
        <f t="shared" si="9"/>
        <v>1109222.7070824674</v>
      </c>
      <c r="AS39" s="95">
        <f t="shared" si="9"/>
        <v>-1.1039471459527399E-2</v>
      </c>
      <c r="AT39" s="100">
        <f t="shared" si="3"/>
        <v>115447900.63355534</v>
      </c>
    </row>
    <row r="40" spans="1:46" x14ac:dyDescent="0.2">
      <c r="A40" s="242">
        <f t="shared" ref="A40:A66" si="10">A39+1</f>
        <v>10</v>
      </c>
      <c r="B40" s="2"/>
      <c r="C40" s="2"/>
      <c r="D40" s="114"/>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100">
        <f t="shared" si="3"/>
        <v>0</v>
      </c>
    </row>
    <row r="41" spans="1:46" x14ac:dyDescent="0.2">
      <c r="A41" s="242">
        <f t="shared" si="10"/>
        <v>11</v>
      </c>
      <c r="B41" s="2"/>
      <c r="C41" s="2"/>
      <c r="D41" s="114"/>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100">
        <f t="shared" si="3"/>
        <v>0</v>
      </c>
    </row>
    <row r="42" spans="1:46" x14ac:dyDescent="0.2">
      <c r="A42" s="242">
        <f t="shared" si="10"/>
        <v>12</v>
      </c>
      <c r="B42" s="2" t="s">
        <v>140</v>
      </c>
      <c r="C42" s="2"/>
      <c r="D42" s="114"/>
      <c r="E42" s="40">
        <f>E39</f>
        <v>5010022.5857023103</v>
      </c>
      <c r="F42" s="96">
        <f>F39</f>
        <v>4887257.3977199774</v>
      </c>
      <c r="G42" s="96">
        <f t="shared" ref="G42:AS42" si="11">G39</f>
        <v>4752436.848160156</v>
      </c>
      <c r="H42" s="96">
        <f t="shared" si="11"/>
        <v>4621907.9578978214</v>
      </c>
      <c r="I42" s="96">
        <f t="shared" si="11"/>
        <v>4495349.4702869058</v>
      </c>
      <c r="J42" s="96">
        <f t="shared" si="11"/>
        <v>4372464.8407310331</v>
      </c>
      <c r="K42" s="96">
        <f t="shared" si="11"/>
        <v>4252978.1180085847</v>
      </c>
      <c r="L42" s="96">
        <f t="shared" si="11"/>
        <v>4136633.9442726825</v>
      </c>
      <c r="M42" s="96">
        <f t="shared" si="11"/>
        <v>4022044.3260653121</v>
      </c>
      <c r="N42" s="96">
        <f t="shared" si="11"/>
        <v>3907705.9470298667</v>
      </c>
      <c r="O42" s="96">
        <f t="shared" si="11"/>
        <v>3793367.5679944213</v>
      </c>
      <c r="P42" s="96">
        <f t="shared" si="11"/>
        <v>3679029.188958976</v>
      </c>
      <c r="Q42" s="96">
        <f t="shared" si="11"/>
        <v>3564690.8099235315</v>
      </c>
      <c r="R42" s="96">
        <f t="shared" si="11"/>
        <v>3450352.4308880861</v>
      </c>
      <c r="S42" s="96">
        <f t="shared" si="11"/>
        <v>3336014.0518526416</v>
      </c>
      <c r="T42" s="96">
        <f t="shared" si="11"/>
        <v>3221675.6728171958</v>
      </c>
      <c r="U42" s="96">
        <f t="shared" si="11"/>
        <v>3107337.2937817508</v>
      </c>
      <c r="V42" s="96">
        <f t="shared" si="11"/>
        <v>2992998.9147463059</v>
      </c>
      <c r="W42" s="96">
        <f t="shared" si="11"/>
        <v>2878660.5357108605</v>
      </c>
      <c r="X42" s="96">
        <f t="shared" si="11"/>
        <v>2764322.1566754156</v>
      </c>
      <c r="Y42" s="96">
        <f t="shared" si="11"/>
        <v>2659172.541452534</v>
      </c>
      <c r="Z42" s="96">
        <f t="shared" si="11"/>
        <v>2572396.3351798328</v>
      </c>
      <c r="AA42" s="96">
        <f t="shared" si="11"/>
        <v>2494808.8927196958</v>
      </c>
      <c r="AB42" s="96">
        <f t="shared" si="11"/>
        <v>2417221.4502595584</v>
      </c>
      <c r="AC42" s="96">
        <f t="shared" si="11"/>
        <v>2339634.007799421</v>
      </c>
      <c r="AD42" s="96">
        <f t="shared" si="11"/>
        <v>2262046.5653392845</v>
      </c>
      <c r="AE42" s="96">
        <f t="shared" si="11"/>
        <v>2184459.1228791466</v>
      </c>
      <c r="AF42" s="96">
        <f t="shared" si="11"/>
        <v>2106871.6804190096</v>
      </c>
      <c r="AG42" s="96">
        <f t="shared" si="11"/>
        <v>2029284.2379588725</v>
      </c>
      <c r="AH42" s="96">
        <f t="shared" si="11"/>
        <v>1951696.795498735</v>
      </c>
      <c r="AI42" s="96">
        <f t="shared" si="11"/>
        <v>1874109.3530385979</v>
      </c>
      <c r="AJ42" s="96">
        <f t="shared" si="11"/>
        <v>1796521.9105784607</v>
      </c>
      <c r="AK42" s="96">
        <f t="shared" si="11"/>
        <v>1718934.4681183235</v>
      </c>
      <c r="AL42" s="96">
        <f t="shared" si="11"/>
        <v>1641347.0256581863</v>
      </c>
      <c r="AM42" s="96">
        <f t="shared" si="11"/>
        <v>1563759.5831980489</v>
      </c>
      <c r="AN42" s="96">
        <f t="shared" si="11"/>
        <v>1486172.1407379119</v>
      </c>
      <c r="AO42" s="96">
        <f t="shared" si="11"/>
        <v>1408584.6982777745</v>
      </c>
      <c r="AP42" s="96">
        <f t="shared" si="11"/>
        <v>1330997.2558176373</v>
      </c>
      <c r="AQ42" s="96">
        <f t="shared" si="11"/>
        <v>1253409.8133574999</v>
      </c>
      <c r="AR42" s="96">
        <f t="shared" si="11"/>
        <v>1109222.7070824674</v>
      </c>
      <c r="AS42" s="96">
        <f t="shared" si="11"/>
        <v>-1.1039471459527399E-2</v>
      </c>
      <c r="AT42" s="100">
        <f t="shared" si="3"/>
        <v>115447900.63355534</v>
      </c>
    </row>
    <row r="43" spans="1:46" x14ac:dyDescent="0.2">
      <c r="A43" s="242">
        <f t="shared" si="10"/>
        <v>13</v>
      </c>
      <c r="B43" s="2"/>
      <c r="C43" s="2"/>
      <c r="D43" s="114"/>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242">
        <f t="shared" si="10"/>
        <v>14</v>
      </c>
      <c r="B44" s="2"/>
      <c r="C44" s="2"/>
      <c r="D44" s="114"/>
      <c r="E44" s="43"/>
      <c r="F44" s="11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242">
        <f t="shared" si="10"/>
        <v>15</v>
      </c>
      <c r="B45" s="2" t="s">
        <v>63</v>
      </c>
      <c r="C45" s="114"/>
      <c r="D45" s="114"/>
      <c r="E45" s="45">
        <f>+E42/$F$22</f>
        <v>0.11510084838620277</v>
      </c>
      <c r="F45" s="97">
        <f t="shared" ref="F45:AS45" si="12">+F42/$F$22</f>
        <v>0.11228042651238054</v>
      </c>
      <c r="G45" s="97">
        <f t="shared" si="12"/>
        <v>0.10918304334318786</v>
      </c>
      <c r="H45" s="97">
        <f t="shared" si="12"/>
        <v>0.106184257259672</v>
      </c>
      <c r="I45" s="97">
        <f t="shared" si="12"/>
        <v>0.10327668767384564</v>
      </c>
      <c r="J45" s="97">
        <f t="shared" si="12"/>
        <v>0.10045352173525887</v>
      </c>
      <c r="K45" s="97">
        <f t="shared" si="12"/>
        <v>9.7708419708076519E-2</v>
      </c>
      <c r="L45" s="97">
        <f t="shared" si="12"/>
        <v>9.5035514971077831E-2</v>
      </c>
      <c r="M45" s="97">
        <f t="shared" si="12"/>
        <v>9.2402919599240699E-2</v>
      </c>
      <c r="N45" s="97">
        <f t="shared" si="12"/>
        <v>8.9776096225701332E-2</v>
      </c>
      <c r="O45" s="97">
        <f t="shared" si="12"/>
        <v>8.7149272852161952E-2</v>
      </c>
      <c r="P45" s="97">
        <f t="shared" si="12"/>
        <v>8.4522449478622586E-2</v>
      </c>
      <c r="Q45" s="97">
        <f t="shared" si="12"/>
        <v>8.1895626105083233E-2</v>
      </c>
      <c r="R45" s="97">
        <f t="shared" si="12"/>
        <v>7.9268802731543866E-2</v>
      </c>
      <c r="S45" s="97">
        <f t="shared" si="12"/>
        <v>7.6641979358004514E-2</v>
      </c>
      <c r="T45" s="97">
        <f t="shared" si="12"/>
        <v>7.4015155984465134E-2</v>
      </c>
      <c r="U45" s="97">
        <f t="shared" si="12"/>
        <v>7.1388332610925767E-2</v>
      </c>
      <c r="V45" s="97">
        <f t="shared" si="12"/>
        <v>6.8761509237386415E-2</v>
      </c>
      <c r="W45" s="97">
        <f t="shared" si="12"/>
        <v>6.6134685863847048E-2</v>
      </c>
      <c r="X45" s="97">
        <f t="shared" si="12"/>
        <v>6.3507862490307682E-2</v>
      </c>
      <c r="Y45" s="97">
        <f t="shared" si="12"/>
        <v>6.1092142857790327E-2</v>
      </c>
      <c r="Z45" s="97">
        <f t="shared" si="12"/>
        <v>5.9098536084394131E-2</v>
      </c>
      <c r="AA45" s="97">
        <f t="shared" si="12"/>
        <v>5.731603305201996E-2</v>
      </c>
      <c r="AB45" s="97">
        <f t="shared" si="12"/>
        <v>5.5533530019645776E-2</v>
      </c>
      <c r="AC45" s="97">
        <f t="shared" si="12"/>
        <v>5.3751026987271591E-2</v>
      </c>
      <c r="AD45" s="97">
        <f t="shared" si="12"/>
        <v>5.1968523954897435E-2</v>
      </c>
      <c r="AE45" s="97">
        <f t="shared" si="12"/>
        <v>5.0186020922523243E-2</v>
      </c>
      <c r="AF45" s="97">
        <f t="shared" si="12"/>
        <v>4.8403517890149066E-2</v>
      </c>
      <c r="AG45" s="97">
        <f t="shared" si="12"/>
        <v>4.6621014857774895E-2</v>
      </c>
      <c r="AH45" s="97">
        <f t="shared" si="12"/>
        <v>4.4838511825400711E-2</v>
      </c>
      <c r="AI45" s="97">
        <f t="shared" si="12"/>
        <v>4.3056008793026533E-2</v>
      </c>
      <c r="AJ45" s="97">
        <f t="shared" si="12"/>
        <v>4.1273505760652356E-2</v>
      </c>
      <c r="AK45" s="97">
        <f t="shared" si="12"/>
        <v>3.9491002728278178E-2</v>
      </c>
      <c r="AL45" s="97">
        <f t="shared" si="12"/>
        <v>3.7708499695904008E-2</v>
      </c>
      <c r="AM45" s="97">
        <f t="shared" si="12"/>
        <v>3.5925996663529823E-2</v>
      </c>
      <c r="AN45" s="97">
        <f t="shared" si="12"/>
        <v>3.4143493631155653E-2</v>
      </c>
      <c r="AO45" s="97">
        <f t="shared" si="12"/>
        <v>3.2360990598781468E-2</v>
      </c>
      <c r="AP45" s="97">
        <f t="shared" si="12"/>
        <v>3.0578487566407294E-2</v>
      </c>
      <c r="AQ45" s="97">
        <f t="shared" si="12"/>
        <v>2.879598453403311E-2</v>
      </c>
      <c r="AR45" s="97">
        <f t="shared" si="12"/>
        <v>2.5483412988753066E-2</v>
      </c>
      <c r="AS45" s="97">
        <f t="shared" si="12"/>
        <v>-2.5362211626611947E-10</v>
      </c>
    </row>
    <row r="46" spans="1:46" outlineLevel="1" x14ac:dyDescent="0.2">
      <c r="A46" s="242">
        <f t="shared" si="10"/>
        <v>16</v>
      </c>
      <c r="B46" s="2"/>
      <c r="C46" s="2"/>
      <c r="D46" s="114"/>
      <c r="E46" s="43"/>
      <c r="F46" s="11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242">
        <f t="shared" si="10"/>
        <v>17</v>
      </c>
      <c r="B47" s="2"/>
      <c r="C47" s="2"/>
      <c r="D47" s="114"/>
      <c r="E47" s="43">
        <f>+E27/2</f>
        <v>544913.1506883126</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242">
        <f t="shared" si="10"/>
        <v>18</v>
      </c>
      <c r="B48" s="2"/>
      <c r="C48" s="2"/>
      <c r="D48" s="114"/>
      <c r="E48" s="43">
        <f>+E60/2</f>
        <v>56956.757274203999</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242">
        <f t="shared" si="10"/>
        <v>19</v>
      </c>
      <c r="B49" s="46" t="s">
        <v>64</v>
      </c>
      <c r="C49" s="2"/>
      <c r="D49" s="114"/>
      <c r="E49" s="41">
        <f>F22-E27/2-E60/2</f>
        <v>42925372.992037393</v>
      </c>
      <c r="F49" s="113">
        <f>$F$22-(SUM($E$27:E27)+F27/2)-(SUM($E$60:E60)+F60/2)</f>
        <v>41563087.370211251</v>
      </c>
      <c r="G49" s="113">
        <f>$F$22-(SUM($E$27:F27)+G27/2)-(SUM($E$60:F60)+G60/2)</f>
        <v>40067027.296418399</v>
      </c>
      <c r="H49" s="113">
        <f>$F$22-(SUM($E$27:G27)+H27/2)-(SUM($E$60:G60)+H60/2)</f>
        <v>38618590.379082434</v>
      </c>
      <c r="I49" s="113">
        <f>$F$22-(SUM($E$27:H27)+I27/2)-(SUM($E$60:H60)+I60/2)</f>
        <v>37214211.737009853</v>
      </c>
      <c r="J49" s="113">
        <f>$F$22-(SUM($E$27:I27)+J27/2)-(SUM($E$60:I60)+J60/2)</f>
        <v>35850600.710637413</v>
      </c>
      <c r="K49" s="113">
        <f>$F$22-(SUM($E$27:J27)+K27/2)-(SUM($E$60:J60)+K60/2)</f>
        <v>34524695.158427097</v>
      </c>
      <c r="L49" s="113">
        <f>$F$22-(SUM($E$27:K27)+L27/2)-(SUM($E$60:K60)+L60/2)</f>
        <v>33233661.456866115</v>
      </c>
      <c r="M49" s="113">
        <f>$F$22-(SUM($E$27:L27)+M27/2)-(SUM($E$60:L60)+M60/2)</f>
        <v>31962097.4910543</v>
      </c>
      <c r="N49" s="113">
        <f>$F$22-(SUM($E$27:M27)+N27/2)-(SUM($E$60:M60)+N60/2)</f>
        <v>30693321.445150234</v>
      </c>
      <c r="O49" s="113">
        <f>$F$22-(SUM($E$27:N27)+O27/2)-(SUM($E$60:N60)+O60/2)</f>
        <v>29424545.399246164</v>
      </c>
      <c r="P49" s="113">
        <f>$F$22-(SUM($E$27:O27)+P27/2)-(SUM($E$60:O60)+P60/2)</f>
        <v>28155769.353342094</v>
      </c>
      <c r="Q49" s="113">
        <f>$F$22-(SUM($E$27:P27)+Q27/2)-(SUM($E$60:P60)+Q60/2)</f>
        <v>26886993.307438027</v>
      </c>
      <c r="R49" s="113">
        <f>$F$22-(SUM($E$27:Q27)+R27/2)-(SUM($E$60:Q60)+R60/2)</f>
        <v>25618217.261533957</v>
      </c>
      <c r="S49" s="113">
        <f>$F$22-(SUM($E$27:R27)+S27/2)-(SUM($E$60:R60)+S60/2)</f>
        <v>24349441.215629891</v>
      </c>
      <c r="T49" s="113">
        <f>$F$22-(SUM($E$27:S27)+T27/2)-(SUM($E$60:S60)+T60/2)</f>
        <v>23080665.16972582</v>
      </c>
      <c r="U49" s="113">
        <f>$F$22-(SUM($E$27:T27)+U27/2)-(SUM($E$60:T60)+U60/2)</f>
        <v>21811889.12382175</v>
      </c>
      <c r="V49" s="113">
        <f>$F$22-(SUM($E$27:U27)+V27/2)-(SUM($E$60:U60)+V60/2)</f>
        <v>20543113.077917684</v>
      </c>
      <c r="W49" s="113">
        <f>$F$22-(SUM($E$27:V27)+W27/2)-(SUM($E$60:V60)+W60/2)</f>
        <v>19274337.032013614</v>
      </c>
      <c r="X49" s="113">
        <f>$F$22-(SUM($E$27:W27)+X27/2)-(SUM($E$60:W60)+X60/2)</f>
        <v>18005560.986109547</v>
      </c>
      <c r="Y49" s="113">
        <f>$F$22-(SUM($E$27:X27)+Y27/2)-(SUM($E$60:X60)+Y60/2)</f>
        <v>16838749.68306087</v>
      </c>
      <c r="Z49" s="113">
        <f>$F$22-(SUM($E$27:Y27)+Z27/2)-(SUM($E$60:Y60)+Z60/2)</f>
        <v>15875822.162117943</v>
      </c>
      <c r="AA49" s="113">
        <f>$F$22-(SUM($E$27:Z27)+AA27/2)-(SUM($E$60:Z60)+AA60/2)</f>
        <v>15014859.384030407</v>
      </c>
      <c r="AB49" s="113">
        <f>$F$22-(SUM($E$27:AA27)+AB27/2)-(SUM($E$60:AA60)+AB60/2)</f>
        <v>14153896.605942873</v>
      </c>
      <c r="AC49" s="113">
        <f>$F$22-(SUM($E$27:AB27)+AC27/2)-(SUM($E$60:AB60)+AC60/2)</f>
        <v>13292933.827855337</v>
      </c>
      <c r="AD49" s="113">
        <f>$F$22-(SUM($E$27:AC27)+AD27/2)-(SUM($E$60:AC60)+AD60/2)</f>
        <v>12431971.049767803</v>
      </c>
      <c r="AE49" s="113">
        <f>$F$22-(SUM($E$27:AD27)+AE27/2)-(SUM($E$60:AD60)+AE60/2)</f>
        <v>11571008.271680269</v>
      </c>
      <c r="AF49" s="113">
        <f>$F$22-(SUM($E$27:AE27)+AF27/2)-(SUM($E$60:AE60)+AF60/2)</f>
        <v>10710045.493592735</v>
      </c>
      <c r="AG49" s="113">
        <f>$F$22-(SUM($E$27:AF27)+AG27/2)-(SUM($E$60:AF60)+AG60/2)</f>
        <v>9849082.7155052014</v>
      </c>
      <c r="AH49" s="113">
        <f>$F$22-(SUM($E$27:AG27)+AH27/2)-(SUM($E$60:AG60)+AH60/2)</f>
        <v>8988119.9374176655</v>
      </c>
      <c r="AI49" s="113">
        <f>$F$22-(SUM($E$27:AH27)+AI27/2)-(SUM($E$60:AH60)+AI60/2)</f>
        <v>8127157.1593301315</v>
      </c>
      <c r="AJ49" s="113">
        <f>$F$22-(SUM($E$27:AI27)+AJ27/2)-(SUM($E$60:AI60)+AJ60/2)</f>
        <v>7266194.3812425975</v>
      </c>
      <c r="AK49" s="113">
        <f>$F$22-(SUM($E$27:AJ27)+AK27/2)-(SUM($E$60:AJ60)+AK60/2)</f>
        <v>6405231.6031550625</v>
      </c>
      <c r="AL49" s="113">
        <f>$F$22-(SUM($E$27:AK27)+AL27/2)-(SUM($E$60:AK60)+AL60/2)</f>
        <v>5544268.8250675276</v>
      </c>
      <c r="AM49" s="113">
        <f>$F$22-(SUM($E$27:AL27)+AM27/2)-(SUM($E$60:AL60)+AM60/2)</f>
        <v>4683306.0469799927</v>
      </c>
      <c r="AN49" s="113">
        <f>$F$22-(SUM($E$27:AM27)+AN27/2)-(SUM($E$60:AM60)+AN60/2)</f>
        <v>3822343.2688924582</v>
      </c>
      <c r="AO49" s="113">
        <f>$F$22-(SUM($E$27:AN27)+AO27/2)-(SUM($E$60:AN60)+AO60/2)</f>
        <v>2961380.4908049237</v>
      </c>
      <c r="AP49" s="113">
        <f>$F$22-(SUM($E$27:AO27)+AP27/2)-(SUM($E$60:AO60)+AP60/2)</f>
        <v>2100417.7127173888</v>
      </c>
      <c r="AQ49" s="113">
        <f>$F$22-(SUM($E$27:AP27)+AQ27/2)-(SUM($E$60:AP60)+AQ60/2)</f>
        <v>1239454.9346298543</v>
      </c>
      <c r="AR49" s="113">
        <f>$F$22-(SUM($E$27:AQ27)+AR27/2)-(SUM($E$60:AQ60)+AR60/2)</f>
        <v>404486.71154231974</v>
      </c>
      <c r="AS49" s="113">
        <f>$F$22-(SUM($E$27:AR27)+AS27/2)-(SUM($E$60:AR60)+AS60/2)</f>
        <v>-0.12250144759309478</v>
      </c>
      <c r="AT49" s="100">
        <f t="shared" ref="AT49:AT60" si="13">SUM(D49:AS49)</f>
        <v>775083928.10650504</v>
      </c>
    </row>
    <row r="50" spans="1:46" x14ac:dyDescent="0.2">
      <c r="A50" s="242">
        <f t="shared" si="10"/>
        <v>20</v>
      </c>
      <c r="B50" s="2"/>
      <c r="C50" s="2"/>
      <c r="D50" s="114"/>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100">
        <f t="shared" si="13"/>
        <v>0</v>
      </c>
    </row>
    <row r="51" spans="1:46" x14ac:dyDescent="0.2">
      <c r="A51" s="242">
        <f t="shared" si="10"/>
        <v>21</v>
      </c>
      <c r="B51" s="2"/>
      <c r="C51" s="2"/>
      <c r="D51" s="114"/>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100">
        <f t="shared" si="13"/>
        <v>0</v>
      </c>
    </row>
    <row r="52" spans="1:46" x14ac:dyDescent="0.2">
      <c r="A52" s="242">
        <f t="shared" si="10"/>
        <v>22</v>
      </c>
      <c r="B52" s="2" t="s">
        <v>65</v>
      </c>
      <c r="C52" s="2"/>
      <c r="D52" s="114"/>
      <c r="E52" s="38">
        <f>(E34)/(1-$F$15)</f>
        <v>2477717.7321986142</v>
      </c>
      <c r="F52" s="98">
        <f t="shared" ref="F52:AS52" si="14">(F34)/(1-$F$15)</f>
        <v>2399084.5368121937</v>
      </c>
      <c r="G52" s="98">
        <f t="shared" si="14"/>
        <v>2312729.6768565555</v>
      </c>
      <c r="H52" s="98">
        <f t="shared" si="14"/>
        <v>2229123.6978305811</v>
      </c>
      <c r="I52" s="98">
        <f t="shared" si="14"/>
        <v>2148060.8293767716</v>
      </c>
      <c r="J52" s="98">
        <f t="shared" si="14"/>
        <v>2069351.129626666</v>
      </c>
      <c r="K52" s="98">
        <f t="shared" si="14"/>
        <v>1992817.8471193362</v>
      </c>
      <c r="L52" s="98">
        <f t="shared" si="14"/>
        <v>1918297.4208013858</v>
      </c>
      <c r="M52" s="98">
        <f t="shared" si="14"/>
        <v>1844900.8172051597</v>
      </c>
      <c r="N52" s="98">
        <f t="shared" si="14"/>
        <v>1771665.1365808237</v>
      </c>
      <c r="O52" s="98">
        <f t="shared" si="14"/>
        <v>1698429.4559564875</v>
      </c>
      <c r="P52" s="98">
        <f t="shared" si="14"/>
        <v>1625193.775332151</v>
      </c>
      <c r="Q52" s="98">
        <f t="shared" si="14"/>
        <v>1551958.0947078154</v>
      </c>
      <c r="R52" s="98">
        <f t="shared" si="14"/>
        <v>1478722.414083479</v>
      </c>
      <c r="S52" s="98">
        <f t="shared" si="14"/>
        <v>1405486.733459143</v>
      </c>
      <c r="T52" s="98">
        <f t="shared" si="14"/>
        <v>1332251.0528348067</v>
      </c>
      <c r="U52" s="98">
        <f t="shared" si="14"/>
        <v>1259015.3722104705</v>
      </c>
      <c r="V52" s="98">
        <f t="shared" si="14"/>
        <v>1185779.6915861347</v>
      </c>
      <c r="W52" s="98">
        <f t="shared" si="14"/>
        <v>1112544.0109617985</v>
      </c>
      <c r="X52" s="98">
        <f t="shared" si="14"/>
        <v>1039308.3303374626</v>
      </c>
      <c r="Y52" s="98">
        <f t="shared" si="14"/>
        <v>971958.20955389319</v>
      </c>
      <c r="Z52" s="98">
        <f t="shared" si="14"/>
        <v>916376.57037035213</v>
      </c>
      <c r="AA52" s="98">
        <f t="shared" si="14"/>
        <v>866680.49102757801</v>
      </c>
      <c r="AB52" s="98">
        <f t="shared" si="14"/>
        <v>816984.4116848039</v>
      </c>
      <c r="AC52" s="98">
        <f t="shared" si="14"/>
        <v>767288.33234202955</v>
      </c>
      <c r="AD52" s="98">
        <f t="shared" si="14"/>
        <v>717592.25299925543</v>
      </c>
      <c r="AE52" s="98">
        <f t="shared" si="14"/>
        <v>667896.17365648132</v>
      </c>
      <c r="AF52" s="98">
        <f t="shared" si="14"/>
        <v>618200.0943137072</v>
      </c>
      <c r="AG52" s="98">
        <f t="shared" si="14"/>
        <v>568504.01497093309</v>
      </c>
      <c r="AH52" s="98">
        <f t="shared" si="14"/>
        <v>518807.93562815891</v>
      </c>
      <c r="AI52" s="98">
        <f t="shared" si="14"/>
        <v>469111.8562853848</v>
      </c>
      <c r="AJ52" s="98">
        <f t="shared" si="14"/>
        <v>419415.77694261074</v>
      </c>
      <c r="AK52" s="98">
        <f t="shared" si="14"/>
        <v>369719.69759983651</v>
      </c>
      <c r="AL52" s="98">
        <f t="shared" si="14"/>
        <v>320023.61825706234</v>
      </c>
      <c r="AM52" s="98">
        <f t="shared" si="14"/>
        <v>270327.53891428816</v>
      </c>
      <c r="AN52" s="98">
        <f t="shared" si="14"/>
        <v>220631.45957151405</v>
      </c>
      <c r="AO52" s="98">
        <f t="shared" si="14"/>
        <v>170935.38022873987</v>
      </c>
      <c r="AP52" s="98">
        <f t="shared" si="14"/>
        <v>121239.30088596573</v>
      </c>
      <c r="AQ52" s="98">
        <f t="shared" si="14"/>
        <v>71543.221543191597</v>
      </c>
      <c r="AR52" s="98">
        <f t="shared" si="14"/>
        <v>23347.587400417444</v>
      </c>
      <c r="AS52" s="98">
        <f t="shared" si="14"/>
        <v>-7.0709696332216737E-3</v>
      </c>
      <c r="AT52" s="100">
        <f t="shared" si="13"/>
        <v>44739021.672983073</v>
      </c>
    </row>
    <row r="53" spans="1:46" x14ac:dyDescent="0.2">
      <c r="A53" s="242">
        <f t="shared" si="10"/>
        <v>23</v>
      </c>
      <c r="B53" s="2" t="s">
        <v>66</v>
      </c>
      <c r="C53" s="2"/>
      <c r="D53" s="114"/>
      <c r="E53" s="40">
        <f t="shared" ref="E53:AS53" si="15">E52*$F15</f>
        <v>520320.72376170894</v>
      </c>
      <c r="F53" s="96">
        <f t="shared" si="15"/>
        <v>503807.75273056066</v>
      </c>
      <c r="G53" s="96">
        <f t="shared" si="15"/>
        <v>485673.23213987664</v>
      </c>
      <c r="H53" s="96">
        <f t="shared" si="15"/>
        <v>468115.97654442204</v>
      </c>
      <c r="I53" s="96">
        <f t="shared" si="15"/>
        <v>451092.77416912204</v>
      </c>
      <c r="J53" s="96">
        <f t="shared" si="15"/>
        <v>434563.73722159985</v>
      </c>
      <c r="K53" s="96">
        <f t="shared" si="15"/>
        <v>418491.74789506057</v>
      </c>
      <c r="L53" s="96">
        <f t="shared" si="15"/>
        <v>402842.45836829097</v>
      </c>
      <c r="M53" s="96">
        <f t="shared" si="15"/>
        <v>387429.17161308351</v>
      </c>
      <c r="N53" s="96">
        <f t="shared" si="15"/>
        <v>372049.67868197296</v>
      </c>
      <c r="O53" s="96">
        <f t="shared" si="15"/>
        <v>356670.18575086235</v>
      </c>
      <c r="P53" s="96">
        <f t="shared" si="15"/>
        <v>341290.69281975168</v>
      </c>
      <c r="Q53" s="96">
        <f t="shared" si="15"/>
        <v>325911.19988864125</v>
      </c>
      <c r="R53" s="96">
        <f t="shared" si="15"/>
        <v>310531.70695753058</v>
      </c>
      <c r="S53" s="96">
        <f t="shared" si="15"/>
        <v>295152.21402642003</v>
      </c>
      <c r="T53" s="96">
        <f t="shared" si="15"/>
        <v>279772.72109530942</v>
      </c>
      <c r="U53" s="96">
        <f t="shared" si="15"/>
        <v>264393.22816419881</v>
      </c>
      <c r="V53" s="96">
        <f t="shared" si="15"/>
        <v>249013.73523308829</v>
      </c>
      <c r="W53" s="96">
        <f t="shared" si="15"/>
        <v>233634.24230197768</v>
      </c>
      <c r="X53" s="96">
        <f t="shared" si="15"/>
        <v>218254.74937086712</v>
      </c>
      <c r="Y53" s="96">
        <f t="shared" si="15"/>
        <v>204111.22400631756</v>
      </c>
      <c r="Z53" s="96">
        <f t="shared" si="15"/>
        <v>192439.07977777394</v>
      </c>
      <c r="AA53" s="96">
        <f t="shared" si="15"/>
        <v>182002.90311579139</v>
      </c>
      <c r="AB53" s="96">
        <f t="shared" si="15"/>
        <v>171566.72645380881</v>
      </c>
      <c r="AC53" s="96">
        <f t="shared" si="15"/>
        <v>161130.5497918262</v>
      </c>
      <c r="AD53" s="96">
        <f t="shared" si="15"/>
        <v>150694.37312984365</v>
      </c>
      <c r="AE53" s="96">
        <f t="shared" si="15"/>
        <v>140258.19646786107</v>
      </c>
      <c r="AF53" s="96">
        <f t="shared" si="15"/>
        <v>129822.0198058785</v>
      </c>
      <c r="AG53" s="96">
        <f t="shared" si="15"/>
        <v>119385.84314389594</v>
      </c>
      <c r="AH53" s="96">
        <f t="shared" si="15"/>
        <v>108949.66648191337</v>
      </c>
      <c r="AI53" s="96">
        <f t="shared" si="15"/>
        <v>98513.489819930808</v>
      </c>
      <c r="AJ53" s="96">
        <f t="shared" si="15"/>
        <v>88077.313157948258</v>
      </c>
      <c r="AK53" s="96">
        <f t="shared" si="15"/>
        <v>77641.136495965664</v>
      </c>
      <c r="AL53" s="96">
        <f t="shared" si="15"/>
        <v>67204.959833983085</v>
      </c>
      <c r="AM53" s="96">
        <f t="shared" si="15"/>
        <v>56768.783172000512</v>
      </c>
      <c r="AN53" s="96">
        <f t="shared" si="15"/>
        <v>46332.606510017948</v>
      </c>
      <c r="AO53" s="96">
        <f t="shared" si="15"/>
        <v>35896.429848035368</v>
      </c>
      <c r="AP53" s="96">
        <f t="shared" si="15"/>
        <v>25460.253186052803</v>
      </c>
      <c r="AQ53" s="96">
        <f t="shared" si="15"/>
        <v>15024.076524070235</v>
      </c>
      <c r="AR53" s="96">
        <f t="shared" si="15"/>
        <v>4902.9933540876627</v>
      </c>
      <c r="AS53" s="96">
        <f t="shared" si="15"/>
        <v>-1.4849036229765515E-3</v>
      </c>
      <c r="AT53" s="100">
        <f t="shared" si="13"/>
        <v>9395194.5513264444</v>
      </c>
    </row>
    <row r="54" spans="1:46" x14ac:dyDescent="0.2">
      <c r="A54" s="242">
        <f t="shared" si="10"/>
        <v>24</v>
      </c>
      <c r="B54" s="2" t="s">
        <v>67</v>
      </c>
      <c r="C54" s="2"/>
      <c r="D54" s="114"/>
      <c r="E54" s="38">
        <f>E52-E53</f>
        <v>1957397.0084369052</v>
      </c>
      <c r="F54" s="98">
        <f t="shared" ref="F54:AS54" si="16">F52-F53</f>
        <v>1895276.784081633</v>
      </c>
      <c r="G54" s="98">
        <f t="shared" si="16"/>
        <v>1827056.4447166789</v>
      </c>
      <c r="H54" s="98">
        <f t="shared" si="16"/>
        <v>1761007.721286159</v>
      </c>
      <c r="I54" s="98">
        <f t="shared" si="16"/>
        <v>1696968.0552076495</v>
      </c>
      <c r="J54" s="98">
        <f t="shared" si="16"/>
        <v>1634787.3924050662</v>
      </c>
      <c r="K54" s="98">
        <f t="shared" si="16"/>
        <v>1574326.0992242757</v>
      </c>
      <c r="L54" s="98">
        <f t="shared" si="16"/>
        <v>1515454.9624330949</v>
      </c>
      <c r="M54" s="98">
        <f t="shared" si="16"/>
        <v>1457471.6455920762</v>
      </c>
      <c r="N54" s="98">
        <f t="shared" si="16"/>
        <v>1399615.4578988508</v>
      </c>
      <c r="O54" s="98">
        <f t="shared" si="16"/>
        <v>1341759.2702056251</v>
      </c>
      <c r="P54" s="98">
        <f t="shared" si="16"/>
        <v>1283903.0825123992</v>
      </c>
      <c r="Q54" s="98">
        <f t="shared" si="16"/>
        <v>1226046.8948191742</v>
      </c>
      <c r="R54" s="98">
        <f t="shared" si="16"/>
        <v>1168190.7071259483</v>
      </c>
      <c r="S54" s="98">
        <f t="shared" si="16"/>
        <v>1110334.5194327231</v>
      </c>
      <c r="T54" s="98">
        <f t="shared" si="16"/>
        <v>1052478.3317394974</v>
      </c>
      <c r="U54" s="98">
        <f t="shared" si="16"/>
        <v>994622.14404627169</v>
      </c>
      <c r="V54" s="98">
        <f t="shared" si="16"/>
        <v>936765.95635304647</v>
      </c>
      <c r="W54" s="98">
        <f t="shared" si="16"/>
        <v>878909.76865982078</v>
      </c>
      <c r="X54" s="98">
        <f t="shared" si="16"/>
        <v>821053.58096659544</v>
      </c>
      <c r="Y54" s="98">
        <f t="shared" si="16"/>
        <v>767846.98554757563</v>
      </c>
      <c r="Z54" s="98">
        <f t="shared" si="16"/>
        <v>723937.49059257819</v>
      </c>
      <c r="AA54" s="98">
        <f t="shared" si="16"/>
        <v>684677.58791178663</v>
      </c>
      <c r="AB54" s="98">
        <f t="shared" si="16"/>
        <v>645417.68523099506</v>
      </c>
      <c r="AC54" s="98">
        <f t="shared" si="16"/>
        <v>606157.78255020338</v>
      </c>
      <c r="AD54" s="98">
        <f t="shared" si="16"/>
        <v>566897.87986941182</v>
      </c>
      <c r="AE54" s="98">
        <f t="shared" si="16"/>
        <v>527637.97718862025</v>
      </c>
      <c r="AF54" s="98">
        <f t="shared" si="16"/>
        <v>488378.07450782869</v>
      </c>
      <c r="AG54" s="98">
        <f t="shared" si="16"/>
        <v>449118.17182703712</v>
      </c>
      <c r="AH54" s="98">
        <f t="shared" si="16"/>
        <v>409858.26914624556</v>
      </c>
      <c r="AI54" s="98">
        <f t="shared" si="16"/>
        <v>370598.36646545399</v>
      </c>
      <c r="AJ54" s="98">
        <f t="shared" si="16"/>
        <v>331338.46378466248</v>
      </c>
      <c r="AK54" s="98">
        <f t="shared" si="16"/>
        <v>292078.56110387086</v>
      </c>
      <c r="AL54" s="98">
        <f t="shared" si="16"/>
        <v>252818.65842307924</v>
      </c>
      <c r="AM54" s="98">
        <f t="shared" si="16"/>
        <v>213558.75574228764</v>
      </c>
      <c r="AN54" s="98">
        <f t="shared" si="16"/>
        <v>174298.85306149611</v>
      </c>
      <c r="AO54" s="98">
        <f t="shared" si="16"/>
        <v>135038.95038070451</v>
      </c>
      <c r="AP54" s="98">
        <f t="shared" si="16"/>
        <v>95779.047699912917</v>
      </c>
      <c r="AQ54" s="98">
        <f t="shared" si="16"/>
        <v>56519.145019121366</v>
      </c>
      <c r="AR54" s="98">
        <f t="shared" si="16"/>
        <v>18444.594046329781</v>
      </c>
      <c r="AS54" s="98">
        <f t="shared" si="16"/>
        <v>-5.5860660102451222E-3</v>
      </c>
      <c r="AT54" s="100">
        <f t="shared" si="13"/>
        <v>35343827.121656641</v>
      </c>
    </row>
    <row r="55" spans="1:46" x14ac:dyDescent="0.2">
      <c r="A55" s="242">
        <f t="shared" si="10"/>
        <v>25</v>
      </c>
      <c r="B55" s="2"/>
      <c r="C55" s="2"/>
      <c r="D55" s="114"/>
      <c r="E55" s="116"/>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00">
        <f t="shared" si="13"/>
        <v>0</v>
      </c>
    </row>
    <row r="56" spans="1:46" x14ac:dyDescent="0.2">
      <c r="A56" s="242">
        <f t="shared" si="10"/>
        <v>26</v>
      </c>
      <c r="B56" s="2"/>
      <c r="C56" s="2"/>
      <c r="D56" s="114"/>
      <c r="E56" s="8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00">
        <f t="shared" si="13"/>
        <v>0</v>
      </c>
    </row>
    <row r="57" spans="1:46" x14ac:dyDescent="0.2">
      <c r="A57" s="242">
        <f t="shared" si="10"/>
        <v>27</v>
      </c>
      <c r="B57" s="2" t="s">
        <v>68</v>
      </c>
      <c r="C57" s="2"/>
      <c r="D57" s="114"/>
      <c r="E57" s="116">
        <f>E27+E28</f>
        <v>1089826.3013766252</v>
      </c>
      <c r="F57" s="98">
        <f>F27</f>
        <v>1089826.3013766252</v>
      </c>
      <c r="G57" s="98">
        <f>G27</f>
        <v>1089826.3013766252</v>
      </c>
      <c r="H57" s="98">
        <f t="shared" ref="H57:AS57" si="17">H27</f>
        <v>1089826.3013766252</v>
      </c>
      <c r="I57" s="98">
        <f t="shared" si="17"/>
        <v>1089826.3013766252</v>
      </c>
      <c r="J57" s="98">
        <f t="shared" si="17"/>
        <v>1089826.3013766252</v>
      </c>
      <c r="K57" s="98">
        <f t="shared" si="17"/>
        <v>1089826.3013766252</v>
      </c>
      <c r="L57" s="98">
        <f t="shared" si="17"/>
        <v>1089826.3013766252</v>
      </c>
      <c r="M57" s="98">
        <f t="shared" si="17"/>
        <v>1089826.3013766252</v>
      </c>
      <c r="N57" s="98">
        <f t="shared" si="17"/>
        <v>1089826.3013766252</v>
      </c>
      <c r="O57" s="98">
        <f t="shared" si="17"/>
        <v>1089826.3013766252</v>
      </c>
      <c r="P57" s="98">
        <f t="shared" si="17"/>
        <v>1089826.3013766252</v>
      </c>
      <c r="Q57" s="98">
        <f t="shared" si="17"/>
        <v>1089826.3013766252</v>
      </c>
      <c r="R57" s="98">
        <f t="shared" si="17"/>
        <v>1089826.3013766252</v>
      </c>
      <c r="S57" s="98">
        <f t="shared" si="17"/>
        <v>1089826.3013766252</v>
      </c>
      <c r="T57" s="98">
        <f t="shared" si="17"/>
        <v>1089826.3013766252</v>
      </c>
      <c r="U57" s="98">
        <f t="shared" si="17"/>
        <v>1089826.3013766252</v>
      </c>
      <c r="V57" s="98">
        <f t="shared" si="17"/>
        <v>1089826.3013766252</v>
      </c>
      <c r="W57" s="98">
        <f t="shared" si="17"/>
        <v>1089826.3013766252</v>
      </c>
      <c r="X57" s="98">
        <f t="shared" si="17"/>
        <v>1089826.3013766252</v>
      </c>
      <c r="Y57" s="98">
        <f t="shared" si="17"/>
        <v>1089826.3013766252</v>
      </c>
      <c r="Z57" s="98">
        <f t="shared" si="17"/>
        <v>1089826.3013766252</v>
      </c>
      <c r="AA57" s="98">
        <f t="shared" si="17"/>
        <v>1089826.3013766252</v>
      </c>
      <c r="AB57" s="98">
        <f t="shared" si="17"/>
        <v>1089826.3013766252</v>
      </c>
      <c r="AC57" s="98">
        <f t="shared" si="17"/>
        <v>1089826.3013766252</v>
      </c>
      <c r="AD57" s="98">
        <f t="shared" si="17"/>
        <v>1089826.3013766252</v>
      </c>
      <c r="AE57" s="98">
        <f t="shared" si="17"/>
        <v>1089826.3013766252</v>
      </c>
      <c r="AF57" s="98">
        <f t="shared" si="17"/>
        <v>1089826.3013766252</v>
      </c>
      <c r="AG57" s="98">
        <f t="shared" si="17"/>
        <v>1089826.3013766252</v>
      </c>
      <c r="AH57" s="98">
        <f t="shared" si="17"/>
        <v>1089826.3013766252</v>
      </c>
      <c r="AI57" s="98">
        <f t="shared" si="17"/>
        <v>1089826.3013766252</v>
      </c>
      <c r="AJ57" s="98">
        <f t="shared" si="17"/>
        <v>1089826.3013766252</v>
      </c>
      <c r="AK57" s="98">
        <f t="shared" si="17"/>
        <v>1089826.3013766252</v>
      </c>
      <c r="AL57" s="98">
        <f t="shared" si="17"/>
        <v>1089826.3013766252</v>
      </c>
      <c r="AM57" s="98">
        <f t="shared" si="17"/>
        <v>1089826.3013766252</v>
      </c>
      <c r="AN57" s="98">
        <f t="shared" si="17"/>
        <v>1089826.3013766252</v>
      </c>
      <c r="AO57" s="98">
        <f t="shared" si="17"/>
        <v>1089826.3013766252</v>
      </c>
      <c r="AP57" s="98">
        <f t="shared" si="17"/>
        <v>1089826.3013766252</v>
      </c>
      <c r="AQ57" s="98">
        <f t="shared" si="17"/>
        <v>1089826.3013766252</v>
      </c>
      <c r="AR57" s="98">
        <f t="shared" si="17"/>
        <v>1024017.3013766252</v>
      </c>
      <c r="AS57" s="98">
        <f t="shared" si="17"/>
        <v>0</v>
      </c>
      <c r="AT57" s="100">
        <f t="shared" si="13"/>
        <v>43527243.055065028</v>
      </c>
    </row>
    <row r="58" spans="1:46" x14ac:dyDescent="0.2">
      <c r="A58" s="242">
        <f t="shared" si="10"/>
        <v>28</v>
      </c>
      <c r="B58" s="2" t="s">
        <v>69</v>
      </c>
      <c r="C58" s="2"/>
      <c r="D58" s="114"/>
      <c r="E58" s="38">
        <f>$F22*E62</f>
        <v>1632271.6087499966</v>
      </c>
      <c r="F58" s="98">
        <f t="shared" ref="F58:AS58" si="18">$F22*F62</f>
        <v>3142231.6649509938</v>
      </c>
      <c r="G58" s="98">
        <f t="shared" si="18"/>
        <v>2906314.0084329937</v>
      </c>
      <c r="H58" s="98">
        <f t="shared" si="18"/>
        <v>2688677.7939329944</v>
      </c>
      <c r="I58" s="98">
        <f t="shared" si="18"/>
        <v>2486711.3868769947</v>
      </c>
      <c r="J58" s="98">
        <f t="shared" si="18"/>
        <v>2300414.7872649953</v>
      </c>
      <c r="K58" s="98">
        <f t="shared" si="18"/>
        <v>2127611.6329519954</v>
      </c>
      <c r="L58" s="98">
        <f t="shared" si="18"/>
        <v>1968301.9239379959</v>
      </c>
      <c r="M58" s="98">
        <f t="shared" si="18"/>
        <v>1942185.5781979959</v>
      </c>
      <c r="N58" s="98">
        <f t="shared" si="18"/>
        <v>1941750.305768996</v>
      </c>
      <c r="O58" s="98">
        <f t="shared" si="18"/>
        <v>1942185.5781979959</v>
      </c>
      <c r="P58" s="98">
        <f t="shared" si="18"/>
        <v>1941750.305768996</v>
      </c>
      <c r="Q58" s="98">
        <f t="shared" si="18"/>
        <v>1942185.5781979959</v>
      </c>
      <c r="R58" s="98">
        <f t="shared" si="18"/>
        <v>1941750.305768996</v>
      </c>
      <c r="S58" s="98">
        <f t="shared" si="18"/>
        <v>1942185.5781979959</v>
      </c>
      <c r="T58" s="98">
        <f t="shared" si="18"/>
        <v>1941750.305768996</v>
      </c>
      <c r="U58" s="98">
        <f t="shared" si="18"/>
        <v>1942185.5781979959</v>
      </c>
      <c r="V58" s="98">
        <f t="shared" si="18"/>
        <v>1941750.305768996</v>
      </c>
      <c r="W58" s="98">
        <f t="shared" si="18"/>
        <v>1942185.5781979959</v>
      </c>
      <c r="X58" s="98">
        <f t="shared" si="18"/>
        <v>1941750.305768996</v>
      </c>
      <c r="Y58" s="98">
        <f t="shared" si="18"/>
        <v>971092.78909899795</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100">
        <f t="shared" si="13"/>
        <v>43527242.899999909</v>
      </c>
    </row>
    <row r="59" spans="1:46" x14ac:dyDescent="0.2">
      <c r="A59" s="242">
        <f t="shared" si="10"/>
        <v>29</v>
      </c>
      <c r="B59" s="2" t="s">
        <v>70</v>
      </c>
      <c r="C59" s="2"/>
      <c r="D59" s="114"/>
      <c r="E59" s="38">
        <f>E58-E57</f>
        <v>542445.30737337144</v>
      </c>
      <c r="F59" s="98">
        <f>F58-F57</f>
        <v>2052405.3635743686</v>
      </c>
      <c r="G59" s="98">
        <f>G58-G57</f>
        <v>1816487.7070563685</v>
      </c>
      <c r="H59" s="98">
        <f t="shared" ref="H59:AS59" si="19">H58-H57</f>
        <v>1598851.4925563692</v>
      </c>
      <c r="I59" s="98">
        <f t="shared" si="19"/>
        <v>1396885.0855003695</v>
      </c>
      <c r="J59" s="98">
        <f t="shared" si="19"/>
        <v>1210588.4858883701</v>
      </c>
      <c r="K59" s="98">
        <f t="shared" si="19"/>
        <v>1037785.3315753702</v>
      </c>
      <c r="L59" s="98">
        <f t="shared" si="19"/>
        <v>878475.62256137072</v>
      </c>
      <c r="M59" s="98">
        <f t="shared" si="19"/>
        <v>852359.2768213707</v>
      </c>
      <c r="N59" s="98">
        <f t="shared" si="19"/>
        <v>851924.00439237081</v>
      </c>
      <c r="O59" s="98">
        <f t="shared" si="19"/>
        <v>852359.2768213707</v>
      </c>
      <c r="P59" s="98">
        <f t="shared" si="19"/>
        <v>851924.00439237081</v>
      </c>
      <c r="Q59" s="98">
        <f t="shared" si="19"/>
        <v>852359.2768213707</v>
      </c>
      <c r="R59" s="98">
        <f t="shared" si="19"/>
        <v>851924.00439237081</v>
      </c>
      <c r="S59" s="98">
        <f t="shared" si="19"/>
        <v>852359.2768213707</v>
      </c>
      <c r="T59" s="98">
        <f t="shared" si="19"/>
        <v>851924.00439237081</v>
      </c>
      <c r="U59" s="98">
        <f t="shared" si="19"/>
        <v>852359.2768213707</v>
      </c>
      <c r="V59" s="98">
        <f t="shared" si="19"/>
        <v>851924.00439237081</v>
      </c>
      <c r="W59" s="98">
        <f t="shared" si="19"/>
        <v>852359.2768213707</v>
      </c>
      <c r="X59" s="98">
        <f t="shared" si="19"/>
        <v>851924.00439237081</v>
      </c>
      <c r="Y59" s="98">
        <f t="shared" si="19"/>
        <v>-118733.51227762725</v>
      </c>
      <c r="Z59" s="98">
        <f t="shared" si="19"/>
        <v>-1089826.3013766252</v>
      </c>
      <c r="AA59" s="98">
        <f t="shared" si="19"/>
        <v>-1089826.3013766252</v>
      </c>
      <c r="AB59" s="98">
        <f t="shared" si="19"/>
        <v>-1089826.3013766252</v>
      </c>
      <c r="AC59" s="98">
        <f t="shared" si="19"/>
        <v>-1089826.3013766252</v>
      </c>
      <c r="AD59" s="98">
        <f t="shared" si="19"/>
        <v>-1089826.3013766252</v>
      </c>
      <c r="AE59" s="98">
        <f t="shared" si="19"/>
        <v>-1089826.3013766252</v>
      </c>
      <c r="AF59" s="98">
        <f t="shared" si="19"/>
        <v>-1089826.3013766252</v>
      </c>
      <c r="AG59" s="98">
        <f t="shared" si="19"/>
        <v>-1089826.3013766252</v>
      </c>
      <c r="AH59" s="98">
        <f t="shared" si="19"/>
        <v>-1089826.3013766252</v>
      </c>
      <c r="AI59" s="98">
        <f t="shared" si="19"/>
        <v>-1089826.3013766252</v>
      </c>
      <c r="AJ59" s="98">
        <f t="shared" si="19"/>
        <v>-1089826.3013766252</v>
      </c>
      <c r="AK59" s="98">
        <f t="shared" si="19"/>
        <v>-1089826.3013766252</v>
      </c>
      <c r="AL59" s="98">
        <f t="shared" si="19"/>
        <v>-1089826.3013766252</v>
      </c>
      <c r="AM59" s="98">
        <f t="shared" si="19"/>
        <v>-1089826.3013766252</v>
      </c>
      <c r="AN59" s="98">
        <f t="shared" si="19"/>
        <v>-1089826.3013766252</v>
      </c>
      <c r="AO59" s="98">
        <f t="shared" si="19"/>
        <v>-1089826.3013766252</v>
      </c>
      <c r="AP59" s="98">
        <f t="shared" si="19"/>
        <v>-1089826.3013766252</v>
      </c>
      <c r="AQ59" s="98">
        <f t="shared" si="19"/>
        <v>-1089826.3013766252</v>
      </c>
      <c r="AR59" s="98">
        <f t="shared" si="19"/>
        <v>-1024017.3013766252</v>
      </c>
      <c r="AS59" s="98">
        <f t="shared" si="19"/>
        <v>0</v>
      </c>
      <c r="AT59" s="100">
        <f t="shared" si="13"/>
        <v>-0.1550651011057198</v>
      </c>
    </row>
    <row r="60" spans="1:46" x14ac:dyDescent="0.2">
      <c r="A60" s="242">
        <f t="shared" si="10"/>
        <v>30</v>
      </c>
      <c r="B60" s="2" t="s">
        <v>71</v>
      </c>
      <c r="C60" s="2"/>
      <c r="D60" s="114"/>
      <c r="E60" s="38">
        <f>E59*F15</f>
        <v>113913.514548408</v>
      </c>
      <c r="F60" s="98">
        <f t="shared" ref="F60:AS60" si="20">F59*$F$15</f>
        <v>431005.12635061739</v>
      </c>
      <c r="G60" s="98">
        <f t="shared" si="20"/>
        <v>381462.41848183738</v>
      </c>
      <c r="H60" s="98">
        <f t="shared" si="20"/>
        <v>335758.81343683752</v>
      </c>
      <c r="I60" s="98">
        <f t="shared" si="20"/>
        <v>293345.86795507761</v>
      </c>
      <c r="J60" s="98">
        <f t="shared" si="20"/>
        <v>254223.58203655769</v>
      </c>
      <c r="K60" s="98">
        <f t="shared" si="20"/>
        <v>217934.91963082773</v>
      </c>
      <c r="L60" s="98">
        <f t="shared" si="20"/>
        <v>184479.88073788784</v>
      </c>
      <c r="M60" s="98">
        <f t="shared" si="20"/>
        <v>178995.44813248783</v>
      </c>
      <c r="N60" s="98">
        <f t="shared" si="20"/>
        <v>178904.04092239786</v>
      </c>
      <c r="O60" s="98">
        <f t="shared" si="20"/>
        <v>178995.44813248783</v>
      </c>
      <c r="P60" s="98">
        <f t="shared" si="20"/>
        <v>178904.04092239786</v>
      </c>
      <c r="Q60" s="98">
        <f t="shared" si="20"/>
        <v>178995.44813248783</v>
      </c>
      <c r="R60" s="98">
        <f t="shared" si="20"/>
        <v>178904.04092239786</v>
      </c>
      <c r="S60" s="98">
        <f t="shared" si="20"/>
        <v>178995.44813248783</v>
      </c>
      <c r="T60" s="98">
        <f t="shared" si="20"/>
        <v>178904.04092239786</v>
      </c>
      <c r="U60" s="98">
        <f t="shared" si="20"/>
        <v>178995.44813248783</v>
      </c>
      <c r="V60" s="98">
        <f t="shared" si="20"/>
        <v>178904.04092239786</v>
      </c>
      <c r="W60" s="98">
        <f t="shared" si="20"/>
        <v>178995.44813248783</v>
      </c>
      <c r="X60" s="98">
        <f t="shared" si="20"/>
        <v>178904.04092239786</v>
      </c>
      <c r="Y60" s="98">
        <f t="shared" si="20"/>
        <v>-24934.037578301723</v>
      </c>
      <c r="Z60" s="98">
        <f t="shared" si="20"/>
        <v>-228863.52328909127</v>
      </c>
      <c r="AA60" s="98">
        <f t="shared" si="20"/>
        <v>-228863.52328909127</v>
      </c>
      <c r="AB60" s="98">
        <f t="shared" si="20"/>
        <v>-228863.52328909127</v>
      </c>
      <c r="AC60" s="98">
        <f t="shared" si="20"/>
        <v>-228863.52328909127</v>
      </c>
      <c r="AD60" s="98">
        <f t="shared" si="20"/>
        <v>-228863.52328909127</v>
      </c>
      <c r="AE60" s="98">
        <f t="shared" si="20"/>
        <v>-228863.52328909127</v>
      </c>
      <c r="AF60" s="98">
        <f t="shared" si="20"/>
        <v>-228863.52328909127</v>
      </c>
      <c r="AG60" s="98">
        <f t="shared" si="20"/>
        <v>-228863.52328909127</v>
      </c>
      <c r="AH60" s="98">
        <f t="shared" si="20"/>
        <v>-228863.52328909127</v>
      </c>
      <c r="AI60" s="98">
        <f t="shared" si="20"/>
        <v>-228863.52328909127</v>
      </c>
      <c r="AJ60" s="98">
        <f t="shared" si="20"/>
        <v>-228863.52328909127</v>
      </c>
      <c r="AK60" s="98">
        <f t="shared" si="20"/>
        <v>-228863.52328909127</v>
      </c>
      <c r="AL60" s="98">
        <f t="shared" si="20"/>
        <v>-228863.52328909127</v>
      </c>
      <c r="AM60" s="98">
        <f t="shared" si="20"/>
        <v>-228863.52328909127</v>
      </c>
      <c r="AN60" s="98">
        <f t="shared" si="20"/>
        <v>-228863.52328909127</v>
      </c>
      <c r="AO60" s="98">
        <f t="shared" si="20"/>
        <v>-228863.52328909127</v>
      </c>
      <c r="AP60" s="98">
        <f t="shared" si="20"/>
        <v>-228863.52328909127</v>
      </c>
      <c r="AQ60" s="98">
        <f t="shared" si="20"/>
        <v>-228863.52328909127</v>
      </c>
      <c r="AR60" s="98">
        <f t="shared" si="20"/>
        <v>-215043.63328909129</v>
      </c>
      <c r="AS60" s="98">
        <f t="shared" si="20"/>
        <v>0</v>
      </c>
      <c r="AT60" s="100">
        <f t="shared" si="13"/>
        <v>-3.2563671673415229E-2</v>
      </c>
    </row>
    <row r="61" spans="1:46" x14ac:dyDescent="0.2">
      <c r="A61" s="242">
        <f t="shared" si="10"/>
        <v>31</v>
      </c>
      <c r="B61" s="2"/>
      <c r="C61" s="2"/>
      <c r="D61" s="114"/>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4"/>
    </row>
    <row r="62" spans="1:46" s="50" customFormat="1" x14ac:dyDescent="0.2">
      <c r="A62" s="242">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242">
        <f t="shared" si="10"/>
        <v>33</v>
      </c>
      <c r="B63" s="2"/>
      <c r="C63" s="117"/>
      <c r="E63" s="118"/>
      <c r="F63" s="119"/>
      <c r="G63" s="119"/>
      <c r="H63" s="119"/>
      <c r="I63" s="119"/>
      <c r="J63" s="119"/>
      <c r="K63" s="119"/>
      <c r="L63" s="119"/>
      <c r="M63" s="120"/>
      <c r="N63" s="120"/>
      <c r="O63" s="120"/>
      <c r="P63" s="120"/>
      <c r="Q63" s="120"/>
      <c r="R63" s="120"/>
      <c r="S63" s="120"/>
      <c r="T63" s="120"/>
      <c r="U63" s="120"/>
      <c r="V63" s="120"/>
      <c r="W63" s="120"/>
      <c r="X63" s="120"/>
      <c r="Y63" s="120"/>
      <c r="Z63" s="114"/>
      <c r="AA63" s="114"/>
      <c r="AB63" s="114"/>
      <c r="AC63" s="114"/>
      <c r="AD63" s="114"/>
      <c r="AE63" s="114"/>
      <c r="AF63" s="114"/>
      <c r="AG63" s="114"/>
      <c r="AH63" s="114"/>
      <c r="AI63" s="114"/>
      <c r="AJ63" s="114"/>
      <c r="AK63" s="114"/>
      <c r="AL63" s="114"/>
      <c r="AM63" s="114"/>
      <c r="AN63" s="114"/>
      <c r="AO63" s="3"/>
    </row>
    <row r="64" spans="1:46" outlineLevel="1" x14ac:dyDescent="0.25">
      <c r="A64" s="242">
        <f t="shared" si="10"/>
        <v>34</v>
      </c>
      <c r="B64" s="2"/>
      <c r="C64" s="117"/>
      <c r="E64" s="118"/>
      <c r="F64" s="119"/>
      <c r="G64" s="119"/>
      <c r="H64" s="119"/>
      <c r="I64" s="119"/>
      <c r="J64" s="119"/>
      <c r="K64" s="119"/>
      <c r="L64" s="119"/>
      <c r="M64" s="120"/>
      <c r="N64" s="120"/>
      <c r="O64" s="120"/>
      <c r="P64" s="120"/>
      <c r="Q64" s="120"/>
      <c r="R64" s="120"/>
      <c r="S64" s="120"/>
      <c r="T64" s="120"/>
      <c r="U64" s="120"/>
      <c r="V64" s="120"/>
      <c r="W64" s="120"/>
      <c r="X64" s="120"/>
      <c r="Y64" s="120"/>
      <c r="Z64" s="114"/>
      <c r="AA64" s="114"/>
      <c r="AB64" s="114"/>
      <c r="AC64" s="114"/>
      <c r="AD64" s="114"/>
      <c r="AE64" s="114"/>
      <c r="AF64" s="114"/>
      <c r="AG64" s="114"/>
      <c r="AH64" s="114"/>
      <c r="AI64" s="114"/>
      <c r="AJ64" s="114"/>
      <c r="AK64" s="114"/>
      <c r="AL64" s="114"/>
      <c r="AM64" s="114"/>
      <c r="AN64" s="114"/>
      <c r="AO64" s="3"/>
    </row>
    <row r="65" spans="1:42" s="50" customFormat="1" x14ac:dyDescent="0.25">
      <c r="A65" s="242">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42">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4"/>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4"/>
  <sheetViews>
    <sheetView topLeftCell="A4" zoomScale="80" zoomScaleNormal="80" workbookViewId="0">
      <selection activeCell="L34" sqref="L34"/>
    </sheetView>
  </sheetViews>
  <sheetFormatPr defaultColWidth="8.7109375" defaultRowHeight="15" x14ac:dyDescent="0.25"/>
  <cols>
    <col min="1" max="1" width="28.85546875" style="133" customWidth="1"/>
    <col min="2" max="2" width="29.5703125" style="133" customWidth="1"/>
    <col min="3" max="3" width="15.7109375" style="133" customWidth="1"/>
    <col min="4" max="4" width="15.42578125" style="187" customWidth="1"/>
    <col min="5" max="5" width="14.5703125" style="187" customWidth="1"/>
    <col min="6" max="6" width="15.42578125" style="187" customWidth="1"/>
    <col min="7" max="7" width="18.28515625" style="187" customWidth="1"/>
    <col min="8" max="8" width="11.42578125" style="187" bestFit="1" customWidth="1"/>
    <col min="9" max="9" width="11.28515625" style="187" customWidth="1"/>
    <col min="10" max="10" width="6.28515625" style="133" bestFit="1" customWidth="1"/>
    <col min="11" max="11" width="9" style="133" bestFit="1" customWidth="1"/>
    <col min="12" max="12" width="10.28515625" style="133" customWidth="1"/>
    <col min="13" max="13" width="8.7109375" style="133" customWidth="1"/>
    <col min="14" max="16384" width="8.7109375" style="133"/>
  </cols>
  <sheetData>
    <row r="2" spans="2:13" x14ac:dyDescent="0.25">
      <c r="B2" s="138" t="s">
        <v>132</v>
      </c>
    </row>
    <row r="3" spans="2:13" ht="45" x14ac:dyDescent="0.25">
      <c r="B3" s="140" t="s">
        <v>138</v>
      </c>
      <c r="C3" s="141" t="s">
        <v>125</v>
      </c>
      <c r="D3" s="188" t="s">
        <v>200</v>
      </c>
      <c r="E3" s="188" t="s">
        <v>201</v>
      </c>
      <c r="F3" s="189" t="s">
        <v>80</v>
      </c>
      <c r="G3" s="188" t="s">
        <v>13</v>
      </c>
      <c r="H3" s="189" t="s">
        <v>137</v>
      </c>
      <c r="I3" s="356"/>
    </row>
    <row r="4" spans="2:13" x14ac:dyDescent="0.25">
      <c r="B4" s="280" t="s">
        <v>133</v>
      </c>
      <c r="C4" s="237" t="s">
        <v>134</v>
      </c>
      <c r="D4" s="278">
        <f>[61]Summary!$C$15</f>
        <v>2655197.3500000015</v>
      </c>
      <c r="E4" s="278">
        <f>[61]Summary!$D$15</f>
        <v>859800</v>
      </c>
      <c r="F4" s="278">
        <f>+D4+E4</f>
        <v>3514997.3500000015</v>
      </c>
      <c r="G4" s="272">
        <f>E36</f>
        <v>3.1950138602539598E-2</v>
      </c>
      <c r="H4" s="278">
        <f>+G4*F4</f>
        <v>112304.65252005943</v>
      </c>
      <c r="I4" s="357"/>
    </row>
    <row r="5" spans="2:13" x14ac:dyDescent="0.25">
      <c r="B5" s="280" t="s">
        <v>135</v>
      </c>
      <c r="C5" s="237" t="s">
        <v>83</v>
      </c>
      <c r="D5" s="278">
        <f>[61]Summary!$C$14</f>
        <v>29085048.549999904</v>
      </c>
      <c r="E5" s="278">
        <f>[61]Summary!$D$14</f>
        <v>10927197</v>
      </c>
      <c r="F5" s="278">
        <f>+D5+E5</f>
        <v>40012245.549999908</v>
      </c>
      <c r="G5" s="272">
        <f>E35</f>
        <v>2.443056207967733E-2</v>
      </c>
      <c r="H5" s="278">
        <f>+G5*F5</f>
        <v>977521.64885656571</v>
      </c>
      <c r="I5" s="357"/>
    </row>
    <row r="6" spans="2:13" ht="15.75" thickBot="1" x14ac:dyDescent="0.3">
      <c r="B6" s="281" t="s">
        <v>80</v>
      </c>
      <c r="C6" s="282"/>
      <c r="D6" s="273">
        <f>SUM(D4:D5)</f>
        <v>31740245.899999905</v>
      </c>
      <c r="E6" s="273">
        <f t="shared" ref="E6:F6" si="0">SUM(E4:E5)</f>
        <v>11786997</v>
      </c>
      <c r="F6" s="273">
        <f t="shared" si="0"/>
        <v>43527242.899999909</v>
      </c>
      <c r="G6" s="274"/>
      <c r="H6" s="273">
        <f>SUM(H4:H5)</f>
        <v>1089826.3013766252</v>
      </c>
      <c r="I6" s="358"/>
    </row>
    <row r="7" spans="2:13" ht="15.75" thickTop="1" x14ac:dyDescent="0.25">
      <c r="B7" s="127" t="s">
        <v>82</v>
      </c>
      <c r="D7" s="275"/>
      <c r="E7" s="275"/>
      <c r="F7" s="275"/>
      <c r="G7" s="272">
        <f>+H6/F6</f>
        <v>2.5037797681796828E-2</v>
      </c>
      <c r="H7" s="275"/>
      <c r="I7" s="275"/>
      <c r="J7" s="187"/>
    </row>
    <row r="8" spans="2:13" x14ac:dyDescent="0.25">
      <c r="B8" s="127" t="s">
        <v>147</v>
      </c>
      <c r="C8" s="187"/>
      <c r="D8" s="191"/>
      <c r="E8" s="191"/>
      <c r="F8" s="191"/>
      <c r="G8" s="192"/>
      <c r="H8" s="191"/>
      <c r="I8" s="191"/>
      <c r="J8" s="187"/>
    </row>
    <row r="9" spans="2:13" x14ac:dyDescent="0.25">
      <c r="B9" s="381" t="s">
        <v>79</v>
      </c>
      <c r="C9" s="196"/>
      <c r="D9" s="190"/>
      <c r="E9" s="382">
        <v>380</v>
      </c>
      <c r="F9" s="272">
        <f>+F4/F6</f>
        <v>8.0753962709639221E-2</v>
      </c>
      <c r="G9" s="272"/>
      <c r="H9" s="272">
        <f>+H4/H6</f>
        <v>0.10304821270894331</v>
      </c>
      <c r="I9" s="359"/>
      <c r="J9" s="283"/>
    </row>
    <row r="10" spans="2:13" x14ac:dyDescent="0.25">
      <c r="B10" s="381" t="s">
        <v>78</v>
      </c>
      <c r="C10" s="196"/>
      <c r="D10" s="190"/>
      <c r="E10" s="382">
        <v>376</v>
      </c>
      <c r="F10" s="272">
        <f>+F5/F6</f>
        <v>0.91924603729036081</v>
      </c>
      <c r="G10" s="272"/>
      <c r="H10" s="272">
        <f>+H5/H6</f>
        <v>0.89695178729105662</v>
      </c>
      <c r="I10" s="359"/>
      <c r="J10" s="283"/>
    </row>
    <row r="11" spans="2:13" x14ac:dyDescent="0.25">
      <c r="B11" s="142"/>
      <c r="D11" s="191"/>
      <c r="E11" s="191"/>
      <c r="F11" s="191"/>
      <c r="G11" s="192"/>
      <c r="H11" s="191"/>
      <c r="I11" s="191"/>
      <c r="J11" s="187"/>
    </row>
    <row r="12" spans="2:13" x14ac:dyDescent="0.25">
      <c r="D12" s="191"/>
      <c r="E12" s="191"/>
      <c r="F12" s="191"/>
      <c r="G12" s="191"/>
      <c r="H12" s="291" t="s">
        <v>143</v>
      </c>
      <c r="I12" s="291"/>
      <c r="J12" s="292"/>
      <c r="K12" s="292"/>
      <c r="L12" s="292"/>
    </row>
    <row r="13" spans="2:13" ht="45" x14ac:dyDescent="0.25">
      <c r="B13" s="139" t="s">
        <v>124</v>
      </c>
      <c r="C13" s="141" t="s">
        <v>125</v>
      </c>
      <c r="D13" s="188" t="s">
        <v>200</v>
      </c>
      <c r="E13" s="188" t="s">
        <v>201</v>
      </c>
      <c r="F13" s="193" t="s">
        <v>80</v>
      </c>
      <c r="G13" s="193" t="s">
        <v>144</v>
      </c>
      <c r="H13" s="196">
        <v>892</v>
      </c>
      <c r="I13" s="196">
        <v>893</v>
      </c>
      <c r="J13" s="132">
        <v>878</v>
      </c>
      <c r="K13" s="132">
        <v>887</v>
      </c>
      <c r="L13" s="132">
        <v>874</v>
      </c>
    </row>
    <row r="14" spans="2:13" x14ac:dyDescent="0.25">
      <c r="B14" s="280" t="s">
        <v>126</v>
      </c>
      <c r="C14" s="280" t="s">
        <v>127</v>
      </c>
      <c r="D14" s="278">
        <f>[61]Summary!$C$9</f>
        <v>1321531.67</v>
      </c>
      <c r="E14" s="278">
        <f>[61]Summary!$D$9</f>
        <v>150768</v>
      </c>
      <c r="F14" s="284">
        <f>+D14+E14</f>
        <v>1472299.67</v>
      </c>
      <c r="G14" s="285" t="s">
        <v>204</v>
      </c>
      <c r="H14" s="362">
        <f>'[61]Pvt BMM'!$E$8247</f>
        <v>0.98591943695151862</v>
      </c>
      <c r="I14" s="362">
        <f>'[61]Pvt BMM'!$F$8247</f>
        <v>8.4955209586464343E-4</v>
      </c>
      <c r="J14" s="362">
        <f>'[61]Pvt BMM'!$G$8247</f>
        <v>1.3231010952616851E-2</v>
      </c>
      <c r="K14" s="363"/>
      <c r="L14" s="363"/>
    </row>
    <row r="15" spans="2:13" x14ac:dyDescent="0.25">
      <c r="B15" s="280" t="s">
        <v>206</v>
      </c>
      <c r="C15" s="280"/>
      <c r="D15" s="278">
        <v>-437688.5</v>
      </c>
      <c r="E15" s="278">
        <v>0</v>
      </c>
      <c r="F15" s="278">
        <f>+D15+E15</f>
        <v>-437688.5</v>
      </c>
      <c r="G15" s="285"/>
      <c r="H15" s="362">
        <v>1</v>
      </c>
      <c r="I15" s="362"/>
      <c r="J15" s="362"/>
      <c r="K15" s="363"/>
      <c r="L15" s="363"/>
      <c r="M15" s="324" t="s">
        <v>208</v>
      </c>
    </row>
    <row r="16" spans="2:13" x14ac:dyDescent="0.25">
      <c r="B16" s="280" t="s">
        <v>128</v>
      </c>
      <c r="C16" s="280" t="s">
        <v>129</v>
      </c>
      <c r="D16" s="286">
        <f>[61]Summary!$C$5</f>
        <v>2622022.87</v>
      </c>
      <c r="E16" s="286">
        <f>[61]Summary!$D$5</f>
        <v>362050</v>
      </c>
      <c r="F16" s="286">
        <f>+D16+E16</f>
        <v>2984072.87</v>
      </c>
      <c r="G16" s="285" t="s">
        <v>146</v>
      </c>
      <c r="H16" s="361"/>
      <c r="I16" s="361"/>
      <c r="J16" s="361"/>
      <c r="K16" s="361"/>
      <c r="L16" s="360">
        <v>1</v>
      </c>
    </row>
    <row r="17" spans="1:13" x14ac:dyDescent="0.25">
      <c r="B17" s="280" t="s">
        <v>130</v>
      </c>
      <c r="C17" s="280" t="s">
        <v>131</v>
      </c>
      <c r="D17" s="287">
        <f>[61]Summary!$C$6</f>
        <v>44277.37</v>
      </c>
      <c r="E17" s="286">
        <f>[61]Summary!$D$6</f>
        <v>72000</v>
      </c>
      <c r="F17" s="287">
        <f>+D17+E17</f>
        <v>116277.37</v>
      </c>
      <c r="G17" s="285" t="s">
        <v>145</v>
      </c>
      <c r="H17" s="360">
        <f>'[61]O&amp;M Cross Bore Repairs'!$F$12</f>
        <v>0.64599184639918761</v>
      </c>
      <c r="I17" s="360"/>
      <c r="J17" s="360"/>
      <c r="K17" s="360">
        <f>'[61]O&amp;M Cross Bore Repairs'!$F$13</f>
        <v>0.35400815360081234</v>
      </c>
      <c r="L17" s="360"/>
      <c r="M17" s="323"/>
    </row>
    <row r="18" spans="1:13" x14ac:dyDescent="0.25">
      <c r="B18" s="267" t="s">
        <v>183</v>
      </c>
      <c r="C18" s="237"/>
      <c r="D18" s="311">
        <f>'Summary 2020'!E8</f>
        <v>-82000</v>
      </c>
      <c r="E18" s="312">
        <v>0</v>
      </c>
      <c r="F18" s="287">
        <f>+D18+E18</f>
        <v>-82000</v>
      </c>
      <c r="G18" s="324" t="s">
        <v>209</v>
      </c>
      <c r="H18" s="362"/>
      <c r="I18" s="362"/>
      <c r="J18" s="362"/>
      <c r="K18" s="363"/>
      <c r="L18" s="362">
        <v>1</v>
      </c>
    </row>
    <row r="19" spans="1:13" ht="15.75" thickBot="1" x14ac:dyDescent="0.3">
      <c r="B19" s="281" t="s">
        <v>80</v>
      </c>
      <c r="C19" s="282"/>
      <c r="D19" s="273">
        <f>SUM(D14:D18)</f>
        <v>3468143.41</v>
      </c>
      <c r="E19" s="273">
        <f t="shared" ref="E19:F19" si="1">SUM(E14:E18)</f>
        <v>584818</v>
      </c>
      <c r="F19" s="273">
        <f t="shared" si="1"/>
        <v>4052961.41</v>
      </c>
      <c r="G19" s="325"/>
      <c r="H19" s="191"/>
      <c r="I19" s="191"/>
      <c r="J19" s="187"/>
      <c r="K19" s="187"/>
      <c r="L19" s="187"/>
    </row>
    <row r="20" spans="1:13" ht="15.75" thickTop="1" x14ac:dyDescent="0.25">
      <c r="B20" s="187"/>
      <c r="C20" s="187"/>
      <c r="D20" s="191"/>
      <c r="E20" s="191"/>
      <c r="F20" s="191"/>
      <c r="G20" s="191"/>
      <c r="H20" s="191"/>
      <c r="I20" s="191"/>
      <c r="J20" s="187"/>
    </row>
    <row r="21" spans="1:13" x14ac:dyDescent="0.25">
      <c r="B21" s="134" t="s">
        <v>136</v>
      </c>
      <c r="C21" s="288"/>
      <c r="D21" s="276">
        <f>+D6+D19</f>
        <v>35208389.309999906</v>
      </c>
      <c r="E21" s="276">
        <f>+E6+E19</f>
        <v>12371815</v>
      </c>
      <c r="F21" s="276">
        <f>SUM(D21:E21)</f>
        <v>47580204.309999906</v>
      </c>
      <c r="G21" s="275"/>
      <c r="H21" s="191"/>
      <c r="I21" s="191"/>
      <c r="J21" s="187"/>
    </row>
    <row r="22" spans="1:13" x14ac:dyDescent="0.25">
      <c r="B22" s="187"/>
      <c r="C22" s="187"/>
      <c r="D22" s="275"/>
      <c r="E22" s="275"/>
      <c r="F22" s="275"/>
      <c r="G22" s="275"/>
      <c r="H22" s="191"/>
      <c r="I22" s="191"/>
      <c r="J22" s="187"/>
    </row>
    <row r="23" spans="1:13" x14ac:dyDescent="0.25">
      <c r="B23" s="187"/>
      <c r="C23" s="187"/>
      <c r="D23" s="191"/>
      <c r="E23" s="191"/>
      <c r="F23" s="191"/>
      <c r="G23" s="191"/>
      <c r="H23" s="191"/>
      <c r="I23" s="191"/>
      <c r="J23" s="187"/>
    </row>
    <row r="24" spans="1:13" x14ac:dyDescent="0.25">
      <c r="B24" s="187"/>
      <c r="C24" s="187"/>
      <c r="D24" s="191"/>
      <c r="E24" s="191"/>
      <c r="F24" s="191"/>
      <c r="G24" s="191"/>
      <c r="H24" s="191"/>
      <c r="I24" s="191"/>
      <c r="J24" s="187"/>
    </row>
    <row r="25" spans="1:13" x14ac:dyDescent="0.25">
      <c r="B25" s="132" t="s">
        <v>60</v>
      </c>
      <c r="C25" s="132"/>
      <c r="D25" s="190"/>
      <c r="E25" s="190"/>
      <c r="F25" s="289">
        <f>'2019 GRC'!J16</f>
        <v>4.5447000000000001E-2</v>
      </c>
      <c r="G25" s="191"/>
      <c r="H25" s="191"/>
      <c r="I25" s="191"/>
    </row>
    <row r="26" spans="1:13" x14ac:dyDescent="0.25">
      <c r="B26" s="132" t="s">
        <v>139</v>
      </c>
      <c r="C26" s="132"/>
      <c r="D26" s="190"/>
      <c r="E26" s="190"/>
      <c r="F26" s="286">
        <f>+(F19)/(1-$F$25)</f>
        <v>4245926.0093467832</v>
      </c>
      <c r="G26" s="194"/>
      <c r="H26" s="191"/>
      <c r="I26" s="191"/>
    </row>
    <row r="27" spans="1:13" x14ac:dyDescent="0.25">
      <c r="B27" s="132" t="s">
        <v>202</v>
      </c>
      <c r="C27" s="132"/>
      <c r="D27" s="190"/>
      <c r="E27" s="190"/>
      <c r="F27" s="290">
        <f>'2021 CAP CRM'!E39</f>
        <v>5010022.5857023103</v>
      </c>
      <c r="G27" s="191"/>
      <c r="H27" s="191"/>
      <c r="I27" s="191"/>
    </row>
    <row r="28" spans="1:13" ht="15.75" thickBot="1" x14ac:dyDescent="0.3">
      <c r="B28" s="135" t="s">
        <v>203</v>
      </c>
      <c r="C28" s="136"/>
      <c r="D28" s="195"/>
      <c r="E28" s="195"/>
      <c r="F28" s="277">
        <f>SUM(F26:F27)</f>
        <v>9255948.5950490944</v>
      </c>
      <c r="G28" s="191"/>
      <c r="H28" s="191"/>
      <c r="I28" s="191"/>
    </row>
    <row r="30" spans="1:13" ht="15.75" thickBot="1" x14ac:dyDescent="0.3">
      <c r="A30"/>
      <c r="B30" s="322" t="s">
        <v>207</v>
      </c>
      <c r="C30" s="322"/>
      <c r="D30" s="322"/>
      <c r="E30" s="322"/>
      <c r="F30" s="322"/>
      <c r="G30" s="322"/>
      <c r="H30"/>
      <c r="I30"/>
      <c r="J30"/>
    </row>
    <row r="31" spans="1:13" x14ac:dyDescent="0.25">
      <c r="A31"/>
      <c r="B31" s="321" t="s">
        <v>107</v>
      </c>
      <c r="C31" s="198"/>
      <c r="D31" s="198"/>
      <c r="E31" s="199"/>
      <c r="F31"/>
      <c r="G31"/>
      <c r="H31"/>
      <c r="I31"/>
      <c r="J31"/>
    </row>
    <row r="32" spans="1:13" ht="24.75" x14ac:dyDescent="0.25">
      <c r="A32"/>
      <c r="B32" s="319" t="s">
        <v>108</v>
      </c>
      <c r="C32" s="317" t="s">
        <v>93</v>
      </c>
      <c r="D32" s="318" t="s">
        <v>109</v>
      </c>
      <c r="E32" s="320" t="s">
        <v>110</v>
      </c>
      <c r="F32"/>
      <c r="G32"/>
      <c r="H32"/>
      <c r="I32"/>
      <c r="J32"/>
    </row>
    <row r="33" spans="1:10" x14ac:dyDescent="0.25">
      <c r="A33"/>
      <c r="B33" s="313" t="s">
        <v>111</v>
      </c>
      <c r="C33" s="314"/>
      <c r="D33" s="315" t="s">
        <v>94</v>
      </c>
      <c r="E33" s="316" t="s">
        <v>94</v>
      </c>
      <c r="F33"/>
      <c r="G33"/>
      <c r="H33"/>
      <c r="I33"/>
      <c r="J33"/>
    </row>
    <row r="34" spans="1:10" x14ac:dyDescent="0.25">
      <c r="A34"/>
      <c r="B34" s="201"/>
      <c r="C34" s="202"/>
      <c r="D34" s="200" t="s">
        <v>112</v>
      </c>
      <c r="E34" s="203"/>
      <c r="F34"/>
      <c r="G34"/>
      <c r="H34"/>
      <c r="I34"/>
      <c r="J34"/>
    </row>
    <row r="35" spans="1:10" x14ac:dyDescent="0.25">
      <c r="B35" s="204">
        <v>376.2</v>
      </c>
      <c r="C35" s="202" t="s">
        <v>113</v>
      </c>
      <c r="D35" s="205">
        <v>2.7700000000000002E-2</v>
      </c>
      <c r="E35" s="206">
        <v>2.443056207967733E-2</v>
      </c>
      <c r="F35"/>
      <c r="G35"/>
      <c r="H35"/>
      <c r="I35"/>
      <c r="J35"/>
    </row>
    <row r="36" spans="1:10" ht="15.75" thickBot="1" x14ac:dyDescent="0.3">
      <c r="B36" s="207">
        <v>380.2</v>
      </c>
      <c r="C36" s="208" t="s">
        <v>114</v>
      </c>
      <c r="D36" s="209">
        <v>4.58E-2</v>
      </c>
      <c r="E36" s="210">
        <v>3.1950138602539598E-2</v>
      </c>
      <c r="F36"/>
      <c r="G36"/>
      <c r="H36"/>
      <c r="I36"/>
      <c r="J36"/>
    </row>
    <row r="37" spans="1:10" x14ac:dyDescent="0.25">
      <c r="B37"/>
      <c r="C37"/>
      <c r="D37"/>
      <c r="E37"/>
      <c r="F37"/>
      <c r="G37"/>
      <c r="H37"/>
      <c r="I37"/>
      <c r="J37"/>
    </row>
    <row r="38" spans="1:10" x14ac:dyDescent="0.25">
      <c r="A38" s="326" t="s">
        <v>210</v>
      </c>
    </row>
    <row r="39" spans="1:10" x14ac:dyDescent="0.25">
      <c r="A39" s="327" t="s">
        <v>208</v>
      </c>
      <c r="B39" s="444" t="s">
        <v>211</v>
      </c>
      <c r="C39" s="444"/>
      <c r="D39" s="444"/>
      <c r="E39" s="444"/>
      <c r="F39" s="444"/>
      <c r="G39" s="444"/>
      <c r="H39" s="444"/>
      <c r="I39" s="444"/>
      <c r="J39" s="444"/>
    </row>
    <row r="40" spans="1:10" x14ac:dyDescent="0.25">
      <c r="A40" s="328"/>
      <c r="B40" s="444"/>
      <c r="C40" s="444"/>
      <c r="D40" s="444"/>
      <c r="E40" s="444"/>
      <c r="F40" s="444"/>
      <c r="G40" s="444"/>
      <c r="H40" s="444"/>
      <c r="I40" s="444"/>
      <c r="J40" s="444"/>
    </row>
    <row r="41" spans="1:10" x14ac:dyDescent="0.25">
      <c r="A41" s="327" t="s">
        <v>209</v>
      </c>
      <c r="B41" s="444" t="s">
        <v>212</v>
      </c>
      <c r="C41" s="444"/>
      <c r="D41" s="444"/>
      <c r="E41" s="444"/>
      <c r="F41" s="444"/>
      <c r="G41" s="444"/>
      <c r="H41" s="444"/>
      <c r="I41" s="444"/>
      <c r="J41" s="444"/>
    </row>
    <row r="42" spans="1:10" x14ac:dyDescent="0.25">
      <c r="A42" s="328"/>
      <c r="B42" s="444"/>
      <c r="C42" s="444"/>
      <c r="D42" s="444"/>
      <c r="E42" s="444"/>
      <c r="F42" s="444"/>
      <c r="G42" s="444"/>
      <c r="H42" s="444"/>
      <c r="I42" s="444"/>
      <c r="J42" s="444"/>
    </row>
    <row r="43" spans="1:10" x14ac:dyDescent="0.25">
      <c r="A43" s="329"/>
      <c r="B43" s="329"/>
      <c r="C43" s="329"/>
      <c r="D43" s="325"/>
      <c r="E43" s="325"/>
      <c r="F43" s="325"/>
      <c r="G43" s="325"/>
      <c r="H43" s="325"/>
      <c r="I43" s="325"/>
      <c r="J43" s="329"/>
    </row>
    <row r="44" spans="1:10" x14ac:dyDescent="0.25">
      <c r="A44" s="329"/>
      <c r="B44" s="329"/>
      <c r="C44" s="329"/>
      <c r="D44" s="325"/>
      <c r="E44" s="325"/>
      <c r="F44" s="325"/>
      <c r="G44" s="325"/>
      <c r="H44" s="325"/>
      <c r="I44" s="325"/>
      <c r="J44" s="329"/>
    </row>
  </sheetData>
  <mergeCells count="2">
    <mergeCell ref="B39:J40"/>
    <mergeCell ref="B41:J42"/>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zoomScale="90" zoomScaleNormal="90" workbookViewId="0">
      <selection activeCell="K24" sqref="K24"/>
    </sheetView>
  </sheetViews>
  <sheetFormatPr defaultColWidth="9.28515625" defaultRowHeight="15" x14ac:dyDescent="0.25"/>
  <cols>
    <col min="1" max="1" width="4.7109375" style="212" customWidth="1"/>
    <col min="2" max="2" width="27.7109375" style="212" bestFit="1" customWidth="1"/>
    <col min="3" max="3" width="15.5703125" style="212" bestFit="1" customWidth="1"/>
    <col min="4" max="4" width="22.140625" style="212" customWidth="1"/>
    <col min="5" max="5" width="16.7109375" style="212" customWidth="1"/>
    <col min="6" max="6" width="25.5703125" style="212" customWidth="1"/>
    <col min="7" max="7" width="1" style="245" customWidth="1"/>
    <col min="8" max="8" width="17.7109375" style="212" customWidth="1"/>
    <col min="9" max="9" width="19.5703125" style="212" customWidth="1"/>
    <col min="10" max="10" width="14.28515625" style="212" bestFit="1" customWidth="1"/>
    <col min="11" max="11" width="12.28515625" style="212" customWidth="1"/>
    <col min="12" max="12" width="21.7109375" style="212" customWidth="1"/>
    <col min="13" max="13" width="3.42578125" style="212" customWidth="1"/>
    <col min="14" max="14" width="17.5703125" style="212" customWidth="1"/>
    <col min="15" max="15" width="16.28515625" style="212" bestFit="1" customWidth="1"/>
    <col min="16" max="16384" width="9.28515625" style="212"/>
  </cols>
  <sheetData>
    <row r="2" spans="2:15" ht="16.5" thickBot="1" x14ac:dyDescent="0.3">
      <c r="B2" s="211" t="s">
        <v>171</v>
      </c>
    </row>
    <row r="3" spans="2:15" ht="15.75" thickBot="1" x14ac:dyDescent="0.3">
      <c r="B3" s="247" t="s">
        <v>182</v>
      </c>
      <c r="C3" s="248"/>
      <c r="D3" s="248"/>
      <c r="E3" s="249" t="s">
        <v>195</v>
      </c>
      <c r="F3" s="250"/>
      <c r="G3" s="246"/>
      <c r="H3" s="445" t="s">
        <v>199</v>
      </c>
      <c r="I3" s="446"/>
      <c r="J3" s="447"/>
    </row>
    <row r="4" spans="2:15" ht="11.25" customHeight="1" thickBot="1" x14ac:dyDescent="0.3">
      <c r="B4" s="254" t="s">
        <v>172</v>
      </c>
      <c r="C4" s="255"/>
      <c r="D4" s="255"/>
      <c r="E4" s="255"/>
      <c r="F4" s="256"/>
      <c r="G4" s="253"/>
      <c r="H4" s="269"/>
      <c r="I4" s="257"/>
      <c r="J4" s="270"/>
    </row>
    <row r="5" spans="2:15" ht="45" x14ac:dyDescent="0.25">
      <c r="B5" s="213" t="s">
        <v>138</v>
      </c>
      <c r="C5" s="214" t="s">
        <v>125</v>
      </c>
      <c r="D5" s="215" t="s">
        <v>173</v>
      </c>
      <c r="E5" s="215" t="s">
        <v>174</v>
      </c>
      <c r="F5" s="217" t="s">
        <v>175</v>
      </c>
      <c r="G5" s="263"/>
      <c r="H5" s="307" t="s">
        <v>196</v>
      </c>
      <c r="I5" s="251" t="s">
        <v>197</v>
      </c>
      <c r="J5" s="217" t="s">
        <v>142</v>
      </c>
      <c r="N5" s="437" t="s">
        <v>223</v>
      </c>
      <c r="O5" s="437" t="str">
        <f>I5</f>
        <v>Total Actual CRM Program Year 2019-2020</v>
      </c>
    </row>
    <row r="6" spans="2:15" x14ac:dyDescent="0.25">
      <c r="B6" s="218" t="s">
        <v>128</v>
      </c>
      <c r="C6" s="219" t="s">
        <v>129</v>
      </c>
      <c r="D6" s="330">
        <v>3207980.4099998274</v>
      </c>
      <c r="E6" s="331">
        <v>79500</v>
      </c>
      <c r="F6" s="220">
        <f>+E6+D6</f>
        <v>3287480.4099998274</v>
      </c>
      <c r="G6" s="264"/>
      <c r="H6" s="335">
        <v>51406.62</v>
      </c>
      <c r="I6" s="336">
        <f>+H6+D6</f>
        <v>3259387.0299998275</v>
      </c>
      <c r="J6" s="220">
        <f>+I6-F6</f>
        <v>-28093.379999999888</v>
      </c>
      <c r="K6" s="386" t="s">
        <v>219</v>
      </c>
      <c r="L6" s="386" t="s">
        <v>221</v>
      </c>
      <c r="N6" s="438" t="s">
        <v>78</v>
      </c>
      <c r="O6" s="439">
        <f>(I6+I8)/$I$9</f>
        <v>0.99149246749419484</v>
      </c>
    </row>
    <row r="7" spans="2:15" x14ac:dyDescent="0.25">
      <c r="B7" s="218" t="s">
        <v>130</v>
      </c>
      <c r="C7" s="219" t="s">
        <v>131</v>
      </c>
      <c r="D7" s="330">
        <v>27107.89</v>
      </c>
      <c r="E7" s="331">
        <v>50000</v>
      </c>
      <c r="F7" s="220">
        <f>+E7+D7</f>
        <v>77107.89</v>
      </c>
      <c r="G7" s="264"/>
      <c r="H7" s="335">
        <v>155.78</v>
      </c>
      <c r="I7" s="336">
        <f t="shared" ref="I7:I8" si="0">+H7+D7</f>
        <v>27263.67</v>
      </c>
      <c r="J7" s="220">
        <f t="shared" ref="J7:J8" si="1">+I7-F7</f>
        <v>-49844.22</v>
      </c>
      <c r="K7" s="386" t="s">
        <v>220</v>
      </c>
      <c r="L7" s="386" t="s">
        <v>222</v>
      </c>
      <c r="N7" s="438" t="s">
        <v>79</v>
      </c>
      <c r="O7" s="439">
        <f>I7/$I$9</f>
        <v>8.507532505805224E-3</v>
      </c>
    </row>
    <row r="8" spans="2:15" ht="15.75" thickBot="1" x14ac:dyDescent="0.3">
      <c r="B8" s="267" t="s">
        <v>183</v>
      </c>
      <c r="C8" s="237"/>
      <c r="D8" s="332">
        <v>0</v>
      </c>
      <c r="E8" s="332">
        <v>-82000</v>
      </c>
      <c r="F8" s="222">
        <f>D8+E8</f>
        <v>-82000</v>
      </c>
      <c r="G8" s="265"/>
      <c r="H8" s="337">
        <v>-82000</v>
      </c>
      <c r="I8" s="338">
        <f t="shared" si="0"/>
        <v>-82000</v>
      </c>
      <c r="J8" s="222">
        <f t="shared" si="1"/>
        <v>0</v>
      </c>
      <c r="K8" s="386" t="s">
        <v>219</v>
      </c>
      <c r="L8" s="386" t="s">
        <v>221</v>
      </c>
      <c r="N8" s="436"/>
      <c r="O8" s="440">
        <f>SUM(O6:O7)</f>
        <v>1</v>
      </c>
    </row>
    <row r="9" spans="2:15" x14ac:dyDescent="0.25">
      <c r="B9" s="223" t="s">
        <v>176</v>
      </c>
      <c r="C9" s="224"/>
      <c r="D9" s="333">
        <f>SUM(D6:D8)</f>
        <v>3235088.2999998275</v>
      </c>
      <c r="E9" s="334">
        <f>SUM(E6:E8)</f>
        <v>47500</v>
      </c>
      <c r="F9" s="225">
        <f>SUM(F6:F8)</f>
        <v>3282588.2999998275</v>
      </c>
      <c r="G9" s="262"/>
      <c r="H9" s="339">
        <f>SUM(H6:H8)</f>
        <v>-30437.599999999999</v>
      </c>
      <c r="I9" s="340">
        <f>SUM(I6:I8)</f>
        <v>3204650.6999998274</v>
      </c>
      <c r="J9" s="225">
        <f>+I9-F9</f>
        <v>-77937.600000000093</v>
      </c>
    </row>
    <row r="10" spans="2:15" x14ac:dyDescent="0.25">
      <c r="B10" s="371" t="s">
        <v>217</v>
      </c>
      <c r="C10" s="378">
        <f>'2020 + true up CAP'!F16</f>
        <v>4.5447000000000001E-2</v>
      </c>
      <c r="D10" s="372"/>
      <c r="E10" s="373"/>
      <c r="F10" s="374"/>
      <c r="G10" s="375"/>
      <c r="H10" s="376"/>
      <c r="I10" s="377"/>
      <c r="J10" s="374"/>
    </row>
    <row r="11" spans="2:15" x14ac:dyDescent="0.25">
      <c r="B11" s="365" t="s">
        <v>218</v>
      </c>
      <c r="C11" s="366"/>
      <c r="D11" s="367"/>
      <c r="E11" s="368"/>
      <c r="F11" s="369"/>
      <c r="G11" s="367"/>
      <c r="H11" s="370"/>
      <c r="I11" s="367"/>
      <c r="J11" s="435">
        <f>+J9/(1-C10)</f>
        <v>-81648.268875588983</v>
      </c>
    </row>
    <row r="12" spans="2:15" ht="15.75" thickBot="1" x14ac:dyDescent="0.3">
      <c r="B12" s="226"/>
      <c r="C12" s="227"/>
      <c r="D12" s="227"/>
      <c r="E12" s="227"/>
      <c r="F12" s="228"/>
      <c r="G12" s="227"/>
      <c r="H12" s="226"/>
      <c r="I12" s="227"/>
      <c r="J12" s="228"/>
    </row>
    <row r="13" spans="2:15" ht="11.25" customHeight="1" thickBot="1" x14ac:dyDescent="0.3">
      <c r="B13" s="254" t="s">
        <v>132</v>
      </c>
      <c r="C13" s="255"/>
      <c r="D13" s="255"/>
      <c r="E13" s="255"/>
      <c r="F13" s="256"/>
      <c r="G13" s="253"/>
      <c r="H13" s="269"/>
      <c r="I13" s="257"/>
      <c r="J13" s="258"/>
    </row>
    <row r="14" spans="2:15" ht="45" x14ac:dyDescent="0.25">
      <c r="B14" s="229" t="s">
        <v>138</v>
      </c>
      <c r="C14" s="230" t="s">
        <v>125</v>
      </c>
      <c r="D14" s="215" t="s">
        <v>173</v>
      </c>
      <c r="E14" s="216" t="s">
        <v>174</v>
      </c>
      <c r="F14" s="217" t="s">
        <v>175</v>
      </c>
      <c r="G14" s="263"/>
      <c r="H14" s="307" t="s">
        <v>196</v>
      </c>
      <c r="I14" s="251" t="s">
        <v>197</v>
      </c>
      <c r="J14" s="217"/>
      <c r="N14" s="437" t="s">
        <v>223</v>
      </c>
      <c r="O14" s="437" t="str">
        <f>I14</f>
        <v>Total Actual CRM Program Year 2019-2020</v>
      </c>
    </row>
    <row r="15" spans="2:15" x14ac:dyDescent="0.25">
      <c r="B15" s="231" t="s">
        <v>177</v>
      </c>
      <c r="C15" s="232" t="s">
        <v>83</v>
      </c>
      <c r="D15" s="330">
        <v>46594045.240000039</v>
      </c>
      <c r="E15" s="341">
        <v>3721742</v>
      </c>
      <c r="F15" s="220">
        <f>SUM(D15:E15)</f>
        <v>50315787.240000039</v>
      </c>
      <c r="G15" s="264"/>
      <c r="H15" s="344">
        <v>3185181.6800000011</v>
      </c>
      <c r="I15" s="336">
        <f>+H15+D15</f>
        <v>49779226.920000039</v>
      </c>
      <c r="J15" s="220">
        <f t="shared" ref="J15:J19" si="2">+I15-F15</f>
        <v>-536560.3200000003</v>
      </c>
      <c r="K15" s="436" t="str">
        <f>H26</f>
        <v>Mains, FERC 376</v>
      </c>
      <c r="N15" s="438" t="str">
        <f>K15</f>
        <v>Mains, FERC 376</v>
      </c>
      <c r="O15" s="439">
        <f>(I15)/$I$17</f>
        <v>0.93092101355019308</v>
      </c>
    </row>
    <row r="16" spans="2:15" ht="15.75" thickBot="1" x14ac:dyDescent="0.3">
      <c r="B16" s="221" t="s">
        <v>178</v>
      </c>
      <c r="C16" s="233" t="s">
        <v>179</v>
      </c>
      <c r="D16" s="332">
        <v>3145687.3699999936</v>
      </c>
      <c r="E16" s="342">
        <v>276000</v>
      </c>
      <c r="F16" s="268">
        <f>SUM(D16:E16)</f>
        <v>3421687.3699999936</v>
      </c>
      <c r="G16" s="252"/>
      <c r="H16" s="337">
        <v>548179.7699999999</v>
      </c>
      <c r="I16" s="332">
        <f t="shared" ref="I16" si="3">+H16+D16</f>
        <v>3693867.1399999936</v>
      </c>
      <c r="J16" s="268">
        <f t="shared" si="2"/>
        <v>272179.77</v>
      </c>
      <c r="K16" s="436" t="str">
        <f>H27</f>
        <v>Services, FERC 380</v>
      </c>
      <c r="N16" s="438" t="str">
        <f>K16</f>
        <v>Services, FERC 380</v>
      </c>
      <c r="O16" s="439">
        <f>I16/$I$17</f>
        <v>6.9078986449806923E-2</v>
      </c>
    </row>
    <row r="17" spans="2:15" x14ac:dyDescent="0.25">
      <c r="B17" s="223" t="s">
        <v>180</v>
      </c>
      <c r="C17" s="234"/>
      <c r="D17" s="333">
        <f>SUM(D15:D16)</f>
        <v>49739732.610000029</v>
      </c>
      <c r="E17" s="340">
        <f>SUM(E15:E16)</f>
        <v>3997742</v>
      </c>
      <c r="F17" s="235">
        <f>SUM(F15:F16)</f>
        <v>53737474.610000029</v>
      </c>
      <c r="G17" s="262"/>
      <c r="H17" s="345">
        <f>SUM(H15:H16)</f>
        <v>3733361.4500000011</v>
      </c>
      <c r="I17" s="340">
        <f>SUM(I15:I16)</f>
        <v>53473094.060000032</v>
      </c>
      <c r="J17" s="225">
        <f t="shared" si="2"/>
        <v>-264380.54999999702</v>
      </c>
      <c r="K17" s="436"/>
      <c r="N17" s="436"/>
      <c r="O17" s="440">
        <f>SUM(O15:O16)</f>
        <v>1</v>
      </c>
    </row>
    <row r="18" spans="2:15" x14ac:dyDescent="0.25">
      <c r="B18" s="226"/>
      <c r="C18" s="236"/>
      <c r="D18" s="227"/>
      <c r="E18" s="227"/>
      <c r="F18" s="225"/>
      <c r="G18" s="227"/>
      <c r="H18" s="226"/>
      <c r="I18" s="227"/>
      <c r="J18" s="228"/>
    </row>
    <row r="19" spans="2:15" ht="15.75" thickBot="1" x14ac:dyDescent="0.3">
      <c r="B19" s="259" t="s">
        <v>181</v>
      </c>
      <c r="C19" s="260"/>
      <c r="D19" s="343">
        <f>D9+D17</f>
        <v>52974820.909999855</v>
      </c>
      <c r="E19" s="343">
        <f>E9+E17</f>
        <v>4045242</v>
      </c>
      <c r="F19" s="261">
        <f>F9+F17</f>
        <v>57020062.909999855</v>
      </c>
      <c r="G19" s="266"/>
      <c r="H19" s="346">
        <f>H9+H17</f>
        <v>3702923.850000001</v>
      </c>
      <c r="I19" s="347">
        <f>I9+I17</f>
        <v>56677744.759999856</v>
      </c>
      <c r="J19" s="261">
        <f t="shared" si="2"/>
        <v>-342318.14999999851</v>
      </c>
    </row>
    <row r="21" spans="2:15" ht="30" x14ac:dyDescent="0.25">
      <c r="E21" s="188" t="s">
        <v>13</v>
      </c>
      <c r="F21" s="189" t="s">
        <v>137</v>
      </c>
      <c r="H21" s="188" t="s">
        <v>13</v>
      </c>
      <c r="I21" s="189" t="s">
        <v>137</v>
      </c>
    </row>
    <row r="22" spans="2:15" x14ac:dyDescent="0.25">
      <c r="D22" s="125" t="s">
        <v>81</v>
      </c>
      <c r="E22" s="348">
        <f>'2021 C&amp;OM'!E35</f>
        <v>2.443056207967733E-2</v>
      </c>
      <c r="F22" s="349">
        <f>+F15*E22</f>
        <v>1229242.9637546574</v>
      </c>
      <c r="H22" s="348">
        <f>+E22</f>
        <v>2.443056207967733E-2</v>
      </c>
      <c r="I22" s="349">
        <f>+I15*H22</f>
        <v>1216134.4935474058</v>
      </c>
    </row>
    <row r="23" spans="2:15" x14ac:dyDescent="0.25">
      <c r="D23" s="126" t="s">
        <v>79</v>
      </c>
      <c r="E23" s="348">
        <f>'2021 C&amp;OM'!E36</f>
        <v>3.1950138602539598E-2</v>
      </c>
      <c r="F23" s="350">
        <f>+F16*E23</f>
        <v>109323.38572605899</v>
      </c>
      <c r="H23" s="348">
        <f>+E23</f>
        <v>3.1950138602539598E-2</v>
      </c>
      <c r="I23" s="350">
        <f>+I16*H23</f>
        <v>118019.56710236633</v>
      </c>
    </row>
    <row r="24" spans="2:15" x14ac:dyDescent="0.25">
      <c r="E24" s="190"/>
      <c r="F24" s="352">
        <f>SUM(F22:F23)</f>
        <v>1338566.3494807165</v>
      </c>
      <c r="H24" s="353"/>
      <c r="I24" s="352">
        <f>SUM(I22:I23)</f>
        <v>1334154.0606497722</v>
      </c>
    </row>
    <row r="25" spans="2:15" x14ac:dyDescent="0.25">
      <c r="E25" s="351"/>
      <c r="F25" s="354">
        <f>+F24/F17</f>
        <v>2.4909364632323495E-2</v>
      </c>
      <c r="G25" s="355"/>
      <c r="H25" s="348"/>
      <c r="I25" s="354">
        <f>+I24/I17</f>
        <v>2.4950006804408419E-2</v>
      </c>
    </row>
    <row r="26" spans="2:15" x14ac:dyDescent="0.25">
      <c r="E26" s="245"/>
      <c r="G26" s="355"/>
      <c r="H26" s="355" t="s">
        <v>213</v>
      </c>
      <c r="I26" s="354">
        <f>+I22/I24</f>
        <v>0.91153977596493818</v>
      </c>
    </row>
    <row r="27" spans="2:15" x14ac:dyDescent="0.25">
      <c r="E27" s="245"/>
      <c r="G27" s="355"/>
      <c r="H27" s="355" t="s">
        <v>214</v>
      </c>
      <c r="I27" s="354">
        <f>+I23/I24</f>
        <v>8.8460224035061846E-2</v>
      </c>
    </row>
  </sheetData>
  <mergeCells count="1">
    <mergeCell ref="H3:J3"/>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85" zoomScaleNormal="85" workbookViewId="0">
      <pane xSplit="4" ySplit="26" topLeftCell="E69" activePane="bottomRight" state="frozen"/>
      <selection activeCell="J17" sqref="J17"/>
      <selection pane="topRight" activeCell="J17" sqref="J17"/>
      <selection pane="bottomLeft" activeCell="J17" sqref="J17"/>
      <selection pane="bottomRight" activeCell="F22" sqref="F22"/>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34" width="12.7109375" style="56" bestFit="1" customWidth="1"/>
    <col min="35"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49" width="14.7109375" style="3" customWidth="1"/>
    <col min="50" max="16384" width="10.28515625" style="3"/>
  </cols>
  <sheetData>
    <row r="1" spans="1:41" ht="17.25" customHeight="1" x14ac:dyDescent="0.25">
      <c r="A1" s="1" t="s">
        <v>0</v>
      </c>
      <c r="B1" s="2"/>
      <c r="C1" s="2"/>
      <c r="E1" s="443"/>
      <c r="F1" s="443"/>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41" t="s">
        <v>141</v>
      </c>
      <c r="D3" s="114"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71" t="s">
        <v>168</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72">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9" x14ac:dyDescent="0.2">
      <c r="A17" s="12" t="s">
        <v>13</v>
      </c>
      <c r="B17" s="13"/>
      <c r="C17" s="13"/>
      <c r="D17" s="14"/>
      <c r="E17" s="14"/>
      <c r="F17" s="24">
        <f>'Summary 2020'!I25</f>
        <v>2.4950006804408419E-2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9"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9"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9"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9"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9" ht="15.75" thickBot="1" x14ac:dyDescent="0.25">
      <c r="A22" s="31" t="s">
        <v>17</v>
      </c>
      <c r="B22" s="32"/>
      <c r="C22" s="32"/>
      <c r="D22" s="32"/>
      <c r="E22" s="33"/>
      <c r="F22" s="57">
        <f>'Summary 2020'!I17</f>
        <v>53473094.060000032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9"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9"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9" x14ac:dyDescent="0.2">
      <c r="A25" s="2"/>
      <c r="B25" s="2"/>
      <c r="C25" s="2"/>
      <c r="D25" s="114"/>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9" x14ac:dyDescent="0.2">
      <c r="A26" s="2"/>
      <c r="B26" s="2"/>
      <c r="C26" s="2"/>
      <c r="D26" s="114"/>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9" x14ac:dyDescent="0.2">
      <c r="A27" s="241">
        <v>1</v>
      </c>
      <c r="B27" s="2" t="s">
        <v>123</v>
      </c>
      <c r="C27" s="2"/>
      <c r="D27" s="114"/>
      <c r="E27" s="38">
        <f>$F22*$F17</f>
        <v>1334154.0606497722</v>
      </c>
      <c r="F27" s="98">
        <f>$F22*$F17</f>
        <v>1334154.0606497722</v>
      </c>
      <c r="G27" s="98">
        <f>$F22*$F17</f>
        <v>1334154.0606497722</v>
      </c>
      <c r="H27" s="98">
        <f t="shared" ref="H27:AQ27" si="0">$F22*$F17</f>
        <v>1334154.0606497722</v>
      </c>
      <c r="I27" s="98">
        <f t="shared" si="0"/>
        <v>1334154.0606497722</v>
      </c>
      <c r="J27" s="98">
        <f t="shared" si="0"/>
        <v>1334154.0606497722</v>
      </c>
      <c r="K27" s="98">
        <f t="shared" si="0"/>
        <v>1334154.0606497722</v>
      </c>
      <c r="L27" s="98">
        <f t="shared" si="0"/>
        <v>1334154.0606497722</v>
      </c>
      <c r="M27" s="98">
        <f t="shared" si="0"/>
        <v>1334154.0606497722</v>
      </c>
      <c r="N27" s="98">
        <f t="shared" si="0"/>
        <v>1334154.0606497722</v>
      </c>
      <c r="O27" s="98">
        <f t="shared" si="0"/>
        <v>1334154.0606497722</v>
      </c>
      <c r="P27" s="98">
        <f t="shared" si="0"/>
        <v>1334154.0606497722</v>
      </c>
      <c r="Q27" s="98">
        <f t="shared" si="0"/>
        <v>1334154.0606497722</v>
      </c>
      <c r="R27" s="98">
        <f t="shared" si="0"/>
        <v>1334154.0606497722</v>
      </c>
      <c r="S27" s="98">
        <f t="shared" si="0"/>
        <v>1334154.0606497722</v>
      </c>
      <c r="T27" s="98">
        <f t="shared" si="0"/>
        <v>1334154.0606497722</v>
      </c>
      <c r="U27" s="98">
        <f t="shared" si="0"/>
        <v>1334154.0606497722</v>
      </c>
      <c r="V27" s="98">
        <f t="shared" si="0"/>
        <v>1334154.0606497722</v>
      </c>
      <c r="W27" s="98">
        <f t="shared" si="0"/>
        <v>1334154.0606497722</v>
      </c>
      <c r="X27" s="98">
        <f t="shared" si="0"/>
        <v>1334154.0606497722</v>
      </c>
      <c r="Y27" s="98">
        <f t="shared" si="0"/>
        <v>1334154.0606497722</v>
      </c>
      <c r="Z27" s="98">
        <f t="shared" si="0"/>
        <v>1334154.0606497722</v>
      </c>
      <c r="AA27" s="98">
        <f t="shared" si="0"/>
        <v>1334154.0606497722</v>
      </c>
      <c r="AB27" s="98">
        <f t="shared" si="0"/>
        <v>1334154.0606497722</v>
      </c>
      <c r="AC27" s="98">
        <f t="shared" si="0"/>
        <v>1334154.0606497722</v>
      </c>
      <c r="AD27" s="98">
        <f t="shared" si="0"/>
        <v>1334154.0606497722</v>
      </c>
      <c r="AE27" s="98">
        <f t="shared" si="0"/>
        <v>1334154.0606497722</v>
      </c>
      <c r="AF27" s="98">
        <f t="shared" si="0"/>
        <v>1334154.0606497722</v>
      </c>
      <c r="AG27" s="98">
        <f t="shared" si="0"/>
        <v>1334154.0606497722</v>
      </c>
      <c r="AH27" s="98">
        <f t="shared" si="0"/>
        <v>1334154.0606497722</v>
      </c>
      <c r="AI27" s="98">
        <f t="shared" si="0"/>
        <v>1334154.0606497722</v>
      </c>
      <c r="AJ27" s="98">
        <f t="shared" si="0"/>
        <v>1334154.0606497722</v>
      </c>
      <c r="AK27" s="98">
        <f t="shared" si="0"/>
        <v>1334154.0606497722</v>
      </c>
      <c r="AL27" s="98">
        <f t="shared" si="0"/>
        <v>1334154.0606497722</v>
      </c>
      <c r="AM27" s="98">
        <f t="shared" si="0"/>
        <v>1334154.0606497722</v>
      </c>
      <c r="AN27" s="98">
        <f t="shared" si="0"/>
        <v>1334154.0606497722</v>
      </c>
      <c r="AO27" s="98">
        <f t="shared" si="0"/>
        <v>1334154.0606497722</v>
      </c>
      <c r="AP27" s="98">
        <f t="shared" si="0"/>
        <v>1334154.0606497722</v>
      </c>
      <c r="AQ27" s="98">
        <f t="shared" si="0"/>
        <v>1334154.0606497722</v>
      </c>
      <c r="AR27" s="98">
        <f>$F22*$F17-86890</f>
        <v>1247264.0606497722</v>
      </c>
      <c r="AS27" s="98"/>
      <c r="AT27" s="98"/>
      <c r="AU27" s="100">
        <f>SUM(D27:AT27)</f>
        <v>53279272.425990909</v>
      </c>
      <c r="AV27" s="22">
        <f>F22</f>
        <v>53473094.060000032</v>
      </c>
      <c r="AW27" s="186">
        <f>+AU27-AV27</f>
        <v>-193821.63400912285</v>
      </c>
    </row>
    <row r="28" spans="1:49" x14ac:dyDescent="0.2">
      <c r="A28" s="2"/>
      <c r="B28" s="2"/>
      <c r="C28" s="2"/>
      <c r="D28" s="114"/>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5"/>
    </row>
    <row r="29" spans="1:49" x14ac:dyDescent="0.2">
      <c r="A29" s="241">
        <f>A27+1</f>
        <v>2</v>
      </c>
      <c r="B29" s="2" t="s">
        <v>54</v>
      </c>
      <c r="C29" s="2"/>
      <c r="D29" s="114"/>
      <c r="E29" s="38">
        <f>E53</f>
        <v>639235.00576328114</v>
      </c>
      <c r="F29" s="98">
        <f t="shared" ref="F29:AT29" si="1">F53</f>
        <v>618993.82188552583</v>
      </c>
      <c r="G29" s="98">
        <f t="shared" si="1"/>
        <v>596760.56898747431</v>
      </c>
      <c r="H29" s="98">
        <f t="shared" si="1"/>
        <v>575236.48449364165</v>
      </c>
      <c r="I29" s="98">
        <f t="shared" si="1"/>
        <v>554368.48286129383</v>
      </c>
      <c r="J29" s="98">
        <f t="shared" si="1"/>
        <v>534107.56205098378</v>
      </c>
      <c r="K29" s="98">
        <f t="shared" si="1"/>
        <v>514408.12294267042</v>
      </c>
      <c r="L29" s="98">
        <f t="shared" si="1"/>
        <v>495227.96933571895</v>
      </c>
      <c r="M29" s="98">
        <f t="shared" si="1"/>
        <v>476337.7444621622</v>
      </c>
      <c r="N29" s="98">
        <f t="shared" si="1"/>
        <v>457489.03520535899</v>
      </c>
      <c r="O29" s="98">
        <f t="shared" si="1"/>
        <v>438640.32594855595</v>
      </c>
      <c r="P29" s="98">
        <f t="shared" si="1"/>
        <v>419791.6166917528</v>
      </c>
      <c r="Q29" s="98">
        <f t="shared" si="1"/>
        <v>400942.90743494971</v>
      </c>
      <c r="R29" s="98">
        <f t="shared" si="1"/>
        <v>382094.19817814656</v>
      </c>
      <c r="S29" s="98">
        <f t="shared" si="1"/>
        <v>363245.48892134341</v>
      </c>
      <c r="T29" s="98">
        <f t="shared" si="1"/>
        <v>344396.77966454043</v>
      </c>
      <c r="U29" s="98">
        <f t="shared" si="1"/>
        <v>325548.07040773728</v>
      </c>
      <c r="V29" s="98">
        <f t="shared" si="1"/>
        <v>306699.36115093419</v>
      </c>
      <c r="W29" s="98">
        <f t="shared" si="1"/>
        <v>287850.65189413115</v>
      </c>
      <c r="X29" s="98">
        <f t="shared" si="1"/>
        <v>269001.94263732806</v>
      </c>
      <c r="Y29" s="98">
        <f t="shared" si="1"/>
        <v>251671.61601950051</v>
      </c>
      <c r="Z29" s="98">
        <f t="shared" si="1"/>
        <v>237377.37409574271</v>
      </c>
      <c r="AA29" s="98">
        <f t="shared" si="1"/>
        <v>224601.51481096051</v>
      </c>
      <c r="AB29" s="98">
        <f t="shared" si="1"/>
        <v>211825.65552617831</v>
      </c>
      <c r="AC29" s="98">
        <f t="shared" si="1"/>
        <v>199049.79624139611</v>
      </c>
      <c r="AD29" s="98">
        <f t="shared" si="1"/>
        <v>186273.93695661391</v>
      </c>
      <c r="AE29" s="98">
        <f t="shared" si="1"/>
        <v>173498.07767183174</v>
      </c>
      <c r="AF29" s="98">
        <f t="shared" si="1"/>
        <v>160722.21838704951</v>
      </c>
      <c r="AG29" s="98">
        <f t="shared" si="1"/>
        <v>147946.35910226725</v>
      </c>
      <c r="AH29" s="98">
        <f t="shared" si="1"/>
        <v>135170.49981748499</v>
      </c>
      <c r="AI29" s="98">
        <f t="shared" si="1"/>
        <v>122394.64053270275</v>
      </c>
      <c r="AJ29" s="98">
        <f t="shared" si="1"/>
        <v>109618.78124792049</v>
      </c>
      <c r="AK29" s="98">
        <f t="shared" si="1"/>
        <v>96842.921963138229</v>
      </c>
      <c r="AL29" s="98">
        <f t="shared" si="1"/>
        <v>84067.062678355971</v>
      </c>
      <c r="AM29" s="98">
        <f t="shared" si="1"/>
        <v>71291.203393573727</v>
      </c>
      <c r="AN29" s="98">
        <f t="shared" si="1"/>
        <v>58515.344108791483</v>
      </c>
      <c r="AO29" s="98">
        <f t="shared" si="1"/>
        <v>45739.484824009218</v>
      </c>
      <c r="AP29" s="98">
        <f t="shared" si="1"/>
        <v>32963.625539226974</v>
      </c>
      <c r="AQ29" s="98">
        <f t="shared" si="1"/>
        <v>20187.766254444719</v>
      </c>
      <c r="AR29" s="98">
        <f t="shared" si="1"/>
        <v>7827.936289662468</v>
      </c>
      <c r="AS29" s="98">
        <f t="shared" si="1"/>
        <v>1856.0359672712957</v>
      </c>
      <c r="AT29" s="98">
        <f t="shared" si="1"/>
        <v>1856.0359672712957</v>
      </c>
      <c r="AU29" s="100">
        <f>SUM(D29:AT29)</f>
        <v>11581674.028312925</v>
      </c>
    </row>
    <row r="30" spans="1:49" x14ac:dyDescent="0.2">
      <c r="A30" s="2"/>
      <c r="B30" s="2"/>
      <c r="C30" s="2"/>
      <c r="D30" s="114"/>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9" x14ac:dyDescent="0.2">
      <c r="A31" s="2"/>
      <c r="B31" s="2" t="s">
        <v>55</v>
      </c>
      <c r="C31" s="2"/>
      <c r="D31" s="114"/>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9" x14ac:dyDescent="0.2">
      <c r="A32" s="241">
        <f>A29+1</f>
        <v>3</v>
      </c>
      <c r="B32" s="2"/>
      <c r="C32" s="2"/>
      <c r="D32" s="114"/>
      <c r="E32" s="38">
        <f>E49*$F10</f>
        <v>0</v>
      </c>
      <c r="F32" s="98">
        <f t="shared" ref="F32:AT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98">
        <f t="shared" si="2"/>
        <v>0</v>
      </c>
      <c r="AU32" s="100">
        <f t="shared" ref="AU32:AU42" si="3">SUM(D32:AT32)</f>
        <v>0</v>
      </c>
    </row>
    <row r="33" spans="1:47" x14ac:dyDescent="0.2">
      <c r="A33" s="241">
        <f>A32+1</f>
        <v>4</v>
      </c>
      <c r="B33" s="13"/>
      <c r="C33" s="13" t="s">
        <v>102</v>
      </c>
      <c r="D33" s="114"/>
      <c r="E33" s="38">
        <f>E49*$F11</f>
        <v>1492416.1470185542</v>
      </c>
      <c r="F33" s="98">
        <f t="shared" ref="F33:AT33" si="4">F49*$F11</f>
        <v>1445159.2393373749</v>
      </c>
      <c r="G33" s="98">
        <f t="shared" si="4"/>
        <v>1393251.4662544865</v>
      </c>
      <c r="H33" s="98">
        <f t="shared" si="4"/>
        <v>1342999.3821871709</v>
      </c>
      <c r="I33" s="98">
        <f t="shared" si="4"/>
        <v>1294279.0488022084</v>
      </c>
      <c r="J33" s="98">
        <f t="shared" si="4"/>
        <v>1246976.0614843196</v>
      </c>
      <c r="K33" s="98">
        <f t="shared" si="4"/>
        <v>1200983.9603831747</v>
      </c>
      <c r="L33" s="98">
        <f t="shared" si="4"/>
        <v>1156204.2304133945</v>
      </c>
      <c r="M33" s="98">
        <f t="shared" si="4"/>
        <v>1112101.3944173516</v>
      </c>
      <c r="N33" s="98">
        <f t="shared" si="4"/>
        <v>1068095.4845536978</v>
      </c>
      <c r="O33" s="98">
        <f t="shared" si="4"/>
        <v>1024089.5746900444</v>
      </c>
      <c r="P33" s="98">
        <f t="shared" si="4"/>
        <v>980083.66482639068</v>
      </c>
      <c r="Q33" s="98">
        <f t="shared" si="4"/>
        <v>936077.75496273709</v>
      </c>
      <c r="R33" s="98">
        <f t="shared" si="4"/>
        <v>892071.84509908338</v>
      </c>
      <c r="S33" s="98">
        <f t="shared" si="4"/>
        <v>848065.93523542979</v>
      </c>
      <c r="T33" s="98">
        <f t="shared" si="4"/>
        <v>804060.02537177631</v>
      </c>
      <c r="U33" s="98">
        <f t="shared" si="4"/>
        <v>760054.11550812272</v>
      </c>
      <c r="V33" s="98">
        <f t="shared" si="4"/>
        <v>716048.20564446913</v>
      </c>
      <c r="W33" s="98">
        <f t="shared" si="4"/>
        <v>672042.29578081553</v>
      </c>
      <c r="X33" s="98">
        <f t="shared" si="4"/>
        <v>628036.38591716194</v>
      </c>
      <c r="Y33" s="98">
        <f t="shared" si="4"/>
        <v>587575.43017418252</v>
      </c>
      <c r="Z33" s="98">
        <f t="shared" si="4"/>
        <v>554202.79371956142</v>
      </c>
      <c r="AA33" s="98">
        <f t="shared" si="4"/>
        <v>524375.11138561449</v>
      </c>
      <c r="AB33" s="98">
        <f t="shared" si="4"/>
        <v>494547.42905166757</v>
      </c>
      <c r="AC33" s="98">
        <f t="shared" si="4"/>
        <v>464719.74671772058</v>
      </c>
      <c r="AD33" s="98">
        <f t="shared" si="4"/>
        <v>434892.06438377372</v>
      </c>
      <c r="AE33" s="98">
        <f t="shared" si="4"/>
        <v>405064.38204982691</v>
      </c>
      <c r="AF33" s="98">
        <f t="shared" si="4"/>
        <v>375236.69971587986</v>
      </c>
      <c r="AG33" s="98">
        <f t="shared" si="4"/>
        <v>345409.01738193282</v>
      </c>
      <c r="AH33" s="98">
        <f t="shared" si="4"/>
        <v>315581.33504798578</v>
      </c>
      <c r="AI33" s="98">
        <f t="shared" si="4"/>
        <v>285753.65271403873</v>
      </c>
      <c r="AJ33" s="98">
        <f t="shared" si="4"/>
        <v>255925.97038009172</v>
      </c>
      <c r="AK33" s="98">
        <f t="shared" si="4"/>
        <v>226098.28804614468</v>
      </c>
      <c r="AL33" s="98">
        <f t="shared" si="4"/>
        <v>196270.60571219763</v>
      </c>
      <c r="AM33" s="98">
        <f t="shared" si="4"/>
        <v>166442.92337825059</v>
      </c>
      <c r="AN33" s="98">
        <f t="shared" si="4"/>
        <v>136615.24104430358</v>
      </c>
      <c r="AO33" s="98">
        <f t="shared" si="4"/>
        <v>106787.55871035653</v>
      </c>
      <c r="AP33" s="98">
        <f t="shared" si="4"/>
        <v>76959.876376409506</v>
      </c>
      <c r="AQ33" s="98">
        <f t="shared" si="4"/>
        <v>47132.194042462463</v>
      </c>
      <c r="AR33" s="98">
        <f t="shared" si="4"/>
        <v>18275.811573515432</v>
      </c>
      <c r="AS33" s="98">
        <f t="shared" si="4"/>
        <v>4333.2702715418081</v>
      </c>
      <c r="AT33" s="98">
        <f t="shared" si="4"/>
        <v>4333.2702715418081</v>
      </c>
      <c r="AU33" s="100">
        <f t="shared" si="3"/>
        <v>27039628.890036769</v>
      </c>
    </row>
    <row r="34" spans="1:47" x14ac:dyDescent="0.2">
      <c r="A34" s="241">
        <f>A33+1</f>
        <v>5</v>
      </c>
      <c r="B34" s="2"/>
      <c r="C34" s="2" t="s">
        <v>9</v>
      </c>
      <c r="D34" s="114"/>
      <c r="E34" s="40">
        <f>E49*$F12</f>
        <v>2404741.2121571051</v>
      </c>
      <c r="F34" s="96">
        <f t="shared" ref="F34:AT34" si="5">F49*$F12</f>
        <v>2328595.8061407879</v>
      </c>
      <c r="G34" s="96">
        <f t="shared" si="5"/>
        <v>2244956.4261909751</v>
      </c>
      <c r="H34" s="96">
        <f t="shared" si="5"/>
        <v>2163984.8702379856</v>
      </c>
      <c r="I34" s="96">
        <f t="shared" si="5"/>
        <v>2085481.4355258199</v>
      </c>
      <c r="J34" s="96">
        <f t="shared" si="5"/>
        <v>2009261.7810489393</v>
      </c>
      <c r="K34" s="96">
        <f t="shared" si="5"/>
        <v>1935154.367260522</v>
      </c>
      <c r="L34" s="96">
        <f t="shared" si="5"/>
        <v>1863000.4560724664</v>
      </c>
      <c r="M34" s="96">
        <f t="shared" si="5"/>
        <v>1791937.2291671815</v>
      </c>
      <c r="N34" s="96">
        <f t="shared" si="5"/>
        <v>1721030.1800582553</v>
      </c>
      <c r="O34" s="96">
        <f t="shared" si="5"/>
        <v>1650123.1309493296</v>
      </c>
      <c r="P34" s="96">
        <f t="shared" si="5"/>
        <v>1579216.0818404036</v>
      </c>
      <c r="Q34" s="96">
        <f t="shared" si="5"/>
        <v>1508309.0327314776</v>
      </c>
      <c r="R34" s="96">
        <f t="shared" si="5"/>
        <v>1437401.9836225514</v>
      </c>
      <c r="S34" s="96">
        <f t="shared" si="5"/>
        <v>1366494.9345136255</v>
      </c>
      <c r="T34" s="96">
        <f t="shared" si="5"/>
        <v>1295587.8854046997</v>
      </c>
      <c r="U34" s="96">
        <f t="shared" si="5"/>
        <v>1224680.8362957737</v>
      </c>
      <c r="V34" s="96">
        <f t="shared" si="5"/>
        <v>1153773.7871868478</v>
      </c>
      <c r="W34" s="96">
        <f t="shared" si="5"/>
        <v>1082866.738077922</v>
      </c>
      <c r="X34" s="96">
        <f t="shared" si="5"/>
        <v>1011959.6889689961</v>
      </c>
      <c r="Y34" s="96">
        <f t="shared" si="5"/>
        <v>946764.65074002568</v>
      </c>
      <c r="Z34" s="96">
        <f t="shared" si="5"/>
        <v>892991.07397922268</v>
      </c>
      <c r="AA34" s="96">
        <f t="shared" si="5"/>
        <v>844929.50809837529</v>
      </c>
      <c r="AB34" s="96">
        <f t="shared" si="5"/>
        <v>796867.94221752801</v>
      </c>
      <c r="AC34" s="96">
        <f t="shared" si="5"/>
        <v>748806.37633668061</v>
      </c>
      <c r="AD34" s="96">
        <f t="shared" si="5"/>
        <v>700744.81045583333</v>
      </c>
      <c r="AE34" s="96">
        <f t="shared" si="5"/>
        <v>652683.24457498617</v>
      </c>
      <c r="AF34" s="96">
        <f t="shared" si="5"/>
        <v>604621.67869413865</v>
      </c>
      <c r="AG34" s="96">
        <f t="shared" si="5"/>
        <v>556560.11281329114</v>
      </c>
      <c r="AH34" s="96">
        <f t="shared" si="5"/>
        <v>508498.54693244351</v>
      </c>
      <c r="AI34" s="96">
        <f t="shared" si="5"/>
        <v>460436.98105159606</v>
      </c>
      <c r="AJ34" s="96">
        <f t="shared" si="5"/>
        <v>412375.41517074854</v>
      </c>
      <c r="AK34" s="96">
        <f t="shared" si="5"/>
        <v>364313.84928990097</v>
      </c>
      <c r="AL34" s="96">
        <f t="shared" si="5"/>
        <v>316252.28340905346</v>
      </c>
      <c r="AM34" s="96">
        <f t="shared" si="5"/>
        <v>268190.71752820595</v>
      </c>
      <c r="AN34" s="96">
        <f t="shared" si="5"/>
        <v>220129.15164735843</v>
      </c>
      <c r="AO34" s="96">
        <f t="shared" si="5"/>
        <v>172067.58576651089</v>
      </c>
      <c r="AP34" s="96">
        <f t="shared" si="5"/>
        <v>124006.01988566338</v>
      </c>
      <c r="AQ34" s="96">
        <f t="shared" si="5"/>
        <v>75944.454004815852</v>
      </c>
      <c r="AR34" s="96">
        <f t="shared" si="5"/>
        <v>29447.950803968331</v>
      </c>
      <c r="AS34" s="96">
        <f t="shared" si="5"/>
        <v>6982.2305435443986</v>
      </c>
      <c r="AT34" s="96">
        <f t="shared" si="5"/>
        <v>6982.2305435443986</v>
      </c>
      <c r="AU34" s="100">
        <f t="shared" si="3"/>
        <v>43569154.67793911</v>
      </c>
    </row>
    <row r="35" spans="1:47" x14ac:dyDescent="0.2">
      <c r="A35" s="241">
        <f>A34+1</f>
        <v>6</v>
      </c>
      <c r="B35" s="2"/>
      <c r="C35" s="2" t="s">
        <v>58</v>
      </c>
      <c r="D35" s="114"/>
      <c r="E35" s="38">
        <f>E32+E33+E34</f>
        <v>3897157.3591756593</v>
      </c>
      <c r="F35" s="98">
        <f>F32+F33+F34</f>
        <v>3773755.0454781628</v>
      </c>
      <c r="G35" s="98">
        <f>G32+G33+G34</f>
        <v>3638207.8924454618</v>
      </c>
      <c r="H35" s="98">
        <f t="shared" ref="H35:AT35" si="6">H32+H33+H34</f>
        <v>3506984.2524251565</v>
      </c>
      <c r="I35" s="98">
        <f t="shared" si="6"/>
        <v>3379760.4843280283</v>
      </c>
      <c r="J35" s="98">
        <f t="shared" si="6"/>
        <v>3256237.8425332587</v>
      </c>
      <c r="K35" s="98">
        <f t="shared" si="6"/>
        <v>3136138.3276436967</v>
      </c>
      <c r="L35" s="98">
        <f t="shared" si="6"/>
        <v>3019204.686485861</v>
      </c>
      <c r="M35" s="98">
        <f t="shared" si="6"/>
        <v>2904038.6235845331</v>
      </c>
      <c r="N35" s="98">
        <f t="shared" si="6"/>
        <v>2789125.6646119533</v>
      </c>
      <c r="O35" s="98">
        <f t="shared" si="6"/>
        <v>2674212.705639374</v>
      </c>
      <c r="P35" s="98">
        <f t="shared" si="6"/>
        <v>2559299.7466667942</v>
      </c>
      <c r="Q35" s="98">
        <f t="shared" si="6"/>
        <v>2444386.7876942148</v>
      </c>
      <c r="R35" s="98">
        <f t="shared" si="6"/>
        <v>2329473.828721635</v>
      </c>
      <c r="S35" s="98">
        <f t="shared" si="6"/>
        <v>2214560.8697490552</v>
      </c>
      <c r="T35" s="98">
        <f t="shared" si="6"/>
        <v>2099647.9107764759</v>
      </c>
      <c r="U35" s="98">
        <f t="shared" si="6"/>
        <v>1984734.9518038966</v>
      </c>
      <c r="V35" s="98">
        <f t="shared" si="6"/>
        <v>1869821.9928313168</v>
      </c>
      <c r="W35" s="98">
        <f t="shared" si="6"/>
        <v>1754909.0338587374</v>
      </c>
      <c r="X35" s="98">
        <f t="shared" si="6"/>
        <v>1639996.0748861581</v>
      </c>
      <c r="Y35" s="98">
        <f t="shared" si="6"/>
        <v>1534340.0809142082</v>
      </c>
      <c r="Z35" s="98">
        <f t="shared" si="6"/>
        <v>1447193.867698784</v>
      </c>
      <c r="AA35" s="98">
        <f t="shared" si="6"/>
        <v>1369304.6194839897</v>
      </c>
      <c r="AB35" s="98">
        <f t="shared" si="6"/>
        <v>1291415.3712691956</v>
      </c>
      <c r="AC35" s="98">
        <f t="shared" si="6"/>
        <v>1213526.1230544013</v>
      </c>
      <c r="AD35" s="98">
        <f t="shared" si="6"/>
        <v>1135636.8748396072</v>
      </c>
      <c r="AE35" s="98">
        <f t="shared" si="6"/>
        <v>1057747.6266248131</v>
      </c>
      <c r="AF35" s="98">
        <f t="shared" si="6"/>
        <v>979858.37841001851</v>
      </c>
      <c r="AG35" s="98">
        <f t="shared" si="6"/>
        <v>901969.13019522396</v>
      </c>
      <c r="AH35" s="98">
        <f t="shared" si="6"/>
        <v>824079.88198042929</v>
      </c>
      <c r="AI35" s="98">
        <f t="shared" si="6"/>
        <v>746190.63376563485</v>
      </c>
      <c r="AJ35" s="98">
        <f t="shared" si="6"/>
        <v>668301.38555084029</v>
      </c>
      <c r="AK35" s="98">
        <f t="shared" si="6"/>
        <v>590412.13733604562</v>
      </c>
      <c r="AL35" s="98">
        <f t="shared" si="6"/>
        <v>512522.88912125106</v>
      </c>
      <c r="AM35" s="98">
        <f t="shared" si="6"/>
        <v>434633.64090645651</v>
      </c>
      <c r="AN35" s="98">
        <f t="shared" si="6"/>
        <v>356744.39269166201</v>
      </c>
      <c r="AO35" s="98">
        <f t="shared" si="6"/>
        <v>278855.1444768674</v>
      </c>
      <c r="AP35" s="98">
        <f t="shared" si="6"/>
        <v>200965.8962620729</v>
      </c>
      <c r="AQ35" s="98">
        <f t="shared" si="6"/>
        <v>123076.64804727832</v>
      </c>
      <c r="AR35" s="98">
        <f t="shared" si="6"/>
        <v>47723.762377483763</v>
      </c>
      <c r="AS35" s="98">
        <f t="shared" si="6"/>
        <v>11315.500815086207</v>
      </c>
      <c r="AT35" s="98">
        <f t="shared" si="6"/>
        <v>11315.500815086207</v>
      </c>
      <c r="AU35" s="100">
        <f t="shared" si="3"/>
        <v>70608783.567975864</v>
      </c>
    </row>
    <row r="36" spans="1:47" x14ac:dyDescent="0.2">
      <c r="A36" s="2"/>
      <c r="B36" s="2"/>
      <c r="C36" s="2"/>
      <c r="D36" s="114"/>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3"/>
        <v>0</v>
      </c>
    </row>
    <row r="37" spans="1:47" x14ac:dyDescent="0.2">
      <c r="A37" s="241">
        <f>A35+1</f>
        <v>7</v>
      </c>
      <c r="B37" s="2" t="s">
        <v>59</v>
      </c>
      <c r="C37" s="2"/>
      <c r="D37" s="114"/>
      <c r="E37" s="41">
        <f>E27+E29+E35</f>
        <v>5870546.4255887121</v>
      </c>
      <c r="F37" s="95">
        <f>F27+F29+F35</f>
        <v>5726902.9280134607</v>
      </c>
      <c r="G37" s="95">
        <f t="shared" ref="G37:AT37" si="7">G27+G29+G35</f>
        <v>5569122.5220827088</v>
      </c>
      <c r="H37" s="95">
        <f t="shared" si="7"/>
        <v>5416374.7975685708</v>
      </c>
      <c r="I37" s="95">
        <f t="shared" si="7"/>
        <v>5268283.0278390944</v>
      </c>
      <c r="J37" s="95">
        <f t="shared" si="7"/>
        <v>5124499.4652340151</v>
      </c>
      <c r="K37" s="95">
        <f t="shared" si="7"/>
        <v>4984700.5112361396</v>
      </c>
      <c r="L37" s="95">
        <f t="shared" si="7"/>
        <v>4848586.7164713517</v>
      </c>
      <c r="M37" s="95">
        <f t="shared" si="7"/>
        <v>4714530.4286964675</v>
      </c>
      <c r="N37" s="95">
        <f t="shared" si="7"/>
        <v>4580768.7604670841</v>
      </c>
      <c r="O37" s="95">
        <f t="shared" si="7"/>
        <v>4447007.0922377016</v>
      </c>
      <c r="P37" s="95">
        <f t="shared" si="7"/>
        <v>4313245.4240083192</v>
      </c>
      <c r="Q37" s="95">
        <f t="shared" si="7"/>
        <v>4179483.7557789367</v>
      </c>
      <c r="R37" s="95">
        <f t="shared" si="7"/>
        <v>4045722.0875495537</v>
      </c>
      <c r="S37" s="95">
        <f t="shared" si="7"/>
        <v>3911960.4193201708</v>
      </c>
      <c r="T37" s="95">
        <f t="shared" si="7"/>
        <v>3778198.7510907883</v>
      </c>
      <c r="U37" s="95">
        <f t="shared" si="7"/>
        <v>3644437.0828614058</v>
      </c>
      <c r="V37" s="95">
        <f t="shared" si="7"/>
        <v>3510675.4146320233</v>
      </c>
      <c r="W37" s="95">
        <f t="shared" si="7"/>
        <v>3376913.7464026408</v>
      </c>
      <c r="X37" s="95">
        <f t="shared" si="7"/>
        <v>3243152.0781732583</v>
      </c>
      <c r="Y37" s="95">
        <f t="shared" si="7"/>
        <v>3120165.7575834808</v>
      </c>
      <c r="Z37" s="95">
        <f t="shared" si="7"/>
        <v>3018725.3024442988</v>
      </c>
      <c r="AA37" s="95">
        <f t="shared" si="7"/>
        <v>2928060.1949447226</v>
      </c>
      <c r="AB37" s="95">
        <f t="shared" si="7"/>
        <v>2837395.0874451464</v>
      </c>
      <c r="AC37" s="95">
        <f t="shared" si="7"/>
        <v>2746729.9799455693</v>
      </c>
      <c r="AD37" s="95">
        <f t="shared" si="7"/>
        <v>2656064.8724459931</v>
      </c>
      <c r="AE37" s="95">
        <f t="shared" si="7"/>
        <v>2565399.764946417</v>
      </c>
      <c r="AF37" s="95">
        <f t="shared" si="7"/>
        <v>2474734.6574468403</v>
      </c>
      <c r="AG37" s="95">
        <f t="shared" si="7"/>
        <v>2384069.5499472637</v>
      </c>
      <c r="AH37" s="95">
        <f t="shared" si="7"/>
        <v>2293404.4424476866</v>
      </c>
      <c r="AI37" s="95">
        <f t="shared" si="7"/>
        <v>2202739.3349481095</v>
      </c>
      <c r="AJ37" s="95">
        <f t="shared" si="7"/>
        <v>2112074.2274485333</v>
      </c>
      <c r="AK37" s="95">
        <f t="shared" si="7"/>
        <v>2021409.1199489562</v>
      </c>
      <c r="AL37" s="95">
        <f t="shared" si="7"/>
        <v>1930744.0124493791</v>
      </c>
      <c r="AM37" s="95">
        <f t="shared" si="7"/>
        <v>1840078.9049498024</v>
      </c>
      <c r="AN37" s="95">
        <f t="shared" si="7"/>
        <v>1749413.7974502258</v>
      </c>
      <c r="AO37" s="95">
        <f t="shared" si="7"/>
        <v>1658748.6899506487</v>
      </c>
      <c r="AP37" s="95">
        <f t="shared" si="7"/>
        <v>1568083.5824510721</v>
      </c>
      <c r="AQ37" s="95">
        <f t="shared" si="7"/>
        <v>1477418.4749514952</v>
      </c>
      <c r="AR37" s="95">
        <f t="shared" si="7"/>
        <v>1302815.7593169184</v>
      </c>
      <c r="AS37" s="95">
        <f t="shared" si="7"/>
        <v>13171.536782357503</v>
      </c>
      <c r="AT37" s="95">
        <f t="shared" si="7"/>
        <v>13171.536782357503</v>
      </c>
      <c r="AU37" s="100">
        <f t="shared" si="3"/>
        <v>135469730.02227968</v>
      </c>
    </row>
    <row r="38" spans="1:47" x14ac:dyDescent="0.2">
      <c r="A38" s="241">
        <f>A37+1</f>
        <v>8</v>
      </c>
      <c r="B38" s="2" t="s">
        <v>60</v>
      </c>
      <c r="C38" s="2"/>
      <c r="D38" s="114"/>
      <c r="E38" s="40">
        <f>E37/(1-$F16)-E37</f>
        <v>279501.21512763575</v>
      </c>
      <c r="F38" s="96">
        <f t="shared" ref="F38:AT38" si="8">F37/(1-$F16)-F37</f>
        <v>272662.238104566</v>
      </c>
      <c r="G38" s="96">
        <f t="shared" si="8"/>
        <v>265150.19203867484</v>
      </c>
      <c r="H38" s="96">
        <f t="shared" si="8"/>
        <v>257877.75579260569</v>
      </c>
      <c r="I38" s="96">
        <f t="shared" si="8"/>
        <v>250826.99312264845</v>
      </c>
      <c r="J38" s="96">
        <f t="shared" si="8"/>
        <v>243981.3474961482</v>
      </c>
      <c r="K38" s="96">
        <f t="shared" si="8"/>
        <v>237325.41213965975</v>
      </c>
      <c r="L38" s="96">
        <f t="shared" si="8"/>
        <v>230844.93003895413</v>
      </c>
      <c r="M38" s="96">
        <f t="shared" si="8"/>
        <v>224462.40742312744</v>
      </c>
      <c r="N38" s="96">
        <f t="shared" si="8"/>
        <v>218093.91186968982</v>
      </c>
      <c r="O38" s="96">
        <f t="shared" si="8"/>
        <v>211725.41631625127</v>
      </c>
      <c r="P38" s="96">
        <f t="shared" si="8"/>
        <v>205356.92076281365</v>
      </c>
      <c r="Q38" s="96">
        <f t="shared" si="8"/>
        <v>198988.42520937603</v>
      </c>
      <c r="R38" s="96">
        <f t="shared" si="8"/>
        <v>192619.92965593794</v>
      </c>
      <c r="S38" s="96">
        <f t="shared" si="8"/>
        <v>186251.43410250032</v>
      </c>
      <c r="T38" s="96">
        <f t="shared" si="8"/>
        <v>179882.93854906224</v>
      </c>
      <c r="U38" s="96">
        <f t="shared" si="8"/>
        <v>173514.44299562462</v>
      </c>
      <c r="V38" s="96">
        <f t="shared" si="8"/>
        <v>167145.94744218653</v>
      </c>
      <c r="W38" s="96">
        <f t="shared" si="8"/>
        <v>160777.45188874891</v>
      </c>
      <c r="X38" s="96">
        <f t="shared" si="8"/>
        <v>154408.95633531082</v>
      </c>
      <c r="Y38" s="96">
        <f t="shared" si="8"/>
        <v>148553.48334235651</v>
      </c>
      <c r="Z38" s="96">
        <f t="shared" si="8"/>
        <v>143723.8255185266</v>
      </c>
      <c r="AA38" s="96">
        <f t="shared" si="8"/>
        <v>139407.19025518</v>
      </c>
      <c r="AB38" s="96">
        <f t="shared" si="8"/>
        <v>135090.5549918334</v>
      </c>
      <c r="AC38" s="96">
        <f t="shared" si="8"/>
        <v>130773.9197284868</v>
      </c>
      <c r="AD38" s="96">
        <f t="shared" si="8"/>
        <v>126457.2844651402</v>
      </c>
      <c r="AE38" s="96">
        <f t="shared" si="8"/>
        <v>122140.6492017936</v>
      </c>
      <c r="AF38" s="96">
        <f t="shared" si="8"/>
        <v>117824.01393844699</v>
      </c>
      <c r="AG38" s="96">
        <f t="shared" si="8"/>
        <v>113507.37867510086</v>
      </c>
      <c r="AH38" s="96">
        <f t="shared" si="8"/>
        <v>109190.74341175426</v>
      </c>
      <c r="AI38" s="96">
        <f t="shared" si="8"/>
        <v>104874.10814840766</v>
      </c>
      <c r="AJ38" s="96">
        <f t="shared" si="8"/>
        <v>100557.47288506106</v>
      </c>
      <c r="AK38" s="96">
        <f t="shared" si="8"/>
        <v>96240.837621714454</v>
      </c>
      <c r="AL38" s="96">
        <f t="shared" si="8"/>
        <v>91924.20235836762</v>
      </c>
      <c r="AM38" s="96">
        <f t="shared" si="8"/>
        <v>87607.567095021019</v>
      </c>
      <c r="AN38" s="96">
        <f t="shared" si="8"/>
        <v>83290.93183167465</v>
      </c>
      <c r="AO38" s="96">
        <f t="shared" si="8"/>
        <v>78974.296568328049</v>
      </c>
      <c r="AP38" s="96">
        <f t="shared" si="8"/>
        <v>74657.661304981448</v>
      </c>
      <c r="AQ38" s="96">
        <f t="shared" si="8"/>
        <v>70341.026041634846</v>
      </c>
      <c r="AR38" s="96">
        <f t="shared" si="8"/>
        <v>62028.056916353526</v>
      </c>
      <c r="AS38" s="96">
        <f t="shared" si="8"/>
        <v>627.10696226170876</v>
      </c>
      <c r="AT38" s="96">
        <f t="shared" si="8"/>
        <v>627.10696226170876</v>
      </c>
      <c r="AU38" s="100">
        <f t="shared" si="3"/>
        <v>6449817.684636212</v>
      </c>
    </row>
    <row r="39" spans="1:47" x14ac:dyDescent="0.2">
      <c r="A39" s="241">
        <f>A38+1</f>
        <v>9</v>
      </c>
      <c r="B39" s="2"/>
      <c r="C39" s="2" t="s">
        <v>61</v>
      </c>
      <c r="D39" s="114"/>
      <c r="E39" s="41">
        <f>SUM(E37:E38)</f>
        <v>6150047.6407163478</v>
      </c>
      <c r="F39" s="95">
        <f t="shared" ref="F39:AT39" si="9">SUM(F37:F38)</f>
        <v>5999565.1661180267</v>
      </c>
      <c r="G39" s="95">
        <f t="shared" si="9"/>
        <v>5834272.7141213836</v>
      </c>
      <c r="H39" s="95">
        <f t="shared" si="9"/>
        <v>5674252.5533611765</v>
      </c>
      <c r="I39" s="95">
        <f t="shared" si="9"/>
        <v>5519110.0209617428</v>
      </c>
      <c r="J39" s="95">
        <f t="shared" si="9"/>
        <v>5368480.8127301633</v>
      </c>
      <c r="K39" s="95">
        <f t="shared" si="9"/>
        <v>5222025.9233757993</v>
      </c>
      <c r="L39" s="95">
        <f t="shared" si="9"/>
        <v>5079431.6465103058</v>
      </c>
      <c r="M39" s="95">
        <f t="shared" si="9"/>
        <v>4938992.836119595</v>
      </c>
      <c r="N39" s="95">
        <f t="shared" si="9"/>
        <v>4798862.6723367739</v>
      </c>
      <c r="O39" s="95">
        <f t="shared" si="9"/>
        <v>4658732.5085539529</v>
      </c>
      <c r="P39" s="95">
        <f t="shared" si="9"/>
        <v>4518602.3447711328</v>
      </c>
      <c r="Q39" s="95">
        <f t="shared" si="9"/>
        <v>4378472.1809883127</v>
      </c>
      <c r="R39" s="95">
        <f t="shared" si="9"/>
        <v>4238342.0172054917</v>
      </c>
      <c r="S39" s="95">
        <f t="shared" si="9"/>
        <v>4098211.8534226711</v>
      </c>
      <c r="T39" s="95">
        <f t="shared" si="9"/>
        <v>3958081.6896398505</v>
      </c>
      <c r="U39" s="95">
        <f t="shared" si="9"/>
        <v>3817951.5258570304</v>
      </c>
      <c r="V39" s="95">
        <f t="shared" si="9"/>
        <v>3677821.3620742098</v>
      </c>
      <c r="W39" s="95">
        <f t="shared" si="9"/>
        <v>3537691.1982913897</v>
      </c>
      <c r="X39" s="95">
        <f t="shared" si="9"/>
        <v>3397561.0345085692</v>
      </c>
      <c r="Y39" s="95">
        <f t="shared" si="9"/>
        <v>3268719.2409258373</v>
      </c>
      <c r="Z39" s="95">
        <f t="shared" si="9"/>
        <v>3162449.1279628254</v>
      </c>
      <c r="AA39" s="95">
        <f t="shared" si="9"/>
        <v>3067467.3851999026</v>
      </c>
      <c r="AB39" s="95">
        <f t="shared" si="9"/>
        <v>2972485.6424369798</v>
      </c>
      <c r="AC39" s="95">
        <f t="shared" si="9"/>
        <v>2877503.8996740561</v>
      </c>
      <c r="AD39" s="95">
        <f t="shared" si="9"/>
        <v>2782522.1569111333</v>
      </c>
      <c r="AE39" s="95">
        <f t="shared" si="9"/>
        <v>2687540.4141482105</v>
      </c>
      <c r="AF39" s="95">
        <f t="shared" si="9"/>
        <v>2592558.6713852873</v>
      </c>
      <c r="AG39" s="95">
        <f t="shared" si="9"/>
        <v>2497576.9286223645</v>
      </c>
      <c r="AH39" s="95">
        <f t="shared" si="9"/>
        <v>2402595.1858594408</v>
      </c>
      <c r="AI39" s="95">
        <f t="shared" si="9"/>
        <v>2307613.4430965171</v>
      </c>
      <c r="AJ39" s="95">
        <f t="shared" si="9"/>
        <v>2212631.7003335943</v>
      </c>
      <c r="AK39" s="95">
        <f t="shared" si="9"/>
        <v>2117649.9575706706</v>
      </c>
      <c r="AL39" s="95">
        <f t="shared" si="9"/>
        <v>2022668.2148077467</v>
      </c>
      <c r="AM39" s="95">
        <f t="shared" si="9"/>
        <v>1927686.4720448235</v>
      </c>
      <c r="AN39" s="95">
        <f t="shared" si="9"/>
        <v>1832704.7292819005</v>
      </c>
      <c r="AO39" s="95">
        <f t="shared" si="9"/>
        <v>1737722.9865189767</v>
      </c>
      <c r="AP39" s="95">
        <f t="shared" si="9"/>
        <v>1642741.2437560535</v>
      </c>
      <c r="AQ39" s="95">
        <f t="shared" si="9"/>
        <v>1547759.50099313</v>
      </c>
      <c r="AR39" s="95">
        <f t="shared" si="9"/>
        <v>1364843.816233272</v>
      </c>
      <c r="AS39" s="95">
        <f t="shared" si="9"/>
        <v>13798.643744619212</v>
      </c>
      <c r="AT39" s="95">
        <f t="shared" si="9"/>
        <v>13798.643744619212</v>
      </c>
      <c r="AU39" s="100">
        <f t="shared" si="3"/>
        <v>141919547.70691592</v>
      </c>
    </row>
    <row r="40" spans="1:47" x14ac:dyDescent="0.2">
      <c r="A40" s="241">
        <f t="shared" ref="A40:A66" si="10">A39+1</f>
        <v>10</v>
      </c>
      <c r="B40" s="2"/>
      <c r="C40" s="2"/>
      <c r="D40" s="114"/>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3"/>
        <v>0</v>
      </c>
    </row>
    <row r="41" spans="1:47" x14ac:dyDescent="0.2">
      <c r="A41" s="241">
        <f t="shared" si="10"/>
        <v>11</v>
      </c>
      <c r="B41" s="2"/>
      <c r="C41" s="2"/>
      <c r="D41" s="114"/>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3"/>
        <v>0</v>
      </c>
    </row>
    <row r="42" spans="1:47" x14ac:dyDescent="0.2">
      <c r="A42" s="241">
        <f t="shared" si="10"/>
        <v>12</v>
      </c>
      <c r="B42" s="2" t="s">
        <v>140</v>
      </c>
      <c r="C42" s="2"/>
      <c r="D42" s="114"/>
      <c r="E42" s="40">
        <f>E39</f>
        <v>6150047.6407163478</v>
      </c>
      <c r="F42" s="96">
        <f>F39</f>
        <v>5999565.1661180267</v>
      </c>
      <c r="G42" s="96">
        <f t="shared" ref="G42:AT42" si="11">G39</f>
        <v>5834272.7141213836</v>
      </c>
      <c r="H42" s="96">
        <f t="shared" si="11"/>
        <v>5674252.5533611765</v>
      </c>
      <c r="I42" s="96">
        <f t="shared" si="11"/>
        <v>5519110.0209617428</v>
      </c>
      <c r="J42" s="96">
        <f t="shared" si="11"/>
        <v>5368480.8127301633</v>
      </c>
      <c r="K42" s="96">
        <f t="shared" si="11"/>
        <v>5222025.9233757993</v>
      </c>
      <c r="L42" s="96">
        <f t="shared" si="11"/>
        <v>5079431.6465103058</v>
      </c>
      <c r="M42" s="96">
        <f t="shared" si="11"/>
        <v>4938992.836119595</v>
      </c>
      <c r="N42" s="96">
        <f t="shared" si="11"/>
        <v>4798862.6723367739</v>
      </c>
      <c r="O42" s="96">
        <f t="shared" si="11"/>
        <v>4658732.5085539529</v>
      </c>
      <c r="P42" s="96">
        <f t="shared" si="11"/>
        <v>4518602.3447711328</v>
      </c>
      <c r="Q42" s="96">
        <f t="shared" si="11"/>
        <v>4378472.1809883127</v>
      </c>
      <c r="R42" s="96">
        <f t="shared" si="11"/>
        <v>4238342.0172054917</v>
      </c>
      <c r="S42" s="96">
        <f t="shared" si="11"/>
        <v>4098211.8534226711</v>
      </c>
      <c r="T42" s="96">
        <f t="shared" si="11"/>
        <v>3958081.6896398505</v>
      </c>
      <c r="U42" s="96">
        <f t="shared" si="11"/>
        <v>3817951.5258570304</v>
      </c>
      <c r="V42" s="96">
        <f t="shared" si="11"/>
        <v>3677821.3620742098</v>
      </c>
      <c r="W42" s="96">
        <f t="shared" si="11"/>
        <v>3537691.1982913897</v>
      </c>
      <c r="X42" s="96">
        <f t="shared" si="11"/>
        <v>3397561.0345085692</v>
      </c>
      <c r="Y42" s="96">
        <f t="shared" si="11"/>
        <v>3268719.2409258373</v>
      </c>
      <c r="Z42" s="96">
        <f t="shared" si="11"/>
        <v>3162449.1279628254</v>
      </c>
      <c r="AA42" s="96">
        <f t="shared" si="11"/>
        <v>3067467.3851999026</v>
      </c>
      <c r="AB42" s="96">
        <f t="shared" si="11"/>
        <v>2972485.6424369798</v>
      </c>
      <c r="AC42" s="96">
        <f t="shared" si="11"/>
        <v>2877503.8996740561</v>
      </c>
      <c r="AD42" s="96">
        <f t="shared" si="11"/>
        <v>2782522.1569111333</v>
      </c>
      <c r="AE42" s="96">
        <f t="shared" si="11"/>
        <v>2687540.4141482105</v>
      </c>
      <c r="AF42" s="96">
        <f t="shared" si="11"/>
        <v>2592558.6713852873</v>
      </c>
      <c r="AG42" s="96">
        <f t="shared" si="11"/>
        <v>2497576.9286223645</v>
      </c>
      <c r="AH42" s="96">
        <f t="shared" si="11"/>
        <v>2402595.1858594408</v>
      </c>
      <c r="AI42" s="96">
        <f t="shared" si="11"/>
        <v>2307613.4430965171</v>
      </c>
      <c r="AJ42" s="96">
        <f t="shared" si="11"/>
        <v>2212631.7003335943</v>
      </c>
      <c r="AK42" s="96">
        <f t="shared" si="11"/>
        <v>2117649.9575706706</v>
      </c>
      <c r="AL42" s="96">
        <f t="shared" si="11"/>
        <v>2022668.2148077467</v>
      </c>
      <c r="AM42" s="96">
        <f t="shared" si="11"/>
        <v>1927686.4720448235</v>
      </c>
      <c r="AN42" s="96">
        <f t="shared" si="11"/>
        <v>1832704.7292819005</v>
      </c>
      <c r="AO42" s="96">
        <f t="shared" si="11"/>
        <v>1737722.9865189767</v>
      </c>
      <c r="AP42" s="96">
        <f t="shared" si="11"/>
        <v>1642741.2437560535</v>
      </c>
      <c r="AQ42" s="96">
        <f t="shared" si="11"/>
        <v>1547759.50099313</v>
      </c>
      <c r="AR42" s="96">
        <f t="shared" si="11"/>
        <v>1364843.816233272</v>
      </c>
      <c r="AS42" s="96">
        <f t="shared" si="11"/>
        <v>13798.643744619212</v>
      </c>
      <c r="AT42" s="96">
        <f t="shared" si="11"/>
        <v>13798.643744619212</v>
      </c>
      <c r="AU42" s="100">
        <f t="shared" si="3"/>
        <v>141919547.70691592</v>
      </c>
    </row>
    <row r="43" spans="1:47" x14ac:dyDescent="0.2">
      <c r="A43" s="241">
        <f t="shared" si="10"/>
        <v>13</v>
      </c>
      <c r="B43" s="2"/>
      <c r="C43" s="2"/>
      <c r="D43" s="114"/>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241">
        <f t="shared" si="10"/>
        <v>14</v>
      </c>
      <c r="B44" s="2"/>
      <c r="C44" s="2"/>
      <c r="D44" s="114"/>
      <c r="E44" s="43"/>
      <c r="F44" s="11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241">
        <f t="shared" si="10"/>
        <v>15</v>
      </c>
      <c r="B45" s="2" t="s">
        <v>63</v>
      </c>
      <c r="C45" s="114"/>
      <c r="D45" s="114"/>
      <c r="E45" s="45">
        <f>+E42/$F$22</f>
        <v>0.11501200274320435</v>
      </c>
      <c r="F45" s="97">
        <f t="shared" ref="F45:AT45" si="12">+F42/$F$22</f>
        <v>0.11219783092009139</v>
      </c>
      <c r="G45" s="97">
        <f t="shared" si="12"/>
        <v>0.109106697801608</v>
      </c>
      <c r="H45" s="97">
        <f t="shared" si="12"/>
        <v>0.1061141617688014</v>
      </c>
      <c r="I45" s="97">
        <f t="shared" si="12"/>
        <v>0.10321284223368427</v>
      </c>
      <c r="J45" s="97">
        <f t="shared" si="12"/>
        <v>0.10039592634580682</v>
      </c>
      <c r="K45" s="97">
        <f t="shared" si="12"/>
        <v>9.7657074369333699E-2</v>
      </c>
      <c r="L45" s="97">
        <f t="shared" si="12"/>
        <v>9.4990419683044294E-2</v>
      </c>
      <c r="M45" s="97">
        <f t="shared" si="12"/>
        <v>9.2364074361916432E-2</v>
      </c>
      <c r="N45" s="97">
        <f t="shared" si="12"/>
        <v>8.9743501039086335E-2</v>
      </c>
      <c r="O45" s="97">
        <f t="shared" si="12"/>
        <v>8.7122927716256224E-2</v>
      </c>
      <c r="P45" s="97">
        <f t="shared" si="12"/>
        <v>8.4502354393426141E-2</v>
      </c>
      <c r="Q45" s="97">
        <f t="shared" si="12"/>
        <v>8.1881781070596044E-2</v>
      </c>
      <c r="R45" s="97">
        <f t="shared" si="12"/>
        <v>7.9261207747765947E-2</v>
      </c>
      <c r="S45" s="97">
        <f t="shared" si="12"/>
        <v>7.664063442493585E-2</v>
      </c>
      <c r="T45" s="97">
        <f t="shared" si="12"/>
        <v>7.4020061102105753E-2</v>
      </c>
      <c r="U45" s="97">
        <f t="shared" si="12"/>
        <v>7.1399487779275669E-2</v>
      </c>
      <c r="V45" s="97">
        <f t="shared" si="12"/>
        <v>6.8778914456445572E-2</v>
      </c>
      <c r="W45" s="97">
        <f t="shared" si="12"/>
        <v>6.6158341133615475E-2</v>
      </c>
      <c r="X45" s="97">
        <f t="shared" si="12"/>
        <v>6.3537767810785378E-2</v>
      </c>
      <c r="Y45" s="97">
        <f t="shared" si="12"/>
        <v>6.1128298228977314E-2</v>
      </c>
      <c r="Z45" s="97">
        <f t="shared" si="12"/>
        <v>5.914094150629038E-2</v>
      </c>
      <c r="AA45" s="97">
        <f t="shared" si="12"/>
        <v>5.7364688524625479E-2</v>
      </c>
      <c r="AB45" s="97">
        <f t="shared" si="12"/>
        <v>5.5588435542960578E-2</v>
      </c>
      <c r="AC45" s="97">
        <f t="shared" si="12"/>
        <v>5.3812182561295656E-2</v>
      </c>
      <c r="AD45" s="97">
        <f t="shared" si="12"/>
        <v>5.2035929579630755E-2</v>
      </c>
      <c r="AE45" s="97">
        <f t="shared" si="12"/>
        <v>5.0259676597965854E-2</v>
      </c>
      <c r="AF45" s="97">
        <f t="shared" si="12"/>
        <v>4.8483423616300945E-2</v>
      </c>
      <c r="AG45" s="97">
        <f t="shared" si="12"/>
        <v>4.6707170634636044E-2</v>
      </c>
      <c r="AH45" s="97">
        <f t="shared" si="12"/>
        <v>4.4930917652971122E-2</v>
      </c>
      <c r="AI45" s="97">
        <f t="shared" si="12"/>
        <v>4.3154664671306207E-2</v>
      </c>
      <c r="AJ45" s="97">
        <f t="shared" si="12"/>
        <v>4.1378411689641306E-2</v>
      </c>
      <c r="AK45" s="97">
        <f t="shared" si="12"/>
        <v>3.9602158707976384E-2</v>
      </c>
      <c r="AL45" s="97">
        <f t="shared" si="12"/>
        <v>3.7825905726311462E-2</v>
      </c>
      <c r="AM45" s="97">
        <f t="shared" si="12"/>
        <v>3.6049652744646554E-2</v>
      </c>
      <c r="AN45" s="97">
        <f t="shared" si="12"/>
        <v>3.4273399762981646E-2</v>
      </c>
      <c r="AO45" s="97">
        <f t="shared" si="12"/>
        <v>3.2497146781316731E-2</v>
      </c>
      <c r="AP45" s="97">
        <f t="shared" si="12"/>
        <v>3.072089379965182E-2</v>
      </c>
      <c r="AQ45" s="97">
        <f t="shared" si="12"/>
        <v>2.8944640817986905E-2</v>
      </c>
      <c r="AR45" s="97">
        <f t="shared" si="12"/>
        <v>2.5523935733021825E-2</v>
      </c>
      <c r="AS45" s="97">
        <f t="shared" si="12"/>
        <v>2.5804835099192696E-4</v>
      </c>
      <c r="AT45" s="97">
        <f t="shared" si="12"/>
        <v>2.5804835099192696E-4</v>
      </c>
    </row>
    <row r="46" spans="1:47" outlineLevel="1" x14ac:dyDescent="0.2">
      <c r="A46" s="241">
        <f t="shared" si="10"/>
        <v>16</v>
      </c>
      <c r="B46" s="2"/>
      <c r="C46" s="2"/>
      <c r="D46" s="114"/>
      <c r="E46" s="43"/>
      <c r="F46" s="11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241">
        <f t="shared" si="10"/>
        <v>17</v>
      </c>
      <c r="B47" s="2"/>
      <c r="C47" s="2"/>
      <c r="D47" s="114"/>
      <c r="E47" s="43">
        <f>+E27/2</f>
        <v>667077.03032488609</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241">
        <f t="shared" si="10"/>
        <v>18</v>
      </c>
      <c r="B48" s="2"/>
      <c r="C48" s="2"/>
      <c r="D48" s="114"/>
      <c r="E48" s="43">
        <f>+E60/2</f>
        <v>70464.131493024048</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241">
        <f t="shared" si="10"/>
        <v>19</v>
      </c>
      <c r="B49" s="46" t="s">
        <v>64</v>
      </c>
      <c r="C49" s="2"/>
      <c r="D49" s="114"/>
      <c r="E49" s="41">
        <f>F22-E27/2-E60/2</f>
        <v>52735552.898182124</v>
      </c>
      <c r="F49" s="113">
        <f>$F$22-(SUM($E$27:E27)+F27/2)-(SUM($E$60:E60)+F60/2)</f>
        <v>51065697.503087454</v>
      </c>
      <c r="G49" s="113">
        <f>$F$22-(SUM($E$27:F27)+G27/2)-(SUM($E$60:F60)+G60/2)</f>
        <v>49231500.574363485</v>
      </c>
      <c r="H49" s="113">
        <f>$F$22-(SUM($E$27:G27)+H27/2)-(SUM($E$60:G60)+H60/2)</f>
        <v>47455808.557850562</v>
      </c>
      <c r="I49" s="113">
        <f>$F$22-(SUM($E$27:H27)+I27/2)-(SUM($E$60:H60)+I60/2)</f>
        <v>45734242.007145174</v>
      </c>
      <c r="J49" s="113">
        <f>$F$22-(SUM($E$27:I27)+J27/2)-(SUM($E$60:I60)+J60/2)</f>
        <v>44062758.356336385</v>
      </c>
      <c r="K49" s="113">
        <f>$F$22-(SUM($E$27:J27)+K27/2)-(SUM($E$60:J60)+K60/2)</f>
        <v>42437595.773257062</v>
      </c>
      <c r="L49" s="113">
        <f>$F$22-(SUM($E$27:K27)+L27/2)-(SUM($E$60:K60)+L60/2)</f>
        <v>40855273.15948391</v>
      </c>
      <c r="M49" s="113">
        <f>$F$22-(SUM($E$27:L27)+M27/2)-(SUM($E$60:L60)+M60/2)</f>
        <v>39296869.060683802</v>
      </c>
      <c r="N49" s="113">
        <f>$F$22-(SUM($E$27:M27)+N27/2)-(SUM($E$60:M60)+N60/2)</f>
        <v>37741889.91355823</v>
      </c>
      <c r="O49" s="113">
        <f>$F$22-(SUM($E$27:N27)+O27/2)-(SUM($E$60:N60)+O60/2)</f>
        <v>36186910.766432665</v>
      </c>
      <c r="P49" s="113">
        <f>$F$22-(SUM($E$27:O27)+P27/2)-(SUM($E$60:O60)+P60/2)</f>
        <v>34631931.619307093</v>
      </c>
      <c r="Q49" s="113">
        <f>$F$22-(SUM($E$27:P27)+Q27/2)-(SUM($E$60:P60)+Q60/2)</f>
        <v>33076952.472181525</v>
      </c>
      <c r="R49" s="113">
        <f>$F$22-(SUM($E$27:Q27)+R27/2)-(SUM($E$60:Q60)+R60/2)</f>
        <v>31521973.325055953</v>
      </c>
      <c r="S49" s="113">
        <f>$F$22-(SUM($E$27:R27)+S27/2)-(SUM($E$60:R60)+S60/2)</f>
        <v>29966994.177930381</v>
      </c>
      <c r="T49" s="113">
        <f>$F$22-(SUM($E$27:S27)+T27/2)-(SUM($E$60:S60)+T60/2)</f>
        <v>28412015.030804817</v>
      </c>
      <c r="U49" s="113">
        <f>$F$22-(SUM($E$27:T27)+U27/2)-(SUM($E$60:T60)+U60/2)</f>
        <v>26857035.883679248</v>
      </c>
      <c r="V49" s="113">
        <f>$F$22-(SUM($E$27:U27)+V27/2)-(SUM($E$60:U60)+V60/2)</f>
        <v>25302056.73655368</v>
      </c>
      <c r="W49" s="113">
        <f>$F$22-(SUM($E$27:V27)+W27/2)-(SUM($E$60:V60)+W60/2)</f>
        <v>23747077.589428112</v>
      </c>
      <c r="X49" s="113">
        <f>$F$22-(SUM($E$27:W27)+X27/2)-(SUM($E$60:W60)+X60/2)</f>
        <v>22192098.442302544</v>
      </c>
      <c r="Y49" s="113">
        <f>$F$22-(SUM($E$27:X27)+Y27/2)-(SUM($E$60:X60)+Y60/2)</f>
        <v>20762382.691667229</v>
      </c>
      <c r="Z49" s="113">
        <f>$F$22-(SUM($E$27:Y27)+Z27/2)-(SUM($E$60:Y60)+Z60/2)</f>
        <v>19583137.587263655</v>
      </c>
      <c r="AA49" s="113">
        <f>$F$22-(SUM($E$27:Z27)+AA27/2)-(SUM($E$60:Z60)+AA60/2)</f>
        <v>18529155.879350334</v>
      </c>
      <c r="AB49" s="113">
        <f>$F$22-(SUM($E$27:AA27)+AB27/2)-(SUM($E$60:AA60)+AB60/2)</f>
        <v>17475174.171437018</v>
      </c>
      <c r="AC49" s="113">
        <f>$F$22-(SUM($E$27:AB27)+AC27/2)-(SUM($E$60:AB60)+AC60/2)</f>
        <v>16421192.463523697</v>
      </c>
      <c r="AD49" s="113">
        <f>$F$22-(SUM($E$27:AC27)+AD27/2)-(SUM($E$60:AC60)+AD60/2)</f>
        <v>15367210.75561038</v>
      </c>
      <c r="AE49" s="113">
        <f>$F$22-(SUM($E$27:AD27)+AE27/2)-(SUM($E$60:AD60)+AE60/2)</f>
        <v>14313229.047697064</v>
      </c>
      <c r="AF49" s="113">
        <f>$F$22-(SUM($E$27:AE27)+AF27/2)-(SUM($E$60:AE60)+AF60/2)</f>
        <v>13259247.339783741</v>
      </c>
      <c r="AG49" s="113">
        <f>$F$22-(SUM($E$27:AF27)+AG27/2)-(SUM($E$60:AF60)+AG60/2)</f>
        <v>12205265.631870419</v>
      </c>
      <c r="AH49" s="113">
        <f>$F$22-(SUM($E$27:AG27)+AH27/2)-(SUM($E$60:AG60)+AH60/2)</f>
        <v>11151283.923957095</v>
      </c>
      <c r="AI49" s="113">
        <f>$F$22-(SUM($E$27:AH27)+AI27/2)-(SUM($E$60:AH60)+AI60/2)</f>
        <v>10097302.216043772</v>
      </c>
      <c r="AJ49" s="113">
        <f>$F$22-(SUM($E$27:AI27)+AJ27/2)-(SUM($E$60:AI60)+AJ60/2)</f>
        <v>9043320.5081304498</v>
      </c>
      <c r="AK49" s="113">
        <f>$F$22-(SUM($E$27:AJ27)+AK27/2)-(SUM($E$60:AJ60)+AK60/2)</f>
        <v>7989338.8002171265</v>
      </c>
      <c r="AL49" s="113">
        <f>$F$22-(SUM($E$27:AK27)+AL27/2)-(SUM($E$60:AK60)+AL60/2)</f>
        <v>6935357.0923038041</v>
      </c>
      <c r="AM49" s="113">
        <f>$F$22-(SUM($E$27:AL27)+AM27/2)-(SUM($E$60:AL60)+AM60/2)</f>
        <v>5881375.3843904808</v>
      </c>
      <c r="AN49" s="113">
        <f>$F$22-(SUM($E$27:AM27)+AN27/2)-(SUM($E$60:AM60)+AN60/2)</f>
        <v>4827393.6764771584</v>
      </c>
      <c r="AO49" s="113">
        <f>$F$22-(SUM($E$27:AN27)+AO27/2)-(SUM($E$60:AN60)+AO60/2)</f>
        <v>3773411.9685638351</v>
      </c>
      <c r="AP49" s="113">
        <f>$F$22-(SUM($E$27:AO27)+AP27/2)-(SUM($E$60:AO60)+AP60/2)</f>
        <v>2719430.2606505128</v>
      </c>
      <c r="AQ49" s="113">
        <f>$F$22-(SUM($E$27:AP27)+AQ27/2)-(SUM($E$60:AP60)+AQ60/2)</f>
        <v>1665448.5527371897</v>
      </c>
      <c r="AR49" s="113">
        <f>$F$22-(SUM($E$27:AQ27)+AR27/2)-(SUM($E$60:AQ60)+AR60/2)</f>
        <v>645788.3948238669</v>
      </c>
      <c r="AS49" s="113">
        <f>$F$22-(SUM($E$27:AR27)+AS27/2)-(SUM($E$60:AR60)+AS60/2)</f>
        <v>153119.09086720171</v>
      </c>
      <c r="AT49" s="113">
        <f>$F$22-(SUM($E$27:AR27)+AT27/2)-(SUM($E$60:AR60)+AT60/2)</f>
        <v>153119.09086720171</v>
      </c>
      <c r="AU49" s="100"/>
    </row>
    <row r="50" spans="1:47" x14ac:dyDescent="0.2">
      <c r="A50" s="241">
        <f t="shared" si="10"/>
        <v>20</v>
      </c>
      <c r="B50" s="2"/>
      <c r="C50" s="2"/>
      <c r="D50" s="114"/>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ref="AU50:AU60" si="13">SUM(D50:AT50)</f>
        <v>0</v>
      </c>
    </row>
    <row r="51" spans="1:47" x14ac:dyDescent="0.2">
      <c r="A51" s="241">
        <f t="shared" si="10"/>
        <v>21</v>
      </c>
      <c r="B51" s="2"/>
      <c r="C51" s="2"/>
      <c r="D51" s="114"/>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13"/>
        <v>0</v>
      </c>
    </row>
    <row r="52" spans="1:47" x14ac:dyDescent="0.2">
      <c r="A52" s="241">
        <f t="shared" si="10"/>
        <v>22</v>
      </c>
      <c r="B52" s="2" t="s">
        <v>65</v>
      </c>
      <c r="C52" s="2"/>
      <c r="D52" s="114"/>
      <c r="E52" s="38">
        <f>(E34)/(1-$F$15)</f>
        <v>3043976.2179203862</v>
      </c>
      <c r="F52" s="98">
        <f t="shared" ref="F52:AT52" si="14">(F34)/(1-$F$15)</f>
        <v>2947589.6280263136</v>
      </c>
      <c r="G52" s="98">
        <f t="shared" si="14"/>
        <v>2841716.9951784494</v>
      </c>
      <c r="H52" s="98">
        <f t="shared" si="14"/>
        <v>2739221.3547316273</v>
      </c>
      <c r="I52" s="98">
        <f t="shared" si="14"/>
        <v>2639849.9183871136</v>
      </c>
      <c r="J52" s="98">
        <f t="shared" si="14"/>
        <v>2543369.3430999229</v>
      </c>
      <c r="K52" s="98">
        <f t="shared" si="14"/>
        <v>2449562.4902031925</v>
      </c>
      <c r="L52" s="98">
        <f t="shared" si="14"/>
        <v>2358228.4254081855</v>
      </c>
      <c r="M52" s="98">
        <f t="shared" si="14"/>
        <v>2268274.9736293438</v>
      </c>
      <c r="N52" s="98">
        <f t="shared" si="14"/>
        <v>2178519.2152636144</v>
      </c>
      <c r="O52" s="98">
        <f t="shared" si="14"/>
        <v>2088763.4568978855</v>
      </c>
      <c r="P52" s="98">
        <f t="shared" si="14"/>
        <v>1999007.6985321564</v>
      </c>
      <c r="Q52" s="98">
        <f t="shared" si="14"/>
        <v>1909251.9401664273</v>
      </c>
      <c r="R52" s="98">
        <f t="shared" si="14"/>
        <v>1819496.1818006979</v>
      </c>
      <c r="S52" s="98">
        <f t="shared" si="14"/>
        <v>1729740.4234349688</v>
      </c>
      <c r="T52" s="98">
        <f t="shared" si="14"/>
        <v>1639984.6650692401</v>
      </c>
      <c r="U52" s="98">
        <f t="shared" si="14"/>
        <v>1550228.906703511</v>
      </c>
      <c r="V52" s="98">
        <f t="shared" si="14"/>
        <v>1460473.1483377819</v>
      </c>
      <c r="W52" s="98">
        <f t="shared" si="14"/>
        <v>1370717.3899720532</v>
      </c>
      <c r="X52" s="98">
        <f t="shared" si="14"/>
        <v>1280961.6316063241</v>
      </c>
      <c r="Y52" s="98">
        <f t="shared" si="14"/>
        <v>1198436.2667595262</v>
      </c>
      <c r="Z52" s="98">
        <f t="shared" si="14"/>
        <v>1130368.4480749653</v>
      </c>
      <c r="AA52" s="98">
        <f t="shared" si="14"/>
        <v>1069531.0229093358</v>
      </c>
      <c r="AB52" s="98">
        <f t="shared" si="14"/>
        <v>1008693.5977437063</v>
      </c>
      <c r="AC52" s="98">
        <f t="shared" si="14"/>
        <v>947856.17257807672</v>
      </c>
      <c r="AD52" s="98">
        <f t="shared" si="14"/>
        <v>887018.74741244724</v>
      </c>
      <c r="AE52" s="98">
        <f t="shared" si="14"/>
        <v>826181.32224681787</v>
      </c>
      <c r="AF52" s="98">
        <f t="shared" si="14"/>
        <v>765343.89708118816</v>
      </c>
      <c r="AG52" s="98">
        <f t="shared" si="14"/>
        <v>704506.47191555833</v>
      </c>
      <c r="AH52" s="98">
        <f t="shared" si="14"/>
        <v>643669.0467499285</v>
      </c>
      <c r="AI52" s="98">
        <f t="shared" si="14"/>
        <v>582831.62158429879</v>
      </c>
      <c r="AJ52" s="98">
        <f t="shared" si="14"/>
        <v>521994.19641866902</v>
      </c>
      <c r="AK52" s="98">
        <f t="shared" si="14"/>
        <v>461156.77125303919</v>
      </c>
      <c r="AL52" s="98">
        <f t="shared" si="14"/>
        <v>400319.34608740942</v>
      </c>
      <c r="AM52" s="98">
        <f t="shared" si="14"/>
        <v>339481.92092177965</v>
      </c>
      <c r="AN52" s="98">
        <f t="shared" si="14"/>
        <v>278644.49575614993</v>
      </c>
      <c r="AO52" s="98">
        <f t="shared" si="14"/>
        <v>217807.0705905201</v>
      </c>
      <c r="AP52" s="98">
        <f t="shared" si="14"/>
        <v>156969.64542489036</v>
      </c>
      <c r="AQ52" s="98">
        <f t="shared" si="14"/>
        <v>96132.220259260575</v>
      </c>
      <c r="AR52" s="98">
        <f t="shared" si="14"/>
        <v>37275.887093630801</v>
      </c>
      <c r="AS52" s="98">
        <f t="shared" si="14"/>
        <v>8838.2665108156943</v>
      </c>
      <c r="AT52" s="98">
        <f t="shared" si="14"/>
        <v>8838.2665108156943</v>
      </c>
      <c r="AU52" s="100"/>
    </row>
    <row r="53" spans="1:47" x14ac:dyDescent="0.2">
      <c r="A53" s="241">
        <f t="shared" si="10"/>
        <v>23</v>
      </c>
      <c r="B53" s="2" t="s">
        <v>66</v>
      </c>
      <c r="C53" s="2"/>
      <c r="D53" s="114"/>
      <c r="E53" s="40">
        <f t="shared" ref="E53:AT53" si="15">E52*$F15</f>
        <v>639235.00576328114</v>
      </c>
      <c r="F53" s="96">
        <f t="shared" si="15"/>
        <v>618993.82188552583</v>
      </c>
      <c r="G53" s="96">
        <f t="shared" si="15"/>
        <v>596760.56898747431</v>
      </c>
      <c r="H53" s="96">
        <f t="shared" si="15"/>
        <v>575236.48449364165</v>
      </c>
      <c r="I53" s="96">
        <f t="shared" si="15"/>
        <v>554368.48286129383</v>
      </c>
      <c r="J53" s="96">
        <f t="shared" si="15"/>
        <v>534107.56205098378</v>
      </c>
      <c r="K53" s="96">
        <f t="shared" si="15"/>
        <v>514408.12294267042</v>
      </c>
      <c r="L53" s="96">
        <f t="shared" si="15"/>
        <v>495227.96933571895</v>
      </c>
      <c r="M53" s="96">
        <f t="shared" si="15"/>
        <v>476337.7444621622</v>
      </c>
      <c r="N53" s="96">
        <f t="shared" si="15"/>
        <v>457489.03520535899</v>
      </c>
      <c r="O53" s="96">
        <f t="shared" si="15"/>
        <v>438640.32594855595</v>
      </c>
      <c r="P53" s="96">
        <f t="shared" si="15"/>
        <v>419791.6166917528</v>
      </c>
      <c r="Q53" s="96">
        <f t="shared" si="15"/>
        <v>400942.90743494971</v>
      </c>
      <c r="R53" s="96">
        <f t="shared" si="15"/>
        <v>382094.19817814656</v>
      </c>
      <c r="S53" s="96">
        <f t="shared" si="15"/>
        <v>363245.48892134341</v>
      </c>
      <c r="T53" s="96">
        <f t="shared" si="15"/>
        <v>344396.77966454043</v>
      </c>
      <c r="U53" s="96">
        <f t="shared" si="15"/>
        <v>325548.07040773728</v>
      </c>
      <c r="V53" s="96">
        <f t="shared" si="15"/>
        <v>306699.36115093419</v>
      </c>
      <c r="W53" s="96">
        <f t="shared" si="15"/>
        <v>287850.65189413115</v>
      </c>
      <c r="X53" s="96">
        <f t="shared" si="15"/>
        <v>269001.94263732806</v>
      </c>
      <c r="Y53" s="96">
        <f t="shared" si="15"/>
        <v>251671.61601950051</v>
      </c>
      <c r="Z53" s="96">
        <f t="shared" si="15"/>
        <v>237377.37409574271</v>
      </c>
      <c r="AA53" s="96">
        <f t="shared" si="15"/>
        <v>224601.51481096051</v>
      </c>
      <c r="AB53" s="96">
        <f t="shared" si="15"/>
        <v>211825.65552617831</v>
      </c>
      <c r="AC53" s="96">
        <f t="shared" si="15"/>
        <v>199049.79624139611</v>
      </c>
      <c r="AD53" s="96">
        <f t="shared" si="15"/>
        <v>186273.93695661391</v>
      </c>
      <c r="AE53" s="96">
        <f t="shared" si="15"/>
        <v>173498.07767183174</v>
      </c>
      <c r="AF53" s="96">
        <f t="shared" si="15"/>
        <v>160722.21838704951</v>
      </c>
      <c r="AG53" s="96">
        <f t="shared" si="15"/>
        <v>147946.35910226725</v>
      </c>
      <c r="AH53" s="96">
        <f t="shared" si="15"/>
        <v>135170.49981748499</v>
      </c>
      <c r="AI53" s="96">
        <f t="shared" si="15"/>
        <v>122394.64053270275</v>
      </c>
      <c r="AJ53" s="96">
        <f t="shared" si="15"/>
        <v>109618.78124792049</v>
      </c>
      <c r="AK53" s="96">
        <f t="shared" si="15"/>
        <v>96842.921963138229</v>
      </c>
      <c r="AL53" s="96">
        <f t="shared" si="15"/>
        <v>84067.062678355971</v>
      </c>
      <c r="AM53" s="96">
        <f t="shared" si="15"/>
        <v>71291.203393573727</v>
      </c>
      <c r="AN53" s="96">
        <f t="shared" si="15"/>
        <v>58515.344108791483</v>
      </c>
      <c r="AO53" s="96">
        <f t="shared" si="15"/>
        <v>45739.484824009218</v>
      </c>
      <c r="AP53" s="96">
        <f t="shared" si="15"/>
        <v>32963.625539226974</v>
      </c>
      <c r="AQ53" s="96">
        <f t="shared" si="15"/>
        <v>20187.766254444719</v>
      </c>
      <c r="AR53" s="96">
        <f t="shared" si="15"/>
        <v>7827.936289662468</v>
      </c>
      <c r="AS53" s="96">
        <f t="shared" si="15"/>
        <v>1856.0359672712957</v>
      </c>
      <c r="AT53" s="96">
        <f t="shared" si="15"/>
        <v>1856.0359672712957</v>
      </c>
      <c r="AU53" s="100"/>
    </row>
    <row r="54" spans="1:47" x14ac:dyDescent="0.2">
      <c r="A54" s="241">
        <f t="shared" si="10"/>
        <v>24</v>
      </c>
      <c r="B54" s="2" t="s">
        <v>67</v>
      </c>
      <c r="C54" s="2"/>
      <c r="D54" s="114"/>
      <c r="E54" s="38">
        <f>E52-E53</f>
        <v>2404741.2121571051</v>
      </c>
      <c r="F54" s="98">
        <f t="shared" ref="F54:AT54" si="16">F52-F53</f>
        <v>2328595.8061407879</v>
      </c>
      <c r="G54" s="98">
        <f t="shared" si="16"/>
        <v>2244956.4261909751</v>
      </c>
      <c r="H54" s="98">
        <f t="shared" si="16"/>
        <v>2163984.8702379856</v>
      </c>
      <c r="I54" s="98">
        <f t="shared" si="16"/>
        <v>2085481.4355258197</v>
      </c>
      <c r="J54" s="98">
        <f t="shared" si="16"/>
        <v>2009261.7810489391</v>
      </c>
      <c r="K54" s="98">
        <f t="shared" si="16"/>
        <v>1935154.367260522</v>
      </c>
      <c r="L54" s="98">
        <f t="shared" si="16"/>
        <v>1863000.4560724664</v>
      </c>
      <c r="M54" s="98">
        <f t="shared" si="16"/>
        <v>1791937.2291671815</v>
      </c>
      <c r="N54" s="98">
        <f t="shared" si="16"/>
        <v>1721030.1800582553</v>
      </c>
      <c r="O54" s="98">
        <f t="shared" si="16"/>
        <v>1650123.1309493296</v>
      </c>
      <c r="P54" s="98">
        <f t="shared" si="16"/>
        <v>1579216.0818404036</v>
      </c>
      <c r="Q54" s="98">
        <f t="shared" si="16"/>
        <v>1508309.0327314776</v>
      </c>
      <c r="R54" s="98">
        <f t="shared" si="16"/>
        <v>1437401.9836225514</v>
      </c>
      <c r="S54" s="98">
        <f t="shared" si="16"/>
        <v>1366494.9345136255</v>
      </c>
      <c r="T54" s="98">
        <f t="shared" si="16"/>
        <v>1295587.8854046997</v>
      </c>
      <c r="U54" s="98">
        <f t="shared" si="16"/>
        <v>1224680.8362957737</v>
      </c>
      <c r="V54" s="98">
        <f t="shared" si="16"/>
        <v>1153773.7871868478</v>
      </c>
      <c r="W54" s="98">
        <f t="shared" si="16"/>
        <v>1082866.738077922</v>
      </c>
      <c r="X54" s="98">
        <f t="shared" si="16"/>
        <v>1011959.6889689961</v>
      </c>
      <c r="Y54" s="98">
        <f t="shared" si="16"/>
        <v>946764.65074002568</v>
      </c>
      <c r="Z54" s="98">
        <f t="shared" si="16"/>
        <v>892991.07397922256</v>
      </c>
      <c r="AA54" s="98">
        <f t="shared" si="16"/>
        <v>844929.50809837529</v>
      </c>
      <c r="AB54" s="98">
        <f t="shared" si="16"/>
        <v>796867.94221752801</v>
      </c>
      <c r="AC54" s="98">
        <f t="shared" si="16"/>
        <v>748806.37633668061</v>
      </c>
      <c r="AD54" s="98">
        <f t="shared" si="16"/>
        <v>700744.81045583333</v>
      </c>
      <c r="AE54" s="98">
        <f t="shared" si="16"/>
        <v>652683.24457498617</v>
      </c>
      <c r="AF54" s="98">
        <f t="shared" si="16"/>
        <v>604621.67869413865</v>
      </c>
      <c r="AG54" s="98">
        <f t="shared" si="16"/>
        <v>556560.11281329114</v>
      </c>
      <c r="AH54" s="98">
        <f t="shared" si="16"/>
        <v>508498.54693244351</v>
      </c>
      <c r="AI54" s="98">
        <f t="shared" si="16"/>
        <v>460436.98105159606</v>
      </c>
      <c r="AJ54" s="98">
        <f t="shared" si="16"/>
        <v>412375.41517074854</v>
      </c>
      <c r="AK54" s="98">
        <f t="shared" si="16"/>
        <v>364313.84928990097</v>
      </c>
      <c r="AL54" s="98">
        <f t="shared" si="16"/>
        <v>316252.28340905346</v>
      </c>
      <c r="AM54" s="98">
        <f t="shared" si="16"/>
        <v>268190.71752820595</v>
      </c>
      <c r="AN54" s="98">
        <f t="shared" si="16"/>
        <v>220129.15164735843</v>
      </c>
      <c r="AO54" s="98">
        <f t="shared" si="16"/>
        <v>172067.58576651089</v>
      </c>
      <c r="AP54" s="98">
        <f t="shared" si="16"/>
        <v>124006.01988566338</v>
      </c>
      <c r="AQ54" s="98">
        <f t="shared" si="16"/>
        <v>75944.454004815852</v>
      </c>
      <c r="AR54" s="98">
        <f t="shared" si="16"/>
        <v>29447.950803968335</v>
      </c>
      <c r="AS54" s="98">
        <f t="shared" si="16"/>
        <v>6982.2305435443986</v>
      </c>
      <c r="AT54" s="98">
        <f t="shared" si="16"/>
        <v>6982.2305435443986</v>
      </c>
      <c r="AU54" s="100"/>
    </row>
    <row r="55" spans="1:47" x14ac:dyDescent="0.2">
      <c r="A55" s="241">
        <f t="shared" si="10"/>
        <v>25</v>
      </c>
      <c r="B55" s="2"/>
      <c r="C55" s="2"/>
      <c r="D55" s="114"/>
      <c r="E55" s="116"/>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00">
        <f t="shared" si="13"/>
        <v>0</v>
      </c>
    </row>
    <row r="56" spans="1:47" x14ac:dyDescent="0.2">
      <c r="A56" s="241">
        <f t="shared" si="10"/>
        <v>26</v>
      </c>
      <c r="B56" s="2"/>
      <c r="C56" s="2"/>
      <c r="D56" s="114"/>
      <c r="E56" s="8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00">
        <f t="shared" si="13"/>
        <v>0</v>
      </c>
    </row>
    <row r="57" spans="1:47" x14ac:dyDescent="0.2">
      <c r="A57" s="241">
        <f t="shared" si="10"/>
        <v>27</v>
      </c>
      <c r="B57" s="2" t="s">
        <v>68</v>
      </c>
      <c r="C57" s="2"/>
      <c r="D57" s="114"/>
      <c r="E57" s="38">
        <f>E27+E28</f>
        <v>1334154.0606497722</v>
      </c>
      <c r="F57" s="98">
        <f>F27</f>
        <v>1334154.0606497722</v>
      </c>
      <c r="G57" s="98">
        <f>G27</f>
        <v>1334154.0606497722</v>
      </c>
      <c r="H57" s="98">
        <f t="shared" ref="H57:AT57" si="17">H27</f>
        <v>1334154.0606497722</v>
      </c>
      <c r="I57" s="98">
        <f t="shared" si="17"/>
        <v>1334154.0606497722</v>
      </c>
      <c r="J57" s="98">
        <f t="shared" si="17"/>
        <v>1334154.0606497722</v>
      </c>
      <c r="K57" s="98">
        <f t="shared" si="17"/>
        <v>1334154.0606497722</v>
      </c>
      <c r="L57" s="98">
        <f t="shared" si="17"/>
        <v>1334154.0606497722</v>
      </c>
      <c r="M57" s="98">
        <f t="shared" si="17"/>
        <v>1334154.0606497722</v>
      </c>
      <c r="N57" s="98">
        <f t="shared" si="17"/>
        <v>1334154.0606497722</v>
      </c>
      <c r="O57" s="98">
        <f t="shared" si="17"/>
        <v>1334154.0606497722</v>
      </c>
      <c r="P57" s="98">
        <f t="shared" si="17"/>
        <v>1334154.0606497722</v>
      </c>
      <c r="Q57" s="98">
        <f t="shared" si="17"/>
        <v>1334154.0606497722</v>
      </c>
      <c r="R57" s="98">
        <f t="shared" si="17"/>
        <v>1334154.0606497722</v>
      </c>
      <c r="S57" s="98">
        <f t="shared" si="17"/>
        <v>1334154.0606497722</v>
      </c>
      <c r="T57" s="98">
        <f t="shared" si="17"/>
        <v>1334154.0606497722</v>
      </c>
      <c r="U57" s="98">
        <f t="shared" si="17"/>
        <v>1334154.0606497722</v>
      </c>
      <c r="V57" s="98">
        <f t="shared" si="17"/>
        <v>1334154.0606497722</v>
      </c>
      <c r="W57" s="98">
        <f t="shared" si="17"/>
        <v>1334154.0606497722</v>
      </c>
      <c r="X57" s="98">
        <f t="shared" si="17"/>
        <v>1334154.0606497722</v>
      </c>
      <c r="Y57" s="98">
        <f t="shared" si="17"/>
        <v>1334154.0606497722</v>
      </c>
      <c r="Z57" s="98">
        <f t="shared" si="17"/>
        <v>1334154.0606497722</v>
      </c>
      <c r="AA57" s="98">
        <f t="shared" si="17"/>
        <v>1334154.0606497722</v>
      </c>
      <c r="AB57" s="98">
        <f t="shared" si="17"/>
        <v>1334154.0606497722</v>
      </c>
      <c r="AC57" s="98">
        <f t="shared" si="17"/>
        <v>1334154.0606497722</v>
      </c>
      <c r="AD57" s="98">
        <f t="shared" si="17"/>
        <v>1334154.0606497722</v>
      </c>
      <c r="AE57" s="98">
        <f t="shared" si="17"/>
        <v>1334154.0606497722</v>
      </c>
      <c r="AF57" s="98">
        <f t="shared" si="17"/>
        <v>1334154.0606497722</v>
      </c>
      <c r="AG57" s="98">
        <f t="shared" si="17"/>
        <v>1334154.0606497722</v>
      </c>
      <c r="AH57" s="98">
        <f t="shared" si="17"/>
        <v>1334154.0606497722</v>
      </c>
      <c r="AI57" s="98">
        <f t="shared" si="17"/>
        <v>1334154.0606497722</v>
      </c>
      <c r="AJ57" s="98">
        <f t="shared" si="17"/>
        <v>1334154.0606497722</v>
      </c>
      <c r="AK57" s="98">
        <f t="shared" si="17"/>
        <v>1334154.0606497722</v>
      </c>
      <c r="AL57" s="98">
        <f t="shared" si="17"/>
        <v>1334154.0606497722</v>
      </c>
      <c r="AM57" s="98">
        <f t="shared" si="17"/>
        <v>1334154.0606497722</v>
      </c>
      <c r="AN57" s="98">
        <f t="shared" si="17"/>
        <v>1334154.0606497722</v>
      </c>
      <c r="AO57" s="98">
        <f t="shared" si="17"/>
        <v>1334154.0606497722</v>
      </c>
      <c r="AP57" s="98">
        <f t="shared" si="17"/>
        <v>1334154.0606497722</v>
      </c>
      <c r="AQ57" s="98">
        <f t="shared" si="17"/>
        <v>1334154.0606497722</v>
      </c>
      <c r="AR57" s="98">
        <f t="shared" si="17"/>
        <v>1247264.0606497722</v>
      </c>
      <c r="AS57" s="98">
        <f t="shared" si="17"/>
        <v>0</v>
      </c>
      <c r="AT57" s="98">
        <f t="shared" si="17"/>
        <v>0</v>
      </c>
      <c r="AU57" s="100">
        <f t="shared" si="13"/>
        <v>53279272.425990909</v>
      </c>
    </row>
    <row r="58" spans="1:47" x14ac:dyDescent="0.2">
      <c r="A58" s="241">
        <f t="shared" si="10"/>
        <v>28</v>
      </c>
      <c r="B58" s="2" t="s">
        <v>69</v>
      </c>
      <c r="C58" s="2"/>
      <c r="D58" s="114"/>
      <c r="E58" s="38">
        <f>$F22*E62</f>
        <v>2005241.0272500012</v>
      </c>
      <c r="F58" s="98">
        <f t="shared" ref="F58:AT58" si="18">$F22*F62</f>
        <v>3860222.6601914028</v>
      </c>
      <c r="G58" s="98">
        <f t="shared" si="18"/>
        <v>3570398.490386202</v>
      </c>
      <c r="H58" s="98">
        <f t="shared" si="18"/>
        <v>3303033.0200862018</v>
      </c>
      <c r="I58" s="98">
        <f t="shared" si="18"/>
        <v>3054917.8636478018</v>
      </c>
      <c r="J58" s="98">
        <f t="shared" si="18"/>
        <v>2826053.0210710019</v>
      </c>
      <c r="K58" s="98">
        <f t="shared" si="18"/>
        <v>2613764.8376528015</v>
      </c>
      <c r="L58" s="98">
        <f t="shared" si="18"/>
        <v>2418053.3133932017</v>
      </c>
      <c r="M58" s="98">
        <f t="shared" si="18"/>
        <v>2385969.4569572015</v>
      </c>
      <c r="N58" s="98">
        <f t="shared" si="18"/>
        <v>2385434.7260166015</v>
      </c>
      <c r="O58" s="98">
        <f t="shared" si="18"/>
        <v>2385969.4569572015</v>
      </c>
      <c r="P58" s="98">
        <f t="shared" si="18"/>
        <v>2385434.7260166015</v>
      </c>
      <c r="Q58" s="98">
        <f t="shared" si="18"/>
        <v>2385969.4569572015</v>
      </c>
      <c r="R58" s="98">
        <f t="shared" si="18"/>
        <v>2385434.7260166015</v>
      </c>
      <c r="S58" s="98">
        <f t="shared" si="18"/>
        <v>2385969.4569572015</v>
      </c>
      <c r="T58" s="98">
        <f t="shared" si="18"/>
        <v>2385434.7260166015</v>
      </c>
      <c r="U58" s="98">
        <f t="shared" si="18"/>
        <v>2385969.4569572015</v>
      </c>
      <c r="V58" s="98">
        <f t="shared" si="18"/>
        <v>2385434.7260166015</v>
      </c>
      <c r="W58" s="98">
        <f t="shared" si="18"/>
        <v>2385969.4569572015</v>
      </c>
      <c r="X58" s="98">
        <f t="shared" si="18"/>
        <v>2385434.7260166015</v>
      </c>
      <c r="Y58" s="98">
        <f t="shared" si="18"/>
        <v>1192984.7284786007</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98">
        <f t="shared" si="18"/>
        <v>0</v>
      </c>
      <c r="AU58" s="100">
        <f t="shared" si="13"/>
        <v>53473094.060000032</v>
      </c>
    </row>
    <row r="59" spans="1:47" x14ac:dyDescent="0.2">
      <c r="A59" s="241">
        <f t="shared" si="10"/>
        <v>29</v>
      </c>
      <c r="B59" s="2" t="s">
        <v>70</v>
      </c>
      <c r="C59" s="2"/>
      <c r="D59" s="114"/>
      <c r="E59" s="38">
        <f>E58-E57</f>
        <v>671086.96660022903</v>
      </c>
      <c r="F59" s="98">
        <f>F58-F57</f>
        <v>2526068.5995416306</v>
      </c>
      <c r="G59" s="98">
        <f>G58-G57</f>
        <v>2236244.4297364298</v>
      </c>
      <c r="H59" s="98">
        <f t="shared" ref="H59:AT59" si="19">H58-H57</f>
        <v>1968878.9594364297</v>
      </c>
      <c r="I59" s="98">
        <f t="shared" si="19"/>
        <v>1720763.8029980296</v>
      </c>
      <c r="J59" s="98">
        <f t="shared" si="19"/>
        <v>1491898.9604212297</v>
      </c>
      <c r="K59" s="98">
        <f t="shared" si="19"/>
        <v>1279610.7770030294</v>
      </c>
      <c r="L59" s="98">
        <f t="shared" si="19"/>
        <v>1083899.2527434295</v>
      </c>
      <c r="M59" s="98">
        <f t="shared" si="19"/>
        <v>1051815.3963074293</v>
      </c>
      <c r="N59" s="98">
        <f t="shared" si="19"/>
        <v>1051280.6653668294</v>
      </c>
      <c r="O59" s="98">
        <f t="shared" si="19"/>
        <v>1051815.3963074293</v>
      </c>
      <c r="P59" s="98">
        <f t="shared" si="19"/>
        <v>1051280.6653668294</v>
      </c>
      <c r="Q59" s="98">
        <f t="shared" si="19"/>
        <v>1051815.3963074293</v>
      </c>
      <c r="R59" s="98">
        <f t="shared" si="19"/>
        <v>1051280.6653668294</v>
      </c>
      <c r="S59" s="98">
        <f t="shared" si="19"/>
        <v>1051815.3963074293</v>
      </c>
      <c r="T59" s="98">
        <f t="shared" si="19"/>
        <v>1051280.6653668294</v>
      </c>
      <c r="U59" s="98">
        <f t="shared" si="19"/>
        <v>1051815.3963074293</v>
      </c>
      <c r="V59" s="98">
        <f t="shared" si="19"/>
        <v>1051280.6653668294</v>
      </c>
      <c r="W59" s="98">
        <f t="shared" si="19"/>
        <v>1051815.3963074293</v>
      </c>
      <c r="X59" s="98">
        <f t="shared" si="19"/>
        <v>1051280.6653668294</v>
      </c>
      <c r="Y59" s="98">
        <f t="shared" si="19"/>
        <v>-141169.33217117144</v>
      </c>
      <c r="Z59" s="98">
        <f t="shared" si="19"/>
        <v>-1334154.0606497722</v>
      </c>
      <c r="AA59" s="98">
        <f t="shared" si="19"/>
        <v>-1334154.0606497722</v>
      </c>
      <c r="AB59" s="98">
        <f t="shared" si="19"/>
        <v>-1334154.0606497722</v>
      </c>
      <c r="AC59" s="98">
        <f t="shared" si="19"/>
        <v>-1334154.0606497722</v>
      </c>
      <c r="AD59" s="98">
        <f t="shared" si="19"/>
        <v>-1334154.0606497722</v>
      </c>
      <c r="AE59" s="98">
        <f t="shared" si="19"/>
        <v>-1334154.0606497722</v>
      </c>
      <c r="AF59" s="98">
        <f t="shared" si="19"/>
        <v>-1334154.0606497722</v>
      </c>
      <c r="AG59" s="98">
        <f t="shared" si="19"/>
        <v>-1334154.0606497722</v>
      </c>
      <c r="AH59" s="98">
        <f t="shared" si="19"/>
        <v>-1334154.0606497722</v>
      </c>
      <c r="AI59" s="98">
        <f t="shared" si="19"/>
        <v>-1334154.0606497722</v>
      </c>
      <c r="AJ59" s="98">
        <f t="shared" si="19"/>
        <v>-1334154.0606497722</v>
      </c>
      <c r="AK59" s="98">
        <f t="shared" si="19"/>
        <v>-1334154.0606497722</v>
      </c>
      <c r="AL59" s="98">
        <f t="shared" si="19"/>
        <v>-1334154.0606497722</v>
      </c>
      <c r="AM59" s="98">
        <f t="shared" si="19"/>
        <v>-1334154.0606497722</v>
      </c>
      <c r="AN59" s="98">
        <f t="shared" si="19"/>
        <v>-1334154.0606497722</v>
      </c>
      <c r="AO59" s="98">
        <f t="shared" si="19"/>
        <v>-1334154.0606497722</v>
      </c>
      <c r="AP59" s="98">
        <f t="shared" si="19"/>
        <v>-1334154.0606497722</v>
      </c>
      <c r="AQ59" s="98">
        <f t="shared" si="19"/>
        <v>-1334154.0606497722</v>
      </c>
      <c r="AR59" s="98">
        <f t="shared" si="19"/>
        <v>-1247264.0606497722</v>
      </c>
      <c r="AS59" s="98">
        <f t="shared" si="19"/>
        <v>0</v>
      </c>
      <c r="AT59" s="98">
        <f t="shared" si="19"/>
        <v>0</v>
      </c>
      <c r="AU59" s="100">
        <f t="shared" si="13"/>
        <v>193821.63400915731</v>
      </c>
    </row>
    <row r="60" spans="1:47" x14ac:dyDescent="0.2">
      <c r="A60" s="241">
        <f t="shared" si="10"/>
        <v>30</v>
      </c>
      <c r="B60" s="2" t="s">
        <v>71</v>
      </c>
      <c r="C60" s="2"/>
      <c r="D60" s="114"/>
      <c r="E60" s="38">
        <f>E59*F15</f>
        <v>140928.2629860481</v>
      </c>
      <c r="F60" s="98">
        <f t="shared" ref="F60:AT60" si="20">F59*$F$15</f>
        <v>530474.40590374242</v>
      </c>
      <c r="G60" s="98">
        <f t="shared" si="20"/>
        <v>469611.33024465025</v>
      </c>
      <c r="H60" s="98">
        <f t="shared" si="20"/>
        <v>413464.58148165024</v>
      </c>
      <c r="I60" s="98">
        <f t="shared" si="20"/>
        <v>361360.39862958621</v>
      </c>
      <c r="J60" s="98">
        <f t="shared" si="20"/>
        <v>313298.78168845823</v>
      </c>
      <c r="K60" s="98">
        <f t="shared" si="20"/>
        <v>268718.26317063614</v>
      </c>
      <c r="L60" s="98">
        <f t="shared" si="20"/>
        <v>227618.84307612019</v>
      </c>
      <c r="M60" s="98">
        <f t="shared" si="20"/>
        <v>220881.23322456016</v>
      </c>
      <c r="N60" s="98">
        <f t="shared" si="20"/>
        <v>220768.93972703416</v>
      </c>
      <c r="O60" s="98">
        <f t="shared" si="20"/>
        <v>220881.23322456016</v>
      </c>
      <c r="P60" s="98">
        <f t="shared" si="20"/>
        <v>220768.93972703416</v>
      </c>
      <c r="Q60" s="98">
        <f t="shared" si="20"/>
        <v>220881.23322456016</v>
      </c>
      <c r="R60" s="98">
        <f t="shared" si="20"/>
        <v>220768.93972703416</v>
      </c>
      <c r="S60" s="98">
        <f t="shared" si="20"/>
        <v>220881.23322456016</v>
      </c>
      <c r="T60" s="98">
        <f t="shared" si="20"/>
        <v>220768.93972703416</v>
      </c>
      <c r="U60" s="98">
        <f t="shared" si="20"/>
        <v>220881.23322456016</v>
      </c>
      <c r="V60" s="98">
        <f t="shared" si="20"/>
        <v>220768.93972703416</v>
      </c>
      <c r="W60" s="98">
        <f t="shared" si="20"/>
        <v>220881.23322456016</v>
      </c>
      <c r="X60" s="98">
        <f t="shared" si="20"/>
        <v>220768.93972703416</v>
      </c>
      <c r="Y60" s="98">
        <f t="shared" si="20"/>
        <v>-29645.559755946</v>
      </c>
      <c r="Z60" s="98">
        <f t="shared" si="20"/>
        <v>-280172.35273645213</v>
      </c>
      <c r="AA60" s="98">
        <f t="shared" si="20"/>
        <v>-280172.35273645213</v>
      </c>
      <c r="AB60" s="98">
        <f t="shared" si="20"/>
        <v>-280172.35273645213</v>
      </c>
      <c r="AC60" s="98">
        <f t="shared" si="20"/>
        <v>-280172.35273645213</v>
      </c>
      <c r="AD60" s="98">
        <f t="shared" si="20"/>
        <v>-280172.35273645213</v>
      </c>
      <c r="AE60" s="98">
        <f t="shared" si="20"/>
        <v>-280172.35273645213</v>
      </c>
      <c r="AF60" s="98">
        <f t="shared" si="20"/>
        <v>-280172.35273645213</v>
      </c>
      <c r="AG60" s="98">
        <f t="shared" si="20"/>
        <v>-280172.35273645213</v>
      </c>
      <c r="AH60" s="98">
        <f t="shared" si="20"/>
        <v>-280172.35273645213</v>
      </c>
      <c r="AI60" s="98">
        <f t="shared" si="20"/>
        <v>-280172.35273645213</v>
      </c>
      <c r="AJ60" s="98">
        <f t="shared" si="20"/>
        <v>-280172.35273645213</v>
      </c>
      <c r="AK60" s="98">
        <f t="shared" si="20"/>
        <v>-280172.35273645213</v>
      </c>
      <c r="AL60" s="98">
        <f t="shared" si="20"/>
        <v>-280172.35273645213</v>
      </c>
      <c r="AM60" s="98">
        <f t="shared" si="20"/>
        <v>-280172.35273645213</v>
      </c>
      <c r="AN60" s="98">
        <f t="shared" si="20"/>
        <v>-280172.35273645213</v>
      </c>
      <c r="AO60" s="98">
        <f t="shared" si="20"/>
        <v>-280172.35273645213</v>
      </c>
      <c r="AP60" s="98">
        <f t="shared" si="20"/>
        <v>-280172.35273645213</v>
      </c>
      <c r="AQ60" s="98">
        <f t="shared" si="20"/>
        <v>-280172.35273645213</v>
      </c>
      <c r="AR60" s="98">
        <f t="shared" si="20"/>
        <v>-261925.45273645213</v>
      </c>
      <c r="AS60" s="98">
        <f t="shared" si="20"/>
        <v>0</v>
      </c>
      <c r="AT60" s="98">
        <f t="shared" si="20"/>
        <v>0</v>
      </c>
      <c r="AU60" s="100">
        <f t="shared" si="13"/>
        <v>40702.543141921138</v>
      </c>
    </row>
    <row r="61" spans="1:47" x14ac:dyDescent="0.2">
      <c r="A61" s="241">
        <f t="shared" si="10"/>
        <v>31</v>
      </c>
      <c r="B61" s="2"/>
      <c r="C61" s="2"/>
      <c r="D61" s="114"/>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4"/>
    </row>
    <row r="62" spans="1:47" s="50" customFormat="1" x14ac:dyDescent="0.2">
      <c r="A62" s="241">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241">
        <f t="shared" si="10"/>
        <v>33</v>
      </c>
      <c r="B63" s="2"/>
      <c r="C63" s="117"/>
      <c r="E63" s="118"/>
      <c r="F63" s="119"/>
      <c r="G63" s="119"/>
      <c r="H63" s="119"/>
      <c r="I63" s="119"/>
      <c r="J63" s="119"/>
      <c r="K63" s="119"/>
      <c r="L63" s="119"/>
      <c r="M63" s="120"/>
      <c r="N63" s="120"/>
      <c r="O63" s="120"/>
      <c r="P63" s="120"/>
      <c r="Q63" s="120"/>
      <c r="R63" s="120"/>
      <c r="S63" s="120"/>
      <c r="T63" s="120"/>
      <c r="U63" s="120"/>
      <c r="V63" s="120"/>
      <c r="W63" s="120"/>
      <c r="X63" s="120"/>
      <c r="Y63" s="120"/>
      <c r="Z63" s="114"/>
      <c r="AA63" s="114"/>
      <c r="AB63" s="114"/>
      <c r="AC63" s="114"/>
      <c r="AD63" s="114"/>
      <c r="AE63" s="114"/>
      <c r="AF63" s="114"/>
      <c r="AG63" s="114"/>
      <c r="AH63" s="114"/>
      <c r="AI63" s="114"/>
      <c r="AJ63" s="114"/>
      <c r="AK63" s="114"/>
      <c r="AL63" s="114"/>
      <c r="AM63" s="114"/>
      <c r="AN63" s="114"/>
      <c r="AO63" s="3"/>
    </row>
    <row r="64" spans="1:47" outlineLevel="1" x14ac:dyDescent="0.25">
      <c r="A64" s="241">
        <f t="shared" si="10"/>
        <v>34</v>
      </c>
      <c r="B64" s="2"/>
      <c r="C64" s="117"/>
      <c r="E64" s="118"/>
      <c r="F64" s="119"/>
      <c r="G64" s="119"/>
      <c r="H64" s="119"/>
      <c r="I64" s="119"/>
      <c r="J64" s="119"/>
      <c r="K64" s="119"/>
      <c r="L64" s="119"/>
      <c r="M64" s="120"/>
      <c r="N64" s="120"/>
      <c r="O64" s="120"/>
      <c r="P64" s="120"/>
      <c r="Q64" s="120"/>
      <c r="R64" s="120"/>
      <c r="S64" s="120"/>
      <c r="T64" s="120"/>
      <c r="U64" s="120"/>
      <c r="V64" s="120"/>
      <c r="W64" s="120"/>
      <c r="X64" s="120"/>
      <c r="Y64" s="120"/>
      <c r="Z64" s="114"/>
      <c r="AA64" s="114"/>
      <c r="AB64" s="114"/>
      <c r="AC64" s="114"/>
      <c r="AD64" s="114"/>
      <c r="AE64" s="114"/>
      <c r="AF64" s="114"/>
      <c r="AG64" s="114"/>
      <c r="AH64" s="114"/>
      <c r="AI64" s="114"/>
      <c r="AJ64" s="114"/>
      <c r="AK64" s="114"/>
      <c r="AL64" s="114"/>
      <c r="AM64" s="114"/>
      <c r="AN64" s="114"/>
      <c r="AO64" s="3"/>
    </row>
    <row r="65" spans="1:42" s="50" customFormat="1" x14ac:dyDescent="0.25">
      <c r="A65" s="241">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41">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4"/>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85" zoomScaleNormal="85" workbookViewId="0">
      <selection activeCell="H13" sqref="H13"/>
    </sheetView>
  </sheetViews>
  <sheetFormatPr defaultColWidth="9.28515625" defaultRowHeight="15" x14ac:dyDescent="0.25"/>
  <cols>
    <col min="1" max="1" width="3" style="121" bestFit="1" customWidth="1"/>
    <col min="2" max="2" width="24.28515625" style="117" customWidth="1"/>
    <col min="3" max="3" width="19.5703125" style="117" bestFit="1" customWidth="1"/>
    <col min="4" max="4" width="22.140625" style="117" bestFit="1" customWidth="1"/>
    <col min="5" max="5" width="20" style="117" bestFit="1" customWidth="1"/>
    <col min="6" max="6" width="32.28515625" style="117" customWidth="1"/>
    <col min="7" max="8" width="9.28515625" style="121"/>
    <col min="9" max="10" width="12.5703125" style="121" bestFit="1" customWidth="1"/>
    <col min="11" max="11" width="12.42578125" style="121" bestFit="1" customWidth="1"/>
    <col min="12" max="16384" width="9.28515625" style="121"/>
  </cols>
  <sheetData>
    <row r="2" spans="1:12" ht="15.75" x14ac:dyDescent="0.25">
      <c r="B2" s="90" t="s">
        <v>190</v>
      </c>
      <c r="C2" s="90"/>
      <c r="D2" s="90"/>
      <c r="E2" s="90"/>
      <c r="F2" s="90"/>
    </row>
    <row r="3" spans="1:12" ht="15.75" x14ac:dyDescent="0.25">
      <c r="B3" s="90"/>
      <c r="C3" s="90"/>
      <c r="D3" s="294" t="s">
        <v>191</v>
      </c>
      <c r="E3" s="294" t="s">
        <v>191</v>
      </c>
      <c r="F3" s="90"/>
    </row>
    <row r="4" spans="1:12" ht="15.75" x14ac:dyDescent="0.25">
      <c r="B4" s="90"/>
      <c r="C4" s="90"/>
      <c r="D4" s="295" t="s">
        <v>193</v>
      </c>
      <c r="E4" s="91" t="s">
        <v>215</v>
      </c>
      <c r="F4" s="90"/>
    </row>
    <row r="5" spans="1:12" s="117" customFormat="1" ht="16.5" thickBot="1" x14ac:dyDescent="0.3">
      <c r="B5" s="364" t="s">
        <v>124</v>
      </c>
      <c r="C5" s="379"/>
      <c r="D5" s="380">
        <f>'Summary 2020'!F9</f>
        <v>3282588.2999998275</v>
      </c>
      <c r="E5" s="380">
        <f>'Summary 2020'!I9</f>
        <v>3204650.6999998274</v>
      </c>
      <c r="F5" s="380">
        <f>'Summary 2020'!J11</f>
        <v>-81648.268875588983</v>
      </c>
      <c r="G5" s="55"/>
    </row>
    <row r="6" spans="1:12" ht="16.5" thickBot="1" x14ac:dyDescent="0.3">
      <c r="A6" s="117"/>
      <c r="B6" s="2" t="s">
        <v>205</v>
      </c>
      <c r="C6" s="90"/>
      <c r="D6" s="293">
        <f>D27</f>
        <v>6178244.3297547093</v>
      </c>
      <c r="E6" s="293">
        <f>E27</f>
        <v>6150047.6407163478</v>
      </c>
      <c r="F6" s="293">
        <f>E6-D6</f>
        <v>-28196.689038361423</v>
      </c>
      <c r="J6" s="243"/>
    </row>
    <row r="7" spans="1:12" ht="16.5" thickBot="1" x14ac:dyDescent="0.3">
      <c r="B7" s="308" t="s">
        <v>216</v>
      </c>
      <c r="C7" s="309"/>
      <c r="D7" s="310"/>
      <c r="E7" s="310"/>
      <c r="F7" s="310">
        <f>SUM(F5:F6)</f>
        <v>-109844.95791395041</v>
      </c>
      <c r="J7" s="243"/>
    </row>
    <row r="8" spans="1:12" ht="15.75" x14ac:dyDescent="0.25">
      <c r="B8" s="90"/>
      <c r="C8" s="90"/>
      <c r="D8" s="121"/>
      <c r="E8" s="121"/>
      <c r="F8" s="90"/>
    </row>
    <row r="9" spans="1:12" ht="15.75" thickBot="1" x14ac:dyDescent="0.3">
      <c r="A9" s="238"/>
      <c r="B9" s="13"/>
      <c r="C9" s="13"/>
      <c r="D9" s="239"/>
      <c r="E9" s="239"/>
      <c r="F9" s="239"/>
      <c r="I9"/>
      <c r="J9"/>
      <c r="K9"/>
      <c r="L9"/>
    </row>
    <row r="10" spans="1:12" ht="15.75" thickBot="1" x14ac:dyDescent="0.3">
      <c r="A10" s="238"/>
      <c r="B10" s="240" t="s">
        <v>17</v>
      </c>
      <c r="C10" s="296"/>
      <c r="D10" s="297">
        <f>'2020 Filed Oct 16,20'!F22</f>
        <v>53737474.610000029</v>
      </c>
      <c r="E10" s="297">
        <f>'2020 + true up CAP'!F22</f>
        <v>53473094.060000032</v>
      </c>
      <c r="F10" s="297">
        <f>E10-D10</f>
        <v>-264380.54999999702</v>
      </c>
      <c r="I10"/>
      <c r="J10"/>
      <c r="K10"/>
      <c r="L10"/>
    </row>
    <row r="11" spans="1:12" x14ac:dyDescent="0.25">
      <c r="A11" s="92"/>
      <c r="B11" s="2"/>
      <c r="C11" s="2"/>
      <c r="D11" s="93"/>
      <c r="I11"/>
      <c r="J11"/>
      <c r="K11"/>
      <c r="L11"/>
    </row>
    <row r="12" spans="1:12" x14ac:dyDescent="0.25">
      <c r="A12" s="94">
        <v>1</v>
      </c>
      <c r="B12" s="2" t="s">
        <v>53</v>
      </c>
      <c r="C12" s="2"/>
      <c r="D12" s="98">
        <f>'2020 Filed Oct 16,20'!E27</f>
        <v>1338566.3494807165</v>
      </c>
      <c r="E12" s="122">
        <f>'2020 + true up CAP'!E27</f>
        <v>1334154.0606497722</v>
      </c>
      <c r="F12" s="122">
        <f>E12-D12</f>
        <v>-4412.288830944337</v>
      </c>
      <c r="G12" s="173"/>
      <c r="H12" s="173"/>
      <c r="I12"/>
      <c r="J12"/>
      <c r="K12"/>
      <c r="L12"/>
    </row>
    <row r="13" spans="1:12" x14ac:dyDescent="0.25">
      <c r="A13" s="92"/>
      <c r="B13" s="2"/>
      <c r="C13" s="2"/>
      <c r="D13" s="298"/>
      <c r="I13"/>
      <c r="J13"/>
      <c r="K13"/>
      <c r="L13"/>
    </row>
    <row r="14" spans="1:12" x14ac:dyDescent="0.25">
      <c r="A14" s="94">
        <f>A12+1</f>
        <v>2</v>
      </c>
      <c r="B14" s="2" t="s">
        <v>54</v>
      </c>
      <c r="C14" s="2"/>
      <c r="D14" s="98">
        <f>'2020 Filed Oct 16,20'!E29</f>
        <v>642405.95509900642</v>
      </c>
      <c r="E14" s="122">
        <f>'2020 + true up CAP'!E29</f>
        <v>639235.00576328114</v>
      </c>
      <c r="F14" s="122">
        <f>E14-D14</f>
        <v>-3170.9493357252795</v>
      </c>
      <c r="I14"/>
      <c r="J14"/>
      <c r="K14"/>
      <c r="L14"/>
    </row>
    <row r="15" spans="1:12" x14ac:dyDescent="0.25">
      <c r="A15" s="92"/>
      <c r="B15" s="2"/>
      <c r="C15" s="2"/>
      <c r="D15" s="298"/>
      <c r="I15"/>
      <c r="J15"/>
      <c r="K15"/>
      <c r="L15"/>
    </row>
    <row r="16" spans="1:12" x14ac:dyDescent="0.25">
      <c r="A16" s="92"/>
      <c r="B16" s="2" t="s">
        <v>55</v>
      </c>
      <c r="C16" s="2"/>
      <c r="D16" s="298"/>
      <c r="I16"/>
      <c r="J16"/>
      <c r="K16"/>
      <c r="L16"/>
    </row>
    <row r="17" spans="1:12" x14ac:dyDescent="0.25">
      <c r="A17" s="94">
        <f>A14+1</f>
        <v>3</v>
      </c>
      <c r="B17" s="2"/>
      <c r="C17" s="2" t="s">
        <v>56</v>
      </c>
      <c r="D17" s="95">
        <v>0</v>
      </c>
      <c r="E17" s="122">
        <v>0</v>
      </c>
      <c r="F17" s="299">
        <f t="shared" ref="F17:F20" si="0">E17-D17</f>
        <v>0</v>
      </c>
      <c r="I17"/>
      <c r="J17"/>
      <c r="K17"/>
      <c r="L17"/>
    </row>
    <row r="18" spans="1:12" x14ac:dyDescent="0.25">
      <c r="A18" s="94">
        <f>A17+1</f>
        <v>4</v>
      </c>
      <c r="B18" s="2"/>
      <c r="C18" s="2" t="s">
        <v>57</v>
      </c>
      <c r="D18" s="95">
        <f>'2020 Filed Oct 16,20'!E33</f>
        <v>1499819.3335576949</v>
      </c>
      <c r="E18" s="122">
        <f>'2020 + true up CAP'!E33</f>
        <v>1492416.1470185542</v>
      </c>
      <c r="F18" s="299">
        <f t="shared" si="0"/>
        <v>-7403.1865391407628</v>
      </c>
      <c r="I18"/>
      <c r="J18"/>
      <c r="K18"/>
      <c r="L18"/>
    </row>
    <row r="19" spans="1:12" x14ac:dyDescent="0.25">
      <c r="A19" s="94">
        <f>A18+1</f>
        <v>5</v>
      </c>
      <c r="B19" s="2"/>
      <c r="C19" s="2" t="s">
        <v>9</v>
      </c>
      <c r="D19" s="96">
        <f>'2020 Filed Oct 16,20'!E34</f>
        <v>2416670.0215629293</v>
      </c>
      <c r="E19" s="300">
        <f>'2020 + true up CAP'!E34</f>
        <v>2404741.2121571051</v>
      </c>
      <c r="F19" s="300">
        <f t="shared" si="0"/>
        <v>-11928.80940582417</v>
      </c>
      <c r="I19"/>
      <c r="J19"/>
      <c r="K19"/>
      <c r="L19"/>
    </row>
    <row r="20" spans="1:12" x14ac:dyDescent="0.25">
      <c r="A20" s="94">
        <f>A19+1</f>
        <v>6</v>
      </c>
      <c r="B20" s="2"/>
      <c r="C20" s="2" t="s">
        <v>58</v>
      </c>
      <c r="D20" s="98">
        <f>SUM(D17:D19)</f>
        <v>3916489.3551206244</v>
      </c>
      <c r="E20" s="122">
        <f>SUM(E17:E19)</f>
        <v>3897157.3591756593</v>
      </c>
      <c r="F20" s="122">
        <f t="shared" si="0"/>
        <v>-19331.995944965165</v>
      </c>
      <c r="I20"/>
      <c r="J20"/>
      <c r="K20"/>
      <c r="L20"/>
    </row>
    <row r="21" spans="1:12" x14ac:dyDescent="0.25">
      <c r="A21" s="92"/>
      <c r="B21" s="2"/>
      <c r="C21" s="2"/>
      <c r="D21" s="298"/>
      <c r="I21"/>
      <c r="J21"/>
      <c r="K21"/>
      <c r="L21"/>
    </row>
    <row r="22" spans="1:12" x14ac:dyDescent="0.25">
      <c r="A22" s="94">
        <f>A20+1</f>
        <v>7</v>
      </c>
      <c r="B22" s="2" t="s">
        <v>59</v>
      </c>
      <c r="C22" s="2"/>
      <c r="D22" s="95">
        <f>'2020 Filed Oct 16,20'!E37</f>
        <v>5897461.6597003471</v>
      </c>
      <c r="E22" s="122">
        <f>'2020 + true up CAP'!E37</f>
        <v>5870546.4255887121</v>
      </c>
      <c r="F22" s="122">
        <f t="shared" ref="F22:F24" si="1">E22-D22</f>
        <v>-26915.234111635014</v>
      </c>
      <c r="I22"/>
      <c r="J22"/>
      <c r="K22"/>
      <c r="L22"/>
    </row>
    <row r="23" spans="1:12" x14ac:dyDescent="0.25">
      <c r="A23" s="94">
        <f>A22+1</f>
        <v>8</v>
      </c>
      <c r="B23" s="2" t="s">
        <v>60</v>
      </c>
      <c r="C23" s="2"/>
      <c r="D23" s="96">
        <f>'2020 Filed Oct 16,20'!E38</f>
        <v>280782.67005436216</v>
      </c>
      <c r="E23" s="300">
        <f>'2020 + true up CAP'!E38</f>
        <v>279501.21512763575</v>
      </c>
      <c r="F23" s="300">
        <f>E23-D23</f>
        <v>-1281.4549267264083</v>
      </c>
      <c r="I23"/>
      <c r="J23"/>
      <c r="K23"/>
      <c r="L23"/>
    </row>
    <row r="24" spans="1:12" x14ac:dyDescent="0.25">
      <c r="A24" s="94">
        <f>A23+1</f>
        <v>9</v>
      </c>
      <c r="B24" s="2"/>
      <c r="C24" s="2" t="s">
        <v>61</v>
      </c>
      <c r="D24" s="95">
        <f>SUM(D22:D23)</f>
        <v>6178244.3297547093</v>
      </c>
      <c r="E24" s="122">
        <f>SUM(E22:E23)</f>
        <v>6150047.6407163478</v>
      </c>
      <c r="F24" s="122">
        <f t="shared" si="1"/>
        <v>-28196.689038361423</v>
      </c>
      <c r="I24"/>
      <c r="J24"/>
      <c r="K24"/>
      <c r="L24"/>
    </row>
    <row r="25" spans="1:12" x14ac:dyDescent="0.25">
      <c r="A25" s="94">
        <f t="shared" ref="A25:A47" si="2">A24+1</f>
        <v>10</v>
      </c>
      <c r="B25" s="2"/>
      <c r="C25" s="2"/>
      <c r="D25" s="301"/>
      <c r="I25"/>
      <c r="J25"/>
      <c r="K25"/>
      <c r="L25"/>
    </row>
    <row r="26" spans="1:12" x14ac:dyDescent="0.25">
      <c r="A26" s="94">
        <f t="shared" si="2"/>
        <v>11</v>
      </c>
      <c r="B26" s="2"/>
      <c r="C26" s="2"/>
      <c r="D26" s="298"/>
      <c r="I26"/>
      <c r="J26"/>
      <c r="K26"/>
      <c r="L26"/>
    </row>
    <row r="27" spans="1:12" s="117" customFormat="1" x14ac:dyDescent="0.25">
      <c r="A27" s="441">
        <f t="shared" si="2"/>
        <v>12</v>
      </c>
      <c r="B27" s="2" t="s">
        <v>140</v>
      </c>
      <c r="C27" s="2"/>
      <c r="D27" s="96">
        <f>D24</f>
        <v>6178244.3297547093</v>
      </c>
      <c r="E27" s="300">
        <f>+E24</f>
        <v>6150047.6407163478</v>
      </c>
      <c r="F27" s="300">
        <f>E27-D27</f>
        <v>-28196.689038361423</v>
      </c>
      <c r="G27" s="55"/>
      <c r="I27" s="197"/>
      <c r="J27" s="197"/>
      <c r="K27" s="197"/>
      <c r="L27" s="197"/>
    </row>
    <row r="28" spans="1:12" ht="15.75" thickBot="1" x14ac:dyDescent="0.3">
      <c r="A28" s="94">
        <f t="shared" si="2"/>
        <v>13</v>
      </c>
      <c r="B28" s="137" t="s">
        <v>85</v>
      </c>
      <c r="C28" s="137"/>
      <c r="D28" s="302"/>
      <c r="E28" s="303">
        <f>+E27-D27</f>
        <v>-28196.689038361423</v>
      </c>
      <c r="F28" s="303"/>
      <c r="I28"/>
      <c r="J28"/>
      <c r="K28"/>
      <c r="L28"/>
    </row>
    <row r="29" spans="1:12" ht="15.75" thickTop="1" x14ac:dyDescent="0.25">
      <c r="A29" s="94">
        <f t="shared" si="2"/>
        <v>14</v>
      </c>
      <c r="B29" s="2"/>
      <c r="C29" s="2"/>
      <c r="D29" s="114"/>
      <c r="I29"/>
      <c r="J29"/>
      <c r="K29"/>
      <c r="L29"/>
    </row>
    <row r="30" spans="1:12" x14ac:dyDescent="0.25">
      <c r="A30" s="94">
        <f t="shared" si="2"/>
        <v>15</v>
      </c>
      <c r="B30" s="2" t="s">
        <v>63</v>
      </c>
      <c r="C30" s="114"/>
      <c r="D30" s="97">
        <f>'2020 Filed Oct 16,20'!E45</f>
        <v>0.11497087227476442</v>
      </c>
      <c r="E30" s="123">
        <f>'2020 + true up CAP'!E45</f>
        <v>0.11501200274320435</v>
      </c>
      <c r="F30" s="123">
        <f>E30-D30</f>
        <v>4.1130468439926071E-5</v>
      </c>
      <c r="I30"/>
      <c r="J30"/>
      <c r="K30"/>
      <c r="L30"/>
    </row>
    <row r="31" spans="1:12" x14ac:dyDescent="0.25">
      <c r="A31" s="94">
        <f t="shared" si="2"/>
        <v>16</v>
      </c>
      <c r="B31" s="2"/>
      <c r="C31" s="2"/>
      <c r="D31" s="114"/>
      <c r="I31"/>
      <c r="J31"/>
      <c r="K31"/>
      <c r="L31"/>
    </row>
    <row r="32" spans="1:12" x14ac:dyDescent="0.25">
      <c r="A32" s="94">
        <f t="shared" si="2"/>
        <v>17</v>
      </c>
      <c r="B32" s="2" t="s">
        <v>120</v>
      </c>
      <c r="C32" s="2"/>
      <c r="D32" s="97">
        <f>'2020 Filed Oct 16,20'!F16</f>
        <v>4.5447000000000001E-2</v>
      </c>
      <c r="E32" s="97">
        <f>D32</f>
        <v>4.5447000000000001E-2</v>
      </c>
      <c r="F32" s="122"/>
      <c r="I32"/>
      <c r="J32"/>
      <c r="K32"/>
      <c r="L32"/>
    </row>
    <row r="33" spans="1:12" x14ac:dyDescent="0.25">
      <c r="A33" s="94">
        <f t="shared" si="2"/>
        <v>18</v>
      </c>
      <c r="B33" s="2"/>
      <c r="C33" s="2"/>
      <c r="D33" s="304"/>
      <c r="E33" s="300"/>
      <c r="F33" s="300"/>
      <c r="I33"/>
      <c r="J33"/>
      <c r="K33"/>
      <c r="L33"/>
    </row>
    <row r="34" spans="1:12" x14ac:dyDescent="0.25">
      <c r="A34" s="94">
        <f t="shared" si="2"/>
        <v>19</v>
      </c>
      <c r="B34" s="46" t="s">
        <v>64</v>
      </c>
      <c r="C34" s="2"/>
      <c r="D34" s="95">
        <f>'2020 Filed Oct 16,20'!E49</f>
        <v>52997149.59567827</v>
      </c>
      <c r="E34" s="122">
        <f>'2020 + true up CAP'!E49</f>
        <v>52735552.898182124</v>
      </c>
      <c r="F34" s="122">
        <f t="shared" ref="F34" si="3">E34-D34</f>
        <v>-261596.69749614596</v>
      </c>
      <c r="I34"/>
      <c r="J34"/>
      <c r="K34"/>
      <c r="L34"/>
    </row>
    <row r="35" spans="1:12" x14ac:dyDescent="0.25">
      <c r="A35" s="94">
        <f t="shared" si="2"/>
        <v>20</v>
      </c>
      <c r="B35" s="2"/>
      <c r="C35" s="2"/>
      <c r="D35" s="98"/>
      <c r="I35"/>
      <c r="J35"/>
      <c r="K35"/>
      <c r="L35"/>
    </row>
    <row r="36" spans="1:12" x14ac:dyDescent="0.25">
      <c r="A36" s="94">
        <f t="shared" si="2"/>
        <v>21</v>
      </c>
      <c r="B36" s="2"/>
      <c r="C36" s="2"/>
      <c r="D36" s="98"/>
      <c r="I36"/>
      <c r="J36"/>
      <c r="K36"/>
      <c r="L36"/>
    </row>
    <row r="37" spans="1:12" x14ac:dyDescent="0.25">
      <c r="A37" s="94">
        <f t="shared" si="2"/>
        <v>22</v>
      </c>
      <c r="B37" s="2" t="s">
        <v>65</v>
      </c>
      <c r="C37" s="2"/>
      <c r="D37" s="98">
        <f>'2020 Filed Oct 16,20'!E52</f>
        <v>3059075.9766619354</v>
      </c>
      <c r="E37" s="122">
        <f>'2020 + true up CAP'!E52</f>
        <v>3043976.2179203862</v>
      </c>
      <c r="F37" s="122">
        <f>E37-D37</f>
        <v>-15099.758741549216</v>
      </c>
      <c r="I37"/>
      <c r="J37"/>
      <c r="K37"/>
      <c r="L37"/>
    </row>
    <row r="38" spans="1:12" x14ac:dyDescent="0.25">
      <c r="A38" s="94">
        <f t="shared" si="2"/>
        <v>23</v>
      </c>
      <c r="B38" s="2" t="s">
        <v>66</v>
      </c>
      <c r="C38" s="2"/>
      <c r="D38" s="96">
        <f>'2020 Filed Oct 16,20'!E53</f>
        <v>642405.95509900642</v>
      </c>
      <c r="E38" s="300">
        <f>'2020 + true up CAP'!E53</f>
        <v>639235.00576328114</v>
      </c>
      <c r="F38" s="300">
        <f>E38-D38</f>
        <v>-3170.9493357252795</v>
      </c>
      <c r="I38"/>
      <c r="J38"/>
      <c r="K38"/>
      <c r="L38"/>
    </row>
    <row r="39" spans="1:12" x14ac:dyDescent="0.25">
      <c r="A39" s="94">
        <f t="shared" si="2"/>
        <v>24</v>
      </c>
      <c r="B39" s="2" t="s">
        <v>67</v>
      </c>
      <c r="C39" s="2"/>
      <c r="D39" s="122">
        <f>D37-D38</f>
        <v>2416670.0215629293</v>
      </c>
      <c r="E39" s="122">
        <f>E37-E38</f>
        <v>2404741.2121571051</v>
      </c>
      <c r="F39" s="122">
        <f>E39-D39</f>
        <v>-11928.80940582417</v>
      </c>
      <c r="I39"/>
      <c r="J39"/>
      <c r="K39"/>
      <c r="L39"/>
    </row>
    <row r="40" spans="1:12" x14ac:dyDescent="0.25">
      <c r="A40" s="94">
        <f t="shared" si="2"/>
        <v>25</v>
      </c>
      <c r="B40" s="2"/>
      <c r="C40" s="2"/>
      <c r="D40" s="115"/>
      <c r="I40"/>
      <c r="J40"/>
      <c r="K40"/>
      <c r="L40"/>
    </row>
    <row r="41" spans="1:12" x14ac:dyDescent="0.25">
      <c r="A41" s="94">
        <f t="shared" si="2"/>
        <v>26</v>
      </c>
      <c r="B41" s="2"/>
      <c r="C41" s="2"/>
      <c r="D41" s="115"/>
      <c r="I41"/>
      <c r="J41"/>
      <c r="K41"/>
      <c r="L41"/>
    </row>
    <row r="42" spans="1:12" x14ac:dyDescent="0.25">
      <c r="A42" s="94">
        <f t="shared" si="2"/>
        <v>27</v>
      </c>
      <c r="B42" s="2" t="s">
        <v>68</v>
      </c>
      <c r="C42" s="2"/>
      <c r="D42" s="98">
        <f>'2020 Filed Oct 16,20'!E57</f>
        <v>1338566.3494807165</v>
      </c>
      <c r="E42" s="122">
        <f>'2020 + true up CAP'!E57</f>
        <v>1334154.0606497722</v>
      </c>
      <c r="F42" s="122">
        <f t="shared" ref="F42:F45" si="4">E42-D42</f>
        <v>-4412.288830944337</v>
      </c>
      <c r="I42"/>
      <c r="J42"/>
      <c r="K42"/>
      <c r="L42"/>
    </row>
    <row r="43" spans="1:12" x14ac:dyDescent="0.25">
      <c r="A43" s="94">
        <f t="shared" si="2"/>
        <v>28</v>
      </c>
      <c r="B43" s="2" t="s">
        <v>69</v>
      </c>
      <c r="C43" s="2"/>
      <c r="D43" s="98">
        <f>'2020 Filed Oct 16,20'!E58</f>
        <v>2015155.2978750011</v>
      </c>
      <c r="E43" s="122">
        <f>'2020 + true up CAP'!E58</f>
        <v>2005241.0272500012</v>
      </c>
      <c r="F43" s="122">
        <f t="shared" si="4"/>
        <v>-9914.2706249998882</v>
      </c>
      <c r="I43"/>
      <c r="J43"/>
      <c r="K43"/>
      <c r="L43"/>
    </row>
    <row r="44" spans="1:12" x14ac:dyDescent="0.25">
      <c r="A44" s="94">
        <f t="shared" si="2"/>
        <v>29</v>
      </c>
      <c r="B44" s="2" t="s">
        <v>70</v>
      </c>
      <c r="C44" s="2"/>
      <c r="D44" s="98">
        <f>'2020 Filed Oct 16,20'!E59</f>
        <v>676588.94839428458</v>
      </c>
      <c r="E44" s="122">
        <f>'2020 + true up CAP'!E59</f>
        <v>671086.96660022903</v>
      </c>
      <c r="F44" s="122">
        <f t="shared" si="4"/>
        <v>-5501.9817940555513</v>
      </c>
      <c r="I44"/>
      <c r="J44"/>
      <c r="K44"/>
      <c r="L44"/>
    </row>
    <row r="45" spans="1:12" x14ac:dyDescent="0.25">
      <c r="A45" s="94">
        <f t="shared" si="2"/>
        <v>30</v>
      </c>
      <c r="B45" s="2" t="s">
        <v>71</v>
      </c>
      <c r="C45" s="2"/>
      <c r="D45" s="98">
        <f>'2020 Filed Oct 16,20'!E60</f>
        <v>142083.67916279976</v>
      </c>
      <c r="E45" s="122">
        <f>'2020 + true up CAP'!E60</f>
        <v>140928.2629860481</v>
      </c>
      <c r="F45" s="122">
        <f t="shared" si="4"/>
        <v>-1155.4161767516634</v>
      </c>
      <c r="I45"/>
      <c r="J45"/>
      <c r="K45"/>
      <c r="L45"/>
    </row>
    <row r="46" spans="1:12" x14ac:dyDescent="0.25">
      <c r="A46" s="94">
        <f t="shared" si="2"/>
        <v>31</v>
      </c>
      <c r="B46" s="2"/>
      <c r="C46" s="2"/>
      <c r="D46" s="99"/>
      <c r="I46"/>
      <c r="J46"/>
      <c r="K46"/>
      <c r="L46"/>
    </row>
    <row r="47" spans="1:12" x14ac:dyDescent="0.25">
      <c r="A47" s="94">
        <f t="shared" si="2"/>
        <v>32</v>
      </c>
      <c r="B47" s="2" t="s">
        <v>72</v>
      </c>
      <c r="C47" s="2"/>
      <c r="D47" s="305">
        <f>'2020 Filed Oct 16,20'!E66</f>
        <v>0.51875000000000004</v>
      </c>
      <c r="E47" s="306">
        <f>'2020 + true up CAP'!E66</f>
        <v>0.51875000000000004</v>
      </c>
      <c r="F47" s="306">
        <f>E47-D47</f>
        <v>0</v>
      </c>
      <c r="I47"/>
      <c r="J47"/>
      <c r="K47"/>
      <c r="L47"/>
    </row>
    <row r="48" spans="1:12" x14ac:dyDescent="0.25">
      <c r="I48"/>
      <c r="J48"/>
      <c r="K48"/>
      <c r="L48"/>
    </row>
  </sheetData>
  <pageMargins left="0.45" right="0.45"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4" activePane="bottomRight" state="frozen"/>
      <selection activeCell="J17" sqref="J17"/>
      <selection pane="topRight" activeCell="J17" sqref="J17"/>
      <selection pane="bottomLeft" activeCell="J17" sqref="J17"/>
      <selection pane="bottomRight" activeCell="N25" sqref="N25"/>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443"/>
      <c r="F1" s="443"/>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128" t="s">
        <v>141</v>
      </c>
      <c r="D3" s="114" t="s">
        <v>3</v>
      </c>
      <c r="E3" s="3"/>
      <c r="F3" s="5"/>
      <c r="G3" s="5"/>
      <c r="H3" s="244" t="s">
        <v>192</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71" t="s">
        <v>168</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9" t="s">
        <v>121</v>
      </c>
      <c r="E6" s="109"/>
      <c r="F6" s="110"/>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72">
        <f>F10+F11+F12</f>
        <v>7.3899999999999993E-2</v>
      </c>
      <c r="G13" s="28"/>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'Summary 2020'!F25</f>
        <v>2.4909364632323495E-2</v>
      </c>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f>'Summary 2020'!F17</f>
        <v>53737474.610000029</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4"/>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4"/>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8" x14ac:dyDescent="0.2">
      <c r="A27" s="128">
        <v>1</v>
      </c>
      <c r="B27" s="2" t="s">
        <v>123</v>
      </c>
      <c r="C27" s="2"/>
      <c r="D27" s="114"/>
      <c r="E27" s="38">
        <f>$F22*$F17</f>
        <v>1338566.3494807165</v>
      </c>
      <c r="F27" s="98">
        <f>$F22*$F17</f>
        <v>1338566.3494807165</v>
      </c>
      <c r="G27" s="98">
        <f t="shared" ref="G27:AR27" si="0">$F22*$F17</f>
        <v>1338566.3494807165</v>
      </c>
      <c r="H27" s="98">
        <f t="shared" si="0"/>
        <v>1338566.3494807165</v>
      </c>
      <c r="I27" s="98">
        <f t="shared" si="0"/>
        <v>1338566.3494807165</v>
      </c>
      <c r="J27" s="98">
        <f t="shared" si="0"/>
        <v>1338566.3494807165</v>
      </c>
      <c r="K27" s="98">
        <f t="shared" si="0"/>
        <v>1338566.3494807165</v>
      </c>
      <c r="L27" s="98">
        <f t="shared" si="0"/>
        <v>1338566.3494807165</v>
      </c>
      <c r="M27" s="98">
        <f t="shared" si="0"/>
        <v>1338566.3494807165</v>
      </c>
      <c r="N27" s="98">
        <f t="shared" si="0"/>
        <v>1338566.3494807165</v>
      </c>
      <c r="O27" s="98">
        <f t="shared" si="0"/>
        <v>1338566.3494807165</v>
      </c>
      <c r="P27" s="98">
        <f t="shared" si="0"/>
        <v>1338566.3494807165</v>
      </c>
      <c r="Q27" s="98">
        <f t="shared" si="0"/>
        <v>1338566.3494807165</v>
      </c>
      <c r="R27" s="98">
        <f t="shared" si="0"/>
        <v>1338566.3494807165</v>
      </c>
      <c r="S27" s="98">
        <f t="shared" si="0"/>
        <v>1338566.3494807165</v>
      </c>
      <c r="T27" s="98">
        <f t="shared" si="0"/>
        <v>1338566.3494807165</v>
      </c>
      <c r="U27" s="98">
        <f t="shared" si="0"/>
        <v>1338566.3494807165</v>
      </c>
      <c r="V27" s="98">
        <f t="shared" si="0"/>
        <v>1338566.3494807165</v>
      </c>
      <c r="W27" s="98">
        <f t="shared" si="0"/>
        <v>1338566.3494807165</v>
      </c>
      <c r="X27" s="98">
        <f t="shared" si="0"/>
        <v>1338566.3494807165</v>
      </c>
      <c r="Y27" s="98">
        <f t="shared" si="0"/>
        <v>1338566.3494807165</v>
      </c>
      <c r="Z27" s="98">
        <f t="shared" si="0"/>
        <v>1338566.3494807165</v>
      </c>
      <c r="AA27" s="98">
        <f t="shared" si="0"/>
        <v>1338566.3494807165</v>
      </c>
      <c r="AB27" s="98">
        <f t="shared" si="0"/>
        <v>1338566.3494807165</v>
      </c>
      <c r="AC27" s="98">
        <f t="shared" si="0"/>
        <v>1338566.3494807165</v>
      </c>
      <c r="AD27" s="98">
        <f t="shared" si="0"/>
        <v>1338566.3494807165</v>
      </c>
      <c r="AE27" s="98">
        <f t="shared" si="0"/>
        <v>1338566.3494807165</v>
      </c>
      <c r="AF27" s="98">
        <f t="shared" si="0"/>
        <v>1338566.3494807165</v>
      </c>
      <c r="AG27" s="98">
        <f t="shared" si="0"/>
        <v>1338566.3494807165</v>
      </c>
      <c r="AH27" s="98">
        <f t="shared" si="0"/>
        <v>1338566.3494807165</v>
      </c>
      <c r="AI27" s="98">
        <f t="shared" si="0"/>
        <v>1338566.3494807165</v>
      </c>
      <c r="AJ27" s="98">
        <f t="shared" si="0"/>
        <v>1338566.3494807165</v>
      </c>
      <c r="AK27" s="98">
        <f t="shared" si="0"/>
        <v>1338566.3494807165</v>
      </c>
      <c r="AL27" s="98">
        <f t="shared" si="0"/>
        <v>1338566.3494807165</v>
      </c>
      <c r="AM27" s="98">
        <f t="shared" si="0"/>
        <v>1338566.3494807165</v>
      </c>
      <c r="AN27" s="98">
        <f t="shared" si="0"/>
        <v>1338566.3494807165</v>
      </c>
      <c r="AO27" s="98">
        <f t="shared" si="0"/>
        <v>1338566.3494807165</v>
      </c>
      <c r="AP27" s="98">
        <f t="shared" si="0"/>
        <v>1338566.3494807165</v>
      </c>
      <c r="AQ27" s="98">
        <f t="shared" si="0"/>
        <v>1338566.3494807165</v>
      </c>
      <c r="AR27" s="98">
        <f t="shared" si="0"/>
        <v>1338566.3494807165</v>
      </c>
      <c r="AS27" s="98">
        <v>0</v>
      </c>
      <c r="AT27" s="98"/>
      <c r="AU27" s="100">
        <f>SUM(D27:AT27)</f>
        <v>53542653.979228713</v>
      </c>
      <c r="AV27" s="22">
        <f>F22</f>
        <v>53737474.610000029</v>
      </c>
    </row>
    <row r="28" spans="1:48" x14ac:dyDescent="0.2">
      <c r="A28" s="2"/>
      <c r="B28" s="2"/>
      <c r="C28" s="2"/>
      <c r="D28" s="114"/>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5"/>
    </row>
    <row r="29" spans="1:48" x14ac:dyDescent="0.2">
      <c r="A29" s="128">
        <f>A27+1</f>
        <v>2</v>
      </c>
      <c r="B29" s="2" t="s">
        <v>54</v>
      </c>
      <c r="C29" s="2"/>
      <c r="D29" s="114"/>
      <c r="E29" s="38">
        <f>E53</f>
        <v>642405.95509900642</v>
      </c>
      <c r="F29" s="98">
        <f t="shared" ref="F29:AT29" si="1">F53</f>
        <v>622085.60924214637</v>
      </c>
      <c r="G29" s="98">
        <f t="shared" si="1"/>
        <v>599763.34521912516</v>
      </c>
      <c r="H29" s="98">
        <f t="shared" si="1"/>
        <v>578153.7558558716</v>
      </c>
      <c r="I29" s="98">
        <f t="shared" si="1"/>
        <v>557203.49314522441</v>
      </c>
      <c r="J29" s="98">
        <f t="shared" si="1"/>
        <v>536863.31277288124</v>
      </c>
      <c r="K29" s="98">
        <f t="shared" si="1"/>
        <v>517087.39016858838</v>
      </c>
      <c r="L29" s="98">
        <f t="shared" si="1"/>
        <v>497833.32050614053</v>
      </c>
      <c r="M29" s="98">
        <f t="shared" si="1"/>
        <v>478870.61303664948</v>
      </c>
      <c r="N29" s="98">
        <f t="shared" si="1"/>
        <v>459949.62644455367</v>
      </c>
      <c r="O29" s="98">
        <f t="shared" si="1"/>
        <v>441028.6398524578</v>
      </c>
      <c r="P29" s="98">
        <f t="shared" si="1"/>
        <v>422107.6532603621</v>
      </c>
      <c r="Q29" s="98">
        <f t="shared" si="1"/>
        <v>403186.66666826617</v>
      </c>
      <c r="R29" s="98">
        <f t="shared" si="1"/>
        <v>384265.68007617048</v>
      </c>
      <c r="S29" s="98">
        <f t="shared" si="1"/>
        <v>365344.69348407455</v>
      </c>
      <c r="T29" s="98">
        <f t="shared" si="1"/>
        <v>346423.70689197874</v>
      </c>
      <c r="U29" s="98">
        <f t="shared" si="1"/>
        <v>327502.72029988293</v>
      </c>
      <c r="V29" s="98">
        <f t="shared" si="1"/>
        <v>308581.73370778706</v>
      </c>
      <c r="W29" s="98">
        <f t="shared" si="1"/>
        <v>289660.74711569125</v>
      </c>
      <c r="X29" s="98">
        <f t="shared" si="1"/>
        <v>270739.76052359538</v>
      </c>
      <c r="Y29" s="98">
        <f t="shared" si="1"/>
        <v>253344.66372606915</v>
      </c>
      <c r="Z29" s="98">
        <f t="shared" si="1"/>
        <v>239000.66256887221</v>
      </c>
      <c r="AA29" s="98">
        <f t="shared" si="1"/>
        <v>226182.55120624483</v>
      </c>
      <c r="AB29" s="98">
        <f t="shared" si="1"/>
        <v>213364.43984361753</v>
      </c>
      <c r="AC29" s="98">
        <f t="shared" si="1"/>
        <v>200546.32848099014</v>
      </c>
      <c r="AD29" s="98">
        <f t="shared" si="1"/>
        <v>187728.21711836278</v>
      </c>
      <c r="AE29" s="98">
        <f t="shared" si="1"/>
        <v>174910.10575573542</v>
      </c>
      <c r="AF29" s="98">
        <f t="shared" si="1"/>
        <v>162091.99439310806</v>
      </c>
      <c r="AG29" s="98">
        <f t="shared" si="1"/>
        <v>149273.88303048071</v>
      </c>
      <c r="AH29" s="98">
        <f t="shared" si="1"/>
        <v>136455.77166785332</v>
      </c>
      <c r="AI29" s="98">
        <f t="shared" si="1"/>
        <v>123637.66030522595</v>
      </c>
      <c r="AJ29" s="98">
        <f t="shared" si="1"/>
        <v>110819.5489425986</v>
      </c>
      <c r="AK29" s="98">
        <f t="shared" si="1"/>
        <v>98001.437579971229</v>
      </c>
      <c r="AL29" s="98">
        <f t="shared" si="1"/>
        <v>85183.326217343871</v>
      </c>
      <c r="AM29" s="98">
        <f t="shared" si="1"/>
        <v>72365.214854716498</v>
      </c>
      <c r="AN29" s="98">
        <f t="shared" si="1"/>
        <v>59547.103492089132</v>
      </c>
      <c r="AO29" s="98">
        <f t="shared" si="1"/>
        <v>46728.992129461767</v>
      </c>
      <c r="AP29" s="98">
        <f t="shared" si="1"/>
        <v>33910.880766834402</v>
      </c>
      <c r="AQ29" s="98">
        <f t="shared" si="1"/>
        <v>21092.769404207036</v>
      </c>
      <c r="AR29" s="98">
        <f t="shared" si="1"/>
        <v>8274.6580415796743</v>
      </c>
      <c r="AS29" s="98">
        <f t="shared" si="1"/>
        <v>1865.6023602659927</v>
      </c>
      <c r="AT29" s="98">
        <f t="shared" si="1"/>
        <v>1865.6023602659927</v>
      </c>
      <c r="AU29" s="100">
        <f>SUM(D29:AT29)</f>
        <v>11655249.837616347</v>
      </c>
    </row>
    <row r="30" spans="1:48" x14ac:dyDescent="0.2">
      <c r="A30" s="2"/>
      <c r="B30" s="2"/>
      <c r="C30" s="2"/>
      <c r="D30" s="114"/>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8" x14ac:dyDescent="0.2">
      <c r="A31" s="2"/>
      <c r="B31" s="2" t="s">
        <v>55</v>
      </c>
      <c r="C31" s="2"/>
      <c r="D31" s="114"/>
      <c r="E31" s="38">
        <f>+E30/0.79</f>
        <v>0</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8" x14ac:dyDescent="0.2">
      <c r="A32" s="128">
        <f>A29+1</f>
        <v>3</v>
      </c>
      <c r="B32" s="2"/>
      <c r="C32" s="2"/>
      <c r="D32" s="114"/>
      <c r="E32" s="38">
        <f>E49*$F10</f>
        <v>0</v>
      </c>
      <c r="F32" s="98">
        <f t="shared" ref="F32:AT32" si="2">F49*$F10</f>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2"/>
        <v>0</v>
      </c>
      <c r="S32" s="98">
        <f t="shared" si="2"/>
        <v>0</v>
      </c>
      <c r="T32" s="98">
        <f t="shared" si="2"/>
        <v>0</v>
      </c>
      <c r="U32" s="98">
        <f t="shared" si="2"/>
        <v>0</v>
      </c>
      <c r="V32" s="98">
        <f t="shared" si="2"/>
        <v>0</v>
      </c>
      <c r="W32" s="98">
        <f t="shared" si="2"/>
        <v>0</v>
      </c>
      <c r="X32" s="98">
        <f t="shared" si="2"/>
        <v>0</v>
      </c>
      <c r="Y32" s="98">
        <f t="shared" si="2"/>
        <v>0</v>
      </c>
      <c r="Z32" s="98">
        <f t="shared" si="2"/>
        <v>0</v>
      </c>
      <c r="AA32" s="98">
        <f t="shared" si="2"/>
        <v>0</v>
      </c>
      <c r="AB32" s="98">
        <f t="shared" si="2"/>
        <v>0</v>
      </c>
      <c r="AC32" s="98">
        <f t="shared" si="2"/>
        <v>0</v>
      </c>
      <c r="AD32" s="98">
        <f t="shared" si="2"/>
        <v>0</v>
      </c>
      <c r="AE32" s="98">
        <f t="shared" si="2"/>
        <v>0</v>
      </c>
      <c r="AF32" s="98">
        <f t="shared" si="2"/>
        <v>0</v>
      </c>
      <c r="AG32" s="98">
        <f t="shared" si="2"/>
        <v>0</v>
      </c>
      <c r="AH32" s="98">
        <f t="shared" si="2"/>
        <v>0</v>
      </c>
      <c r="AI32" s="98">
        <f t="shared" si="2"/>
        <v>0</v>
      </c>
      <c r="AJ32" s="98">
        <f t="shared" si="2"/>
        <v>0</v>
      </c>
      <c r="AK32" s="98">
        <f t="shared" si="2"/>
        <v>0</v>
      </c>
      <c r="AL32" s="98">
        <f t="shared" si="2"/>
        <v>0</v>
      </c>
      <c r="AM32" s="98">
        <f t="shared" si="2"/>
        <v>0</v>
      </c>
      <c r="AN32" s="98">
        <f t="shared" si="2"/>
        <v>0</v>
      </c>
      <c r="AO32" s="98">
        <f t="shared" si="2"/>
        <v>0</v>
      </c>
      <c r="AP32" s="98">
        <f t="shared" si="2"/>
        <v>0</v>
      </c>
      <c r="AQ32" s="98">
        <f t="shared" si="2"/>
        <v>0</v>
      </c>
      <c r="AR32" s="98">
        <f t="shared" si="2"/>
        <v>0</v>
      </c>
      <c r="AS32" s="98">
        <f t="shared" si="2"/>
        <v>0</v>
      </c>
      <c r="AT32" s="98">
        <f t="shared" si="2"/>
        <v>0</v>
      </c>
      <c r="AU32" s="100">
        <f t="shared" ref="AU32:AU42" si="3">SUM(D32:AT32)</f>
        <v>0</v>
      </c>
    </row>
    <row r="33" spans="1:47" x14ac:dyDescent="0.2">
      <c r="A33" s="128">
        <f>A32+1</f>
        <v>4</v>
      </c>
      <c r="B33" s="13"/>
      <c r="C33" s="13" t="s">
        <v>102</v>
      </c>
      <c r="D33" s="114"/>
      <c r="E33" s="38">
        <f>E49*$F11</f>
        <v>1499819.3335576949</v>
      </c>
      <c r="F33" s="98">
        <f t="shared" ref="F33:AT33" si="4">F49*$F11</f>
        <v>1452377.6071247561</v>
      </c>
      <c r="G33" s="98">
        <f t="shared" si="4"/>
        <v>1400262.0205789455</v>
      </c>
      <c r="H33" s="98">
        <f t="shared" si="4"/>
        <v>1349810.3090716084</v>
      </c>
      <c r="I33" s="98">
        <f t="shared" si="4"/>
        <v>1300897.9214962181</v>
      </c>
      <c r="J33" s="98">
        <f t="shared" si="4"/>
        <v>1253409.8876005961</v>
      </c>
      <c r="K33" s="98">
        <f t="shared" si="4"/>
        <v>1207239.2211778541</v>
      </c>
      <c r="L33" s="98">
        <f t="shared" si="4"/>
        <v>1162286.9200663934</v>
      </c>
      <c r="M33" s="98">
        <f t="shared" si="4"/>
        <v>1118014.8596136563</v>
      </c>
      <c r="N33" s="98">
        <f t="shared" si="4"/>
        <v>1073840.2045134592</v>
      </c>
      <c r="O33" s="98">
        <f t="shared" si="4"/>
        <v>1029665.5494132622</v>
      </c>
      <c r="P33" s="98">
        <f t="shared" si="4"/>
        <v>985490.89431306545</v>
      </c>
      <c r="Q33" s="98">
        <f t="shared" si="4"/>
        <v>941316.23921286839</v>
      </c>
      <c r="R33" s="98">
        <f t="shared" si="4"/>
        <v>897141.58411267144</v>
      </c>
      <c r="S33" s="98">
        <f t="shared" si="4"/>
        <v>852966.92901247437</v>
      </c>
      <c r="T33" s="98">
        <f t="shared" si="4"/>
        <v>808792.27391227742</v>
      </c>
      <c r="U33" s="98">
        <f t="shared" si="4"/>
        <v>764617.61881208047</v>
      </c>
      <c r="V33" s="98">
        <f t="shared" si="4"/>
        <v>720442.96371188341</v>
      </c>
      <c r="W33" s="98">
        <f t="shared" si="4"/>
        <v>676268.30861168646</v>
      </c>
      <c r="X33" s="98">
        <f t="shared" si="4"/>
        <v>632093.65351148939</v>
      </c>
      <c r="Y33" s="98">
        <f t="shared" si="4"/>
        <v>591481.47941977112</v>
      </c>
      <c r="Z33" s="98">
        <f t="shared" si="4"/>
        <v>557992.67053595197</v>
      </c>
      <c r="AA33" s="98">
        <f t="shared" si="4"/>
        <v>528066.3426606115</v>
      </c>
      <c r="AB33" s="98">
        <f t="shared" si="4"/>
        <v>498140.0147852712</v>
      </c>
      <c r="AC33" s="98">
        <f t="shared" si="4"/>
        <v>468213.68690993072</v>
      </c>
      <c r="AD33" s="98">
        <f t="shared" si="4"/>
        <v>438287.35903459031</v>
      </c>
      <c r="AE33" s="98">
        <f t="shared" si="4"/>
        <v>408361.03115924983</v>
      </c>
      <c r="AF33" s="98">
        <f t="shared" si="4"/>
        <v>378434.70328390942</v>
      </c>
      <c r="AG33" s="98">
        <f t="shared" si="4"/>
        <v>348508.375408569</v>
      </c>
      <c r="AH33" s="98">
        <f t="shared" si="4"/>
        <v>318582.04753322853</v>
      </c>
      <c r="AI33" s="98">
        <f t="shared" si="4"/>
        <v>288655.71965788811</v>
      </c>
      <c r="AJ33" s="98">
        <f t="shared" si="4"/>
        <v>258729.3917825477</v>
      </c>
      <c r="AK33" s="98">
        <f t="shared" si="4"/>
        <v>228803.06390720728</v>
      </c>
      <c r="AL33" s="98">
        <f t="shared" si="4"/>
        <v>198876.73603186684</v>
      </c>
      <c r="AM33" s="98">
        <f t="shared" si="4"/>
        <v>168950.40815652639</v>
      </c>
      <c r="AN33" s="98">
        <f t="shared" si="4"/>
        <v>139024.08028118595</v>
      </c>
      <c r="AO33" s="98">
        <f t="shared" si="4"/>
        <v>109097.75240584552</v>
      </c>
      <c r="AP33" s="98">
        <f t="shared" si="4"/>
        <v>79171.424530505086</v>
      </c>
      <c r="AQ33" s="98">
        <f t="shared" si="4"/>
        <v>49245.096655164656</v>
      </c>
      <c r="AR33" s="98">
        <f t="shared" si="4"/>
        <v>19318.768779824226</v>
      </c>
      <c r="AS33" s="98">
        <f t="shared" si="4"/>
        <v>4355.6048421540099</v>
      </c>
      <c r="AT33" s="98">
        <f t="shared" si="4"/>
        <v>4355.6048421540099</v>
      </c>
      <c r="AU33" s="100">
        <f t="shared" si="3"/>
        <v>27211405.66202889</v>
      </c>
    </row>
    <row r="34" spans="1:47" x14ac:dyDescent="0.2">
      <c r="A34" s="128">
        <f>A33+1</f>
        <v>5</v>
      </c>
      <c r="B34" s="2"/>
      <c r="C34" s="2" t="s">
        <v>9</v>
      </c>
      <c r="D34" s="114"/>
      <c r="E34" s="40">
        <f>E49*$F12</f>
        <v>2416670.0215629293</v>
      </c>
      <c r="F34" s="96">
        <f t="shared" ref="F34:AT34" si="5">F49*$F12</f>
        <v>2340226.8157204553</v>
      </c>
      <c r="G34" s="96">
        <f t="shared" si="5"/>
        <v>2256252.5843957569</v>
      </c>
      <c r="H34" s="96">
        <f t="shared" si="5"/>
        <v>2174959.3672673269</v>
      </c>
      <c r="I34" s="96">
        <f t="shared" si="5"/>
        <v>2096146.4742129873</v>
      </c>
      <c r="J34" s="96">
        <f t="shared" si="5"/>
        <v>2019628.6528122679</v>
      </c>
      <c r="K34" s="96">
        <f t="shared" si="5"/>
        <v>1945233.5153961184</v>
      </c>
      <c r="L34" s="96">
        <f t="shared" si="5"/>
        <v>1872801.5390469097</v>
      </c>
      <c r="M34" s="96">
        <f t="shared" si="5"/>
        <v>1801465.6395188244</v>
      </c>
      <c r="N34" s="96">
        <f t="shared" si="5"/>
        <v>1730286.6899580827</v>
      </c>
      <c r="O34" s="96">
        <f t="shared" si="5"/>
        <v>1659107.7403973413</v>
      </c>
      <c r="P34" s="96">
        <f t="shared" si="5"/>
        <v>1587928.7908366004</v>
      </c>
      <c r="Q34" s="96">
        <f t="shared" si="5"/>
        <v>1516749.8412758587</v>
      </c>
      <c r="R34" s="96">
        <f t="shared" si="5"/>
        <v>1445570.8917151175</v>
      </c>
      <c r="S34" s="96">
        <f t="shared" si="5"/>
        <v>1374391.9421543758</v>
      </c>
      <c r="T34" s="96">
        <f t="shared" si="5"/>
        <v>1303212.9925936344</v>
      </c>
      <c r="U34" s="96">
        <f t="shared" si="5"/>
        <v>1232034.043032893</v>
      </c>
      <c r="V34" s="96">
        <f t="shared" si="5"/>
        <v>1160855.0934721513</v>
      </c>
      <c r="W34" s="96">
        <f t="shared" si="5"/>
        <v>1089676.1439114101</v>
      </c>
      <c r="X34" s="96">
        <f t="shared" si="5"/>
        <v>1018497.1943506685</v>
      </c>
      <c r="Y34" s="96">
        <f t="shared" si="5"/>
        <v>953058.49687426013</v>
      </c>
      <c r="Z34" s="96">
        <f t="shared" si="5"/>
        <v>899097.73061623366</v>
      </c>
      <c r="AA34" s="96">
        <f t="shared" si="5"/>
        <v>850877.21644254017</v>
      </c>
      <c r="AB34" s="96">
        <f t="shared" si="5"/>
        <v>802656.70226884692</v>
      </c>
      <c r="AC34" s="96">
        <f t="shared" si="5"/>
        <v>754436.18809515343</v>
      </c>
      <c r="AD34" s="96">
        <f t="shared" si="5"/>
        <v>706215.67392146005</v>
      </c>
      <c r="AE34" s="96">
        <f t="shared" si="5"/>
        <v>657995.15974776656</v>
      </c>
      <c r="AF34" s="96">
        <f t="shared" si="5"/>
        <v>609774.64557407319</v>
      </c>
      <c r="AG34" s="96">
        <f t="shared" si="5"/>
        <v>561554.13140037982</v>
      </c>
      <c r="AH34" s="96">
        <f t="shared" si="5"/>
        <v>513333.61722668633</v>
      </c>
      <c r="AI34" s="96">
        <f t="shared" si="5"/>
        <v>465113.1030529929</v>
      </c>
      <c r="AJ34" s="96">
        <f t="shared" si="5"/>
        <v>416892.58887929952</v>
      </c>
      <c r="AK34" s="96">
        <f t="shared" si="5"/>
        <v>368672.07470560609</v>
      </c>
      <c r="AL34" s="96">
        <f t="shared" si="5"/>
        <v>320451.56053191266</v>
      </c>
      <c r="AM34" s="96">
        <f t="shared" si="5"/>
        <v>272231.04635821923</v>
      </c>
      <c r="AN34" s="96">
        <f t="shared" si="5"/>
        <v>224010.5321845258</v>
      </c>
      <c r="AO34" s="96">
        <f t="shared" si="5"/>
        <v>175790.01801083237</v>
      </c>
      <c r="AP34" s="96">
        <f t="shared" si="5"/>
        <v>127569.50383713895</v>
      </c>
      <c r="AQ34" s="96">
        <f t="shared" si="5"/>
        <v>79348.989663445522</v>
      </c>
      <c r="AR34" s="96">
        <f t="shared" si="5"/>
        <v>31128.475489752112</v>
      </c>
      <c r="AS34" s="96">
        <f t="shared" si="5"/>
        <v>7018.2184029054015</v>
      </c>
      <c r="AT34" s="96">
        <f t="shared" si="5"/>
        <v>7018.2184029054015</v>
      </c>
      <c r="AU34" s="100">
        <f t="shared" si="3"/>
        <v>43845939.865318649</v>
      </c>
    </row>
    <row r="35" spans="1:47" x14ac:dyDescent="0.2">
      <c r="A35" s="128">
        <f>A34+1</f>
        <v>6</v>
      </c>
      <c r="B35" s="2"/>
      <c r="C35" s="2" t="s">
        <v>58</v>
      </c>
      <c r="D35" s="114"/>
      <c r="E35" s="38">
        <f>E32+E33+E34</f>
        <v>3916489.3551206244</v>
      </c>
      <c r="F35" s="98">
        <f>F32+F33+F34</f>
        <v>3792604.4228452113</v>
      </c>
      <c r="G35" s="98">
        <f>G32+G33+G34</f>
        <v>3656514.6049747025</v>
      </c>
      <c r="H35" s="98">
        <f t="shared" ref="H35:AT35" si="6">H32+H33+H34</f>
        <v>3524769.6763389353</v>
      </c>
      <c r="I35" s="98">
        <f t="shared" si="6"/>
        <v>3397044.3957092054</v>
      </c>
      <c r="J35" s="98">
        <f t="shared" si="6"/>
        <v>3273038.5404128637</v>
      </c>
      <c r="K35" s="98">
        <f t="shared" si="6"/>
        <v>3152472.7365739727</v>
      </c>
      <c r="L35" s="98">
        <f t="shared" si="6"/>
        <v>3035088.4591133031</v>
      </c>
      <c r="M35" s="98">
        <f t="shared" si="6"/>
        <v>2919480.4991324805</v>
      </c>
      <c r="N35" s="98">
        <f t="shared" si="6"/>
        <v>2804126.894471542</v>
      </c>
      <c r="O35" s="98">
        <f t="shared" si="6"/>
        <v>2688773.2898106035</v>
      </c>
      <c r="P35" s="98">
        <f t="shared" si="6"/>
        <v>2573419.6851496659</v>
      </c>
      <c r="Q35" s="98">
        <f t="shared" si="6"/>
        <v>2458066.080488727</v>
      </c>
      <c r="R35" s="98">
        <f t="shared" si="6"/>
        <v>2342712.4758277889</v>
      </c>
      <c r="S35" s="98">
        <f t="shared" si="6"/>
        <v>2227358.8711668504</v>
      </c>
      <c r="T35" s="98">
        <f t="shared" si="6"/>
        <v>2112005.2665059119</v>
      </c>
      <c r="U35" s="98">
        <f t="shared" si="6"/>
        <v>1996651.6618449735</v>
      </c>
      <c r="V35" s="98">
        <f t="shared" si="6"/>
        <v>1881298.0571840347</v>
      </c>
      <c r="W35" s="98">
        <f t="shared" si="6"/>
        <v>1765944.4525230965</v>
      </c>
      <c r="X35" s="98">
        <f t="shared" si="6"/>
        <v>1650590.847862158</v>
      </c>
      <c r="Y35" s="98">
        <f t="shared" si="6"/>
        <v>1544539.9762940314</v>
      </c>
      <c r="Z35" s="98">
        <f t="shared" si="6"/>
        <v>1457090.4011521856</v>
      </c>
      <c r="AA35" s="98">
        <f t="shared" si="6"/>
        <v>1378943.5591031518</v>
      </c>
      <c r="AB35" s="98">
        <f t="shared" si="6"/>
        <v>1300796.7170541182</v>
      </c>
      <c r="AC35" s="98">
        <f t="shared" si="6"/>
        <v>1222649.8750050841</v>
      </c>
      <c r="AD35" s="98">
        <f t="shared" si="6"/>
        <v>1144503.0329560502</v>
      </c>
      <c r="AE35" s="98">
        <f t="shared" si="6"/>
        <v>1066356.1909070164</v>
      </c>
      <c r="AF35" s="98">
        <f t="shared" si="6"/>
        <v>988209.34885798255</v>
      </c>
      <c r="AG35" s="98">
        <f t="shared" si="6"/>
        <v>910062.50680894882</v>
      </c>
      <c r="AH35" s="98">
        <f t="shared" si="6"/>
        <v>831915.66475991486</v>
      </c>
      <c r="AI35" s="98">
        <f t="shared" si="6"/>
        <v>753768.82271088101</v>
      </c>
      <c r="AJ35" s="98">
        <f t="shared" si="6"/>
        <v>675621.98066184716</v>
      </c>
      <c r="AK35" s="98">
        <f t="shared" si="6"/>
        <v>597475.13861281332</v>
      </c>
      <c r="AL35" s="98">
        <f t="shared" si="6"/>
        <v>519328.29656377947</v>
      </c>
      <c r="AM35" s="98">
        <f t="shared" si="6"/>
        <v>441181.45451474562</v>
      </c>
      <c r="AN35" s="98">
        <f t="shared" si="6"/>
        <v>363034.61246571178</v>
      </c>
      <c r="AO35" s="98">
        <f t="shared" si="6"/>
        <v>284887.77041667787</v>
      </c>
      <c r="AP35" s="98">
        <f t="shared" si="6"/>
        <v>206740.92836764402</v>
      </c>
      <c r="AQ35" s="98">
        <f t="shared" si="6"/>
        <v>128594.08631861018</v>
      </c>
      <c r="AR35" s="98">
        <f t="shared" si="6"/>
        <v>50447.244269576338</v>
      </c>
      <c r="AS35" s="98">
        <f t="shared" si="6"/>
        <v>11373.823245059411</v>
      </c>
      <c r="AT35" s="98">
        <f t="shared" si="6"/>
        <v>11373.823245059411</v>
      </c>
      <c r="AU35" s="100">
        <f t="shared" si="3"/>
        <v>71057345.52734755</v>
      </c>
    </row>
    <row r="36" spans="1:47" x14ac:dyDescent="0.2">
      <c r="A36" s="2"/>
      <c r="B36" s="2"/>
      <c r="C36" s="2"/>
      <c r="D36" s="114"/>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3"/>
        <v>0</v>
      </c>
    </row>
    <row r="37" spans="1:47" x14ac:dyDescent="0.2">
      <c r="A37" s="128">
        <f>A35+1</f>
        <v>7</v>
      </c>
      <c r="B37" s="2" t="s">
        <v>59</v>
      </c>
      <c r="C37" s="2"/>
      <c r="D37" s="114"/>
      <c r="E37" s="41">
        <f>E27+E29+E35</f>
        <v>5897461.6597003471</v>
      </c>
      <c r="F37" s="95">
        <f>F27+F29+F35</f>
        <v>5753256.3815680742</v>
      </c>
      <c r="G37" s="95">
        <f t="shared" ref="G37:AT37" si="7">G27+G29+G35</f>
        <v>5594844.2996745445</v>
      </c>
      <c r="H37" s="95">
        <f t="shared" si="7"/>
        <v>5441489.7816755231</v>
      </c>
      <c r="I37" s="95">
        <f t="shared" si="7"/>
        <v>5292814.2383351466</v>
      </c>
      <c r="J37" s="95">
        <f t="shared" si="7"/>
        <v>5148468.2026664615</v>
      </c>
      <c r="K37" s="95">
        <f t="shared" si="7"/>
        <v>5008126.4762232779</v>
      </c>
      <c r="L37" s="95">
        <f t="shared" si="7"/>
        <v>4871488.1291001607</v>
      </c>
      <c r="M37" s="95">
        <f t="shared" si="7"/>
        <v>4736917.4616498463</v>
      </c>
      <c r="N37" s="95">
        <f t="shared" si="7"/>
        <v>4602642.8703968124</v>
      </c>
      <c r="O37" s="95">
        <f t="shared" si="7"/>
        <v>4468368.2791437777</v>
      </c>
      <c r="P37" s="95">
        <f t="shared" si="7"/>
        <v>4334093.6878907448</v>
      </c>
      <c r="Q37" s="95">
        <f t="shared" si="7"/>
        <v>4199819.0966377091</v>
      </c>
      <c r="R37" s="95">
        <f t="shared" si="7"/>
        <v>4065544.5053846762</v>
      </c>
      <c r="S37" s="95">
        <f t="shared" si="7"/>
        <v>3931269.9141316414</v>
      </c>
      <c r="T37" s="95">
        <f t="shared" si="7"/>
        <v>3796995.3228786071</v>
      </c>
      <c r="U37" s="95">
        <f t="shared" si="7"/>
        <v>3662720.7316255728</v>
      </c>
      <c r="V37" s="95">
        <f t="shared" si="7"/>
        <v>3528446.140372538</v>
      </c>
      <c r="W37" s="95">
        <f t="shared" si="7"/>
        <v>3394171.5491195042</v>
      </c>
      <c r="X37" s="95">
        <f t="shared" si="7"/>
        <v>3259896.9578664699</v>
      </c>
      <c r="Y37" s="95">
        <f t="shared" si="7"/>
        <v>3136450.9895008169</v>
      </c>
      <c r="Z37" s="95">
        <f t="shared" si="7"/>
        <v>3034657.4132017745</v>
      </c>
      <c r="AA37" s="95">
        <f t="shared" si="7"/>
        <v>2943692.4597901134</v>
      </c>
      <c r="AB37" s="95">
        <f t="shared" si="7"/>
        <v>2852727.5063784523</v>
      </c>
      <c r="AC37" s="95">
        <f t="shared" si="7"/>
        <v>2761762.5529667907</v>
      </c>
      <c r="AD37" s="95">
        <f t="shared" si="7"/>
        <v>2670797.5995551297</v>
      </c>
      <c r="AE37" s="95">
        <f t="shared" si="7"/>
        <v>2579832.6461434681</v>
      </c>
      <c r="AF37" s="95">
        <f t="shared" si="7"/>
        <v>2488867.692731807</v>
      </c>
      <c r="AG37" s="95">
        <f t="shared" si="7"/>
        <v>2397902.7393201459</v>
      </c>
      <c r="AH37" s="95">
        <f t="shared" si="7"/>
        <v>2306937.7859084848</v>
      </c>
      <c r="AI37" s="95">
        <f t="shared" si="7"/>
        <v>2215972.8324968237</v>
      </c>
      <c r="AJ37" s="95">
        <f t="shared" si="7"/>
        <v>2125007.8790851622</v>
      </c>
      <c r="AK37" s="95">
        <f t="shared" si="7"/>
        <v>2034042.9256735011</v>
      </c>
      <c r="AL37" s="95">
        <f t="shared" si="7"/>
        <v>1943077.9722618398</v>
      </c>
      <c r="AM37" s="95">
        <f t="shared" si="7"/>
        <v>1852113.0188501787</v>
      </c>
      <c r="AN37" s="95">
        <f t="shared" si="7"/>
        <v>1761148.0654385174</v>
      </c>
      <c r="AO37" s="95">
        <f t="shared" si="7"/>
        <v>1670183.1120268563</v>
      </c>
      <c r="AP37" s="95">
        <f t="shared" si="7"/>
        <v>1579218.158615195</v>
      </c>
      <c r="AQ37" s="95">
        <f t="shared" si="7"/>
        <v>1488253.2052035339</v>
      </c>
      <c r="AR37" s="95">
        <f t="shared" si="7"/>
        <v>1397288.2517918725</v>
      </c>
      <c r="AS37" s="95">
        <f t="shared" si="7"/>
        <v>13239.425605325405</v>
      </c>
      <c r="AT37" s="95">
        <f t="shared" si="7"/>
        <v>13239.425605325405</v>
      </c>
      <c r="AU37" s="100">
        <f t="shared" si="3"/>
        <v>136255249.34419262</v>
      </c>
    </row>
    <row r="38" spans="1:47" x14ac:dyDescent="0.2">
      <c r="A38" s="128">
        <f>A37+1</f>
        <v>8</v>
      </c>
      <c r="B38" s="2" t="s">
        <v>60</v>
      </c>
      <c r="C38" s="2"/>
      <c r="D38" s="114"/>
      <c r="E38" s="40">
        <f>E37/(1-$F16)-E37</f>
        <v>280782.67005436216</v>
      </c>
      <c r="F38" s="96">
        <f t="shared" ref="F38:AT38" si="8">F37/(1-$F16)-F37</f>
        <v>273916.94622836448</v>
      </c>
      <c r="G38" s="96">
        <f t="shared" si="8"/>
        <v>266374.82558570243</v>
      </c>
      <c r="H38" s="96">
        <f t="shared" si="8"/>
        <v>259073.49943670724</v>
      </c>
      <c r="I38" s="96">
        <f t="shared" si="8"/>
        <v>251994.94285766967</v>
      </c>
      <c r="J38" s="96">
        <f t="shared" si="8"/>
        <v>245122.51745747216</v>
      </c>
      <c r="K38" s="96">
        <f t="shared" si="8"/>
        <v>238440.74028882571</v>
      </c>
      <c r="L38" s="96">
        <f t="shared" si="8"/>
        <v>231935.28384826705</v>
      </c>
      <c r="M38" s="96">
        <f t="shared" si="8"/>
        <v>225528.2712218184</v>
      </c>
      <c r="N38" s="96">
        <f t="shared" si="8"/>
        <v>219135.35501006618</v>
      </c>
      <c r="O38" s="96">
        <f t="shared" si="8"/>
        <v>212742.43879831396</v>
      </c>
      <c r="P38" s="96">
        <f t="shared" si="8"/>
        <v>206349.52258656267</v>
      </c>
      <c r="Q38" s="96">
        <f t="shared" si="8"/>
        <v>199956.60637481045</v>
      </c>
      <c r="R38" s="96">
        <f t="shared" si="8"/>
        <v>193563.69016305823</v>
      </c>
      <c r="S38" s="96">
        <f t="shared" si="8"/>
        <v>187170.77395130554</v>
      </c>
      <c r="T38" s="96">
        <f t="shared" si="8"/>
        <v>180777.85773955379</v>
      </c>
      <c r="U38" s="96">
        <f t="shared" si="8"/>
        <v>174384.94152780157</v>
      </c>
      <c r="V38" s="96">
        <f t="shared" si="8"/>
        <v>167992.02531604934</v>
      </c>
      <c r="W38" s="96">
        <f t="shared" si="8"/>
        <v>161599.10910429712</v>
      </c>
      <c r="X38" s="96">
        <f t="shared" si="8"/>
        <v>155206.1928925449</v>
      </c>
      <c r="Y38" s="96">
        <f t="shared" si="8"/>
        <v>149328.83571665874</v>
      </c>
      <c r="Z38" s="96">
        <f t="shared" si="8"/>
        <v>144482.36552373832</v>
      </c>
      <c r="AA38" s="96">
        <f t="shared" si="8"/>
        <v>140151.45436668396</v>
      </c>
      <c r="AB38" s="96">
        <f t="shared" si="8"/>
        <v>135820.5432096296</v>
      </c>
      <c r="AC38" s="96">
        <f t="shared" si="8"/>
        <v>131489.63205257524</v>
      </c>
      <c r="AD38" s="96">
        <f t="shared" si="8"/>
        <v>127158.72089552088</v>
      </c>
      <c r="AE38" s="96">
        <f t="shared" si="8"/>
        <v>122827.80973846652</v>
      </c>
      <c r="AF38" s="96">
        <f t="shared" si="8"/>
        <v>118496.89858141169</v>
      </c>
      <c r="AG38" s="96">
        <f t="shared" si="8"/>
        <v>114165.98742435733</v>
      </c>
      <c r="AH38" s="96">
        <f t="shared" si="8"/>
        <v>109835.07626730297</v>
      </c>
      <c r="AI38" s="96">
        <f t="shared" si="8"/>
        <v>105504.16511024861</v>
      </c>
      <c r="AJ38" s="96">
        <f t="shared" si="8"/>
        <v>101173.25395319425</v>
      </c>
      <c r="AK38" s="96">
        <f t="shared" si="8"/>
        <v>96842.342796139885</v>
      </c>
      <c r="AL38" s="96">
        <f t="shared" si="8"/>
        <v>92511.431639085291</v>
      </c>
      <c r="AM38" s="96">
        <f t="shared" si="8"/>
        <v>88180.52048203093</v>
      </c>
      <c r="AN38" s="96">
        <f t="shared" si="8"/>
        <v>83849.609324976569</v>
      </c>
      <c r="AO38" s="96">
        <f t="shared" si="8"/>
        <v>79518.698167922208</v>
      </c>
      <c r="AP38" s="96">
        <f t="shared" si="8"/>
        <v>75187.787010867614</v>
      </c>
      <c r="AQ38" s="96">
        <f t="shared" si="8"/>
        <v>70856.875853813253</v>
      </c>
      <c r="AR38" s="96">
        <f t="shared" si="8"/>
        <v>66525.964696758892</v>
      </c>
      <c r="AS38" s="96">
        <f t="shared" si="8"/>
        <v>630.33920116035915</v>
      </c>
      <c r="AT38" s="96">
        <f t="shared" si="8"/>
        <v>630.33920116035915</v>
      </c>
      <c r="AU38" s="100">
        <f t="shared" si="3"/>
        <v>6487216.8616572544</v>
      </c>
    </row>
    <row r="39" spans="1:47" x14ac:dyDescent="0.2">
      <c r="A39" s="128">
        <f>A38+1</f>
        <v>9</v>
      </c>
      <c r="B39" s="2"/>
      <c r="C39" s="2" t="s">
        <v>61</v>
      </c>
      <c r="D39" s="114"/>
      <c r="E39" s="41">
        <f>SUM(E37:E38)</f>
        <v>6178244.3297547093</v>
      </c>
      <c r="F39" s="95">
        <f t="shared" ref="F39:AT39" si="9">SUM(F37:F38)</f>
        <v>6027173.3277964387</v>
      </c>
      <c r="G39" s="95">
        <f t="shared" si="9"/>
        <v>5861219.1252602469</v>
      </c>
      <c r="H39" s="95">
        <f t="shared" si="9"/>
        <v>5700563.2811122304</v>
      </c>
      <c r="I39" s="95">
        <f t="shared" si="9"/>
        <v>5544809.1811928162</v>
      </c>
      <c r="J39" s="95">
        <f t="shared" si="9"/>
        <v>5393590.7201239336</v>
      </c>
      <c r="K39" s="95">
        <f t="shared" si="9"/>
        <v>5246567.2165121036</v>
      </c>
      <c r="L39" s="95">
        <f t="shared" si="9"/>
        <v>5103423.4129484277</v>
      </c>
      <c r="M39" s="95">
        <f t="shared" si="9"/>
        <v>4962445.7328716647</v>
      </c>
      <c r="N39" s="95">
        <f t="shared" si="9"/>
        <v>4821778.2254068786</v>
      </c>
      <c r="O39" s="95">
        <f t="shared" si="9"/>
        <v>4681110.7179420916</v>
      </c>
      <c r="P39" s="95">
        <f t="shared" si="9"/>
        <v>4540443.2104773074</v>
      </c>
      <c r="Q39" s="95">
        <f t="shared" si="9"/>
        <v>4399775.7030125195</v>
      </c>
      <c r="R39" s="95">
        <f t="shared" si="9"/>
        <v>4259108.1955477344</v>
      </c>
      <c r="S39" s="95">
        <f t="shared" si="9"/>
        <v>4118440.6880829469</v>
      </c>
      <c r="T39" s="95">
        <f t="shared" si="9"/>
        <v>3977773.1806181609</v>
      </c>
      <c r="U39" s="95">
        <f t="shared" si="9"/>
        <v>3837105.6731533743</v>
      </c>
      <c r="V39" s="95">
        <f t="shared" si="9"/>
        <v>3696438.1656885874</v>
      </c>
      <c r="W39" s="95">
        <f t="shared" si="9"/>
        <v>3555770.6582238013</v>
      </c>
      <c r="X39" s="95">
        <f t="shared" si="9"/>
        <v>3415103.1507590148</v>
      </c>
      <c r="Y39" s="95">
        <f t="shared" si="9"/>
        <v>3285779.8252174756</v>
      </c>
      <c r="Z39" s="95">
        <f t="shared" si="9"/>
        <v>3179139.7787255128</v>
      </c>
      <c r="AA39" s="95">
        <f t="shared" si="9"/>
        <v>3083843.9141567973</v>
      </c>
      <c r="AB39" s="95">
        <f t="shared" si="9"/>
        <v>2988548.0495880819</v>
      </c>
      <c r="AC39" s="95">
        <f t="shared" si="9"/>
        <v>2893252.185019366</v>
      </c>
      <c r="AD39" s="95">
        <f t="shared" si="9"/>
        <v>2797956.3204506505</v>
      </c>
      <c r="AE39" s="95">
        <f t="shared" si="9"/>
        <v>2702660.4558819346</v>
      </c>
      <c r="AF39" s="95">
        <f t="shared" si="9"/>
        <v>2607364.5913132187</v>
      </c>
      <c r="AG39" s="95">
        <f t="shared" si="9"/>
        <v>2512068.7267445032</v>
      </c>
      <c r="AH39" s="95">
        <f t="shared" si="9"/>
        <v>2416772.8621757878</v>
      </c>
      <c r="AI39" s="95">
        <f t="shared" si="9"/>
        <v>2321476.9976070723</v>
      </c>
      <c r="AJ39" s="95">
        <f t="shared" si="9"/>
        <v>2226181.1330383564</v>
      </c>
      <c r="AK39" s="95">
        <f t="shared" si="9"/>
        <v>2130885.268469641</v>
      </c>
      <c r="AL39" s="95">
        <f t="shared" si="9"/>
        <v>2035589.4039009251</v>
      </c>
      <c r="AM39" s="95">
        <f t="shared" si="9"/>
        <v>1940293.5393322096</v>
      </c>
      <c r="AN39" s="95">
        <f t="shared" si="9"/>
        <v>1844997.6747634939</v>
      </c>
      <c r="AO39" s="95">
        <f t="shared" si="9"/>
        <v>1749701.8101947785</v>
      </c>
      <c r="AP39" s="95">
        <f t="shared" si="9"/>
        <v>1654405.9456260626</v>
      </c>
      <c r="AQ39" s="95">
        <f t="shared" si="9"/>
        <v>1559110.0810573471</v>
      </c>
      <c r="AR39" s="95">
        <f t="shared" si="9"/>
        <v>1463814.2164886314</v>
      </c>
      <c r="AS39" s="95">
        <f t="shared" si="9"/>
        <v>13869.764806485764</v>
      </c>
      <c r="AT39" s="95">
        <f t="shared" si="9"/>
        <v>13869.764806485764</v>
      </c>
      <c r="AU39" s="100">
        <f t="shared" si="3"/>
        <v>142742466.2058498</v>
      </c>
    </row>
    <row r="40" spans="1:47" x14ac:dyDescent="0.2">
      <c r="A40" s="128">
        <f t="shared" ref="A40:A66" si="10">A39+1</f>
        <v>10</v>
      </c>
      <c r="B40" s="2"/>
      <c r="C40" s="2"/>
      <c r="D40" s="114"/>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3"/>
        <v>0</v>
      </c>
    </row>
    <row r="41" spans="1:47" x14ac:dyDescent="0.2">
      <c r="A41" s="128">
        <f t="shared" si="10"/>
        <v>11</v>
      </c>
      <c r="B41" s="2"/>
      <c r="C41" s="2"/>
      <c r="D41" s="114"/>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3"/>
        <v>0</v>
      </c>
    </row>
    <row r="42" spans="1:47" x14ac:dyDescent="0.2">
      <c r="A42" s="128">
        <f t="shared" si="10"/>
        <v>12</v>
      </c>
      <c r="B42" s="2" t="s">
        <v>140</v>
      </c>
      <c r="C42" s="2"/>
      <c r="D42" s="114"/>
      <c r="E42" s="40">
        <f>E39</f>
        <v>6178244.3297547093</v>
      </c>
      <c r="F42" s="96">
        <f>F39</f>
        <v>6027173.3277964387</v>
      </c>
      <c r="G42" s="96">
        <f t="shared" ref="G42:AT42" si="11">G39</f>
        <v>5861219.1252602469</v>
      </c>
      <c r="H42" s="96">
        <f t="shared" si="11"/>
        <v>5700563.2811122304</v>
      </c>
      <c r="I42" s="96">
        <f t="shared" si="11"/>
        <v>5544809.1811928162</v>
      </c>
      <c r="J42" s="96">
        <f t="shared" si="11"/>
        <v>5393590.7201239336</v>
      </c>
      <c r="K42" s="96">
        <f t="shared" si="11"/>
        <v>5246567.2165121036</v>
      </c>
      <c r="L42" s="96">
        <f t="shared" si="11"/>
        <v>5103423.4129484277</v>
      </c>
      <c r="M42" s="96">
        <f t="shared" si="11"/>
        <v>4962445.7328716647</v>
      </c>
      <c r="N42" s="96">
        <f t="shared" si="11"/>
        <v>4821778.2254068786</v>
      </c>
      <c r="O42" s="96">
        <f t="shared" si="11"/>
        <v>4681110.7179420916</v>
      </c>
      <c r="P42" s="96">
        <f t="shared" si="11"/>
        <v>4540443.2104773074</v>
      </c>
      <c r="Q42" s="96">
        <f t="shared" si="11"/>
        <v>4399775.7030125195</v>
      </c>
      <c r="R42" s="96">
        <f t="shared" si="11"/>
        <v>4259108.1955477344</v>
      </c>
      <c r="S42" s="96">
        <f t="shared" si="11"/>
        <v>4118440.6880829469</v>
      </c>
      <c r="T42" s="96">
        <f t="shared" si="11"/>
        <v>3977773.1806181609</v>
      </c>
      <c r="U42" s="96">
        <f t="shared" si="11"/>
        <v>3837105.6731533743</v>
      </c>
      <c r="V42" s="96">
        <f t="shared" si="11"/>
        <v>3696438.1656885874</v>
      </c>
      <c r="W42" s="96">
        <f t="shared" si="11"/>
        <v>3555770.6582238013</v>
      </c>
      <c r="X42" s="96">
        <f t="shared" si="11"/>
        <v>3415103.1507590148</v>
      </c>
      <c r="Y42" s="96">
        <f t="shared" si="11"/>
        <v>3285779.8252174756</v>
      </c>
      <c r="Z42" s="96">
        <f t="shared" si="11"/>
        <v>3179139.7787255128</v>
      </c>
      <c r="AA42" s="96">
        <f t="shared" si="11"/>
        <v>3083843.9141567973</v>
      </c>
      <c r="AB42" s="96">
        <f t="shared" si="11"/>
        <v>2988548.0495880819</v>
      </c>
      <c r="AC42" s="96">
        <f t="shared" si="11"/>
        <v>2893252.185019366</v>
      </c>
      <c r="AD42" s="96">
        <f t="shared" si="11"/>
        <v>2797956.3204506505</v>
      </c>
      <c r="AE42" s="96">
        <f t="shared" si="11"/>
        <v>2702660.4558819346</v>
      </c>
      <c r="AF42" s="96">
        <f t="shared" si="11"/>
        <v>2607364.5913132187</v>
      </c>
      <c r="AG42" s="96">
        <f t="shared" si="11"/>
        <v>2512068.7267445032</v>
      </c>
      <c r="AH42" s="96">
        <f t="shared" si="11"/>
        <v>2416772.8621757878</v>
      </c>
      <c r="AI42" s="96">
        <f t="shared" si="11"/>
        <v>2321476.9976070723</v>
      </c>
      <c r="AJ42" s="96">
        <f t="shared" si="11"/>
        <v>2226181.1330383564</v>
      </c>
      <c r="AK42" s="96">
        <f t="shared" si="11"/>
        <v>2130885.268469641</v>
      </c>
      <c r="AL42" s="96">
        <f t="shared" si="11"/>
        <v>2035589.4039009251</v>
      </c>
      <c r="AM42" s="96">
        <f t="shared" si="11"/>
        <v>1940293.5393322096</v>
      </c>
      <c r="AN42" s="96">
        <f t="shared" si="11"/>
        <v>1844997.6747634939</v>
      </c>
      <c r="AO42" s="96">
        <f t="shared" si="11"/>
        <v>1749701.8101947785</v>
      </c>
      <c r="AP42" s="96">
        <f t="shared" si="11"/>
        <v>1654405.9456260626</v>
      </c>
      <c r="AQ42" s="96">
        <f t="shared" si="11"/>
        <v>1559110.0810573471</v>
      </c>
      <c r="AR42" s="96">
        <f t="shared" si="11"/>
        <v>1463814.2164886314</v>
      </c>
      <c r="AS42" s="96">
        <f t="shared" si="11"/>
        <v>13869.764806485764</v>
      </c>
      <c r="AT42" s="96">
        <f t="shared" si="11"/>
        <v>13869.764806485764</v>
      </c>
      <c r="AU42" s="100">
        <f t="shared" si="3"/>
        <v>142742466.2058498</v>
      </c>
    </row>
    <row r="43" spans="1:47" x14ac:dyDescent="0.2">
      <c r="A43" s="128">
        <f t="shared" si="10"/>
        <v>13</v>
      </c>
      <c r="B43" s="2"/>
      <c r="C43" s="2"/>
      <c r="D43" s="114"/>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8">
        <f t="shared" si="10"/>
        <v>14</v>
      </c>
      <c r="B44" s="2"/>
      <c r="C44" s="2"/>
      <c r="D44" s="114"/>
      <c r="E44" s="43"/>
      <c r="F44" s="11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8">
        <f t="shared" si="10"/>
        <v>15</v>
      </c>
      <c r="B45" s="2" t="s">
        <v>63</v>
      </c>
      <c r="C45" s="114"/>
      <c r="D45" s="114"/>
      <c r="E45" s="45">
        <f>+E42/$F$22</f>
        <v>0.11497087227476442</v>
      </c>
      <c r="F45" s="97">
        <f t="shared" ref="F45:AT45" si="12">+F42/$F$22</f>
        <v>0.11215959386887227</v>
      </c>
      <c r="G45" s="97">
        <f t="shared" si="12"/>
        <v>0.1090713541676097</v>
      </c>
      <c r="H45" s="97">
        <f t="shared" si="12"/>
        <v>0.10608171155202388</v>
      </c>
      <c r="I45" s="97">
        <f t="shared" si="12"/>
        <v>0.10318328543412757</v>
      </c>
      <c r="J45" s="97">
        <f t="shared" si="12"/>
        <v>0.1003692629634709</v>
      </c>
      <c r="K45" s="97">
        <f t="shared" si="12"/>
        <v>9.7633304404218649E-2</v>
      </c>
      <c r="L45" s="97">
        <f t="shared" si="12"/>
        <v>9.4969543135150034E-2</v>
      </c>
      <c r="M45" s="97">
        <f t="shared" si="12"/>
        <v>9.234609123124296E-2</v>
      </c>
      <c r="N45" s="97">
        <f t="shared" si="12"/>
        <v>8.9728411325633681E-2</v>
      </c>
      <c r="O45" s="97">
        <f t="shared" si="12"/>
        <v>8.7110731420024373E-2</v>
      </c>
      <c r="P45" s="97">
        <f t="shared" si="12"/>
        <v>8.4493051514415121E-2</v>
      </c>
      <c r="Q45" s="97">
        <f t="shared" si="12"/>
        <v>8.1875371608805814E-2</v>
      </c>
      <c r="R45" s="97">
        <f t="shared" si="12"/>
        <v>7.9257691703196548E-2</v>
      </c>
      <c r="S45" s="97">
        <f t="shared" si="12"/>
        <v>7.664001179758724E-2</v>
      </c>
      <c r="T45" s="97">
        <f t="shared" si="12"/>
        <v>7.402233189197796E-2</v>
      </c>
      <c r="U45" s="97">
        <f t="shared" si="12"/>
        <v>7.1404651986368667E-2</v>
      </c>
      <c r="V45" s="97">
        <f t="shared" si="12"/>
        <v>6.8786972080759373E-2</v>
      </c>
      <c r="W45" s="97">
        <f t="shared" si="12"/>
        <v>6.616929217515008E-2</v>
      </c>
      <c r="X45" s="97">
        <f t="shared" si="12"/>
        <v>6.35516122695408E-2</v>
      </c>
      <c r="Y45" s="97">
        <f t="shared" si="12"/>
        <v>6.1145036104953532E-2</v>
      </c>
      <c r="Z45" s="97">
        <f t="shared" si="12"/>
        <v>5.9160572799487408E-2</v>
      </c>
      <c r="AA45" s="97">
        <f t="shared" si="12"/>
        <v>5.7387213235043304E-2</v>
      </c>
      <c r="AB45" s="97">
        <f t="shared" si="12"/>
        <v>5.5613853670599206E-2</v>
      </c>
      <c r="AC45" s="97">
        <f t="shared" si="12"/>
        <v>5.3840494106155101E-2</v>
      </c>
      <c r="AD45" s="97">
        <f t="shared" si="12"/>
        <v>5.2067134541711003E-2</v>
      </c>
      <c r="AE45" s="97">
        <f t="shared" si="12"/>
        <v>5.0293774977266899E-2</v>
      </c>
      <c r="AF45" s="97">
        <f t="shared" si="12"/>
        <v>4.8520415412822787E-2</v>
      </c>
      <c r="AG45" s="97">
        <f t="shared" si="12"/>
        <v>4.6747055848378689E-2</v>
      </c>
      <c r="AH45" s="97">
        <f t="shared" si="12"/>
        <v>4.4973696283934592E-2</v>
      </c>
      <c r="AI45" s="97">
        <f t="shared" si="12"/>
        <v>4.3200336719490494E-2</v>
      </c>
      <c r="AJ45" s="97">
        <f t="shared" si="12"/>
        <v>4.1426977155046389E-2</v>
      </c>
      <c r="AK45" s="97">
        <f t="shared" si="12"/>
        <v>3.9653617590602291E-2</v>
      </c>
      <c r="AL45" s="97">
        <f t="shared" si="12"/>
        <v>3.788025802615818E-2</v>
      </c>
      <c r="AM45" s="97">
        <f t="shared" si="12"/>
        <v>3.6106898461714082E-2</v>
      </c>
      <c r="AN45" s="97">
        <f t="shared" si="12"/>
        <v>3.4333538897269977E-2</v>
      </c>
      <c r="AO45" s="97">
        <f t="shared" si="12"/>
        <v>3.256017933282588E-2</v>
      </c>
      <c r="AP45" s="97">
        <f t="shared" si="12"/>
        <v>3.0786819768381775E-2</v>
      </c>
      <c r="AQ45" s="97">
        <f t="shared" si="12"/>
        <v>2.9013460203937677E-2</v>
      </c>
      <c r="AR45" s="97">
        <f t="shared" si="12"/>
        <v>2.7240100639493572E-2</v>
      </c>
      <c r="AS45" s="97">
        <f t="shared" si="12"/>
        <v>2.5810228164136194E-4</v>
      </c>
      <c r="AT45" s="97">
        <f t="shared" si="12"/>
        <v>2.5810228164136194E-4</v>
      </c>
    </row>
    <row r="46" spans="1:47" outlineLevel="1" x14ac:dyDescent="0.2">
      <c r="A46" s="128">
        <f t="shared" si="10"/>
        <v>16</v>
      </c>
      <c r="B46" s="2"/>
      <c r="C46" s="2"/>
      <c r="D46" s="114"/>
      <c r="E46" s="43"/>
      <c r="F46" s="11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8">
        <f t="shared" si="10"/>
        <v>17</v>
      </c>
      <c r="B47" s="2"/>
      <c r="C47" s="2"/>
      <c r="D47" s="114"/>
      <c r="E47" s="43">
        <f>+E27/2</f>
        <v>669283.17474035826</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8">
        <f t="shared" si="10"/>
        <v>18</v>
      </c>
      <c r="B48" s="2"/>
      <c r="C48" s="2"/>
      <c r="D48" s="114"/>
      <c r="E48" s="43">
        <f>+E60/2</f>
        <v>71041.83958139988</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8">
        <f t="shared" si="10"/>
        <v>19</v>
      </c>
      <c r="B49" s="46" t="s">
        <v>64</v>
      </c>
      <c r="C49" s="2"/>
      <c r="D49" s="114"/>
      <c r="E49" s="41">
        <f>F22-E27/2-E60/2</f>
        <v>52997149.59567827</v>
      </c>
      <c r="F49" s="113">
        <f>$F$22-(SUM($E$27:E27)+F27/2)-(SUM($E$60:E60)+F60/2)</f>
        <v>51320763.502641559</v>
      </c>
      <c r="G49" s="113">
        <f>$F$22-(SUM($E$27:F27)+G27/2)-(SUM($E$60:F60)+G60/2)</f>
        <v>49479223.342012212</v>
      </c>
      <c r="H49" s="113">
        <f>$F$22-(SUM($E$27:G27)+H27/2)-(SUM($E$60:G60)+H60/2)</f>
        <v>47696477.352353655</v>
      </c>
      <c r="I49" s="113">
        <f>$F$22-(SUM($E$27:H27)+I27/2)-(SUM($E$60:H60)+I60/2)</f>
        <v>45968124.434495337</v>
      </c>
      <c r="J49" s="113">
        <f>$F$22-(SUM($E$27:I27)+J27/2)-(SUM($E$60:I60)+J60/2)</f>
        <v>44290102.035356753</v>
      </c>
      <c r="K49" s="113">
        <f>$F$22-(SUM($E$27:J27)+K27/2)-(SUM($E$60:J60)+K60/2)</f>
        <v>42658629.723599084</v>
      </c>
      <c r="L49" s="113">
        <f>$F$22-(SUM($E$27:K27)+L27/2)-(SUM($E$60:K60)+L60/2)</f>
        <v>41070209.189625211</v>
      </c>
      <c r="M49" s="113">
        <f>$F$22-(SUM($E$27:L27)+M27/2)-(SUM($E$60:L60)+M60/2)</f>
        <v>39505825.428044394</v>
      </c>
      <c r="N49" s="113">
        <f>$F$22-(SUM($E$27:M27)+N27/2)-(SUM($E$60:M60)+N60/2)</f>
        <v>37944883.551712342</v>
      </c>
      <c r="O49" s="113">
        <f>$F$22-(SUM($E$27:N27)+O27/2)-(SUM($E$60:N60)+O60/2)</f>
        <v>36383941.67538029</v>
      </c>
      <c r="P49" s="113">
        <f>$F$22-(SUM($E$27:O27)+P27/2)-(SUM($E$60:O60)+P60/2)</f>
        <v>34822999.799048252</v>
      </c>
      <c r="Q49" s="113">
        <f>$F$22-(SUM($E$27:P27)+Q27/2)-(SUM($E$60:P60)+Q60/2)</f>
        <v>33262057.9227162</v>
      </c>
      <c r="R49" s="113">
        <f>$F$22-(SUM($E$27:Q27)+R27/2)-(SUM($E$60:Q60)+R60/2)</f>
        <v>31701116.046384152</v>
      </c>
      <c r="S49" s="113">
        <f>$F$22-(SUM($E$27:R27)+S27/2)-(SUM($E$60:R60)+S60/2)</f>
        <v>30140174.1700521</v>
      </c>
      <c r="T49" s="113">
        <f>$F$22-(SUM($E$27:S27)+T27/2)-(SUM($E$60:S60)+T60/2)</f>
        <v>28579232.293720052</v>
      </c>
      <c r="U49" s="113">
        <f>$F$22-(SUM($E$27:T27)+U27/2)-(SUM($E$60:T60)+U60/2)</f>
        <v>27018290.417388003</v>
      </c>
      <c r="V49" s="113">
        <f>$F$22-(SUM($E$27:U27)+V27/2)-(SUM($E$60:U60)+V60/2)</f>
        <v>25457348.541055951</v>
      </c>
      <c r="W49" s="113">
        <f>$F$22-(SUM($E$27:V27)+W27/2)-(SUM($E$60:V60)+W60/2)</f>
        <v>23896406.664723903</v>
      </c>
      <c r="X49" s="113">
        <f>$F$22-(SUM($E$27:W27)+X27/2)-(SUM($E$60:W60)+X60/2)</f>
        <v>22335464.788391851</v>
      </c>
      <c r="Y49" s="113">
        <f>$F$22-(SUM($E$27:X27)+Y27/2)-(SUM($E$60:X60)+Y60/2)</f>
        <v>20900405.633207459</v>
      </c>
      <c r="Z49" s="113">
        <f>$F$22-(SUM($E$27:Y27)+Z27/2)-(SUM($E$60:Y60)+Z60/2)</f>
        <v>19717055.495970037</v>
      </c>
      <c r="AA49" s="113">
        <f>$F$22-(SUM($E$27:Z27)+AA27/2)-(SUM($E$60:Z60)+AA60/2)</f>
        <v>18659588.079880267</v>
      </c>
      <c r="AB49" s="113">
        <f>$F$22-(SUM($E$27:AA27)+AB27/2)-(SUM($E$60:AA60)+AB60/2)</f>
        <v>17602120.663790502</v>
      </c>
      <c r="AC49" s="113">
        <f>$F$22-(SUM($E$27:AB27)+AC27/2)-(SUM($E$60:AB60)+AC60/2)</f>
        <v>16544653.247700732</v>
      </c>
      <c r="AD49" s="113">
        <f>$F$22-(SUM($E$27:AC27)+AD27/2)-(SUM($E$60:AC60)+AD60/2)</f>
        <v>15487185.831610966</v>
      </c>
      <c r="AE49" s="113">
        <f>$F$22-(SUM($E$27:AD27)+AE27/2)-(SUM($E$60:AD60)+AE60/2)</f>
        <v>14429718.415521197</v>
      </c>
      <c r="AF49" s="113">
        <f>$F$22-(SUM($E$27:AE27)+AF27/2)-(SUM($E$60:AE60)+AF60/2)</f>
        <v>13372250.999431429</v>
      </c>
      <c r="AG49" s="113">
        <f>$F$22-(SUM($E$27:AF27)+AG27/2)-(SUM($E$60:AF60)+AG60/2)</f>
        <v>12314783.583341662</v>
      </c>
      <c r="AH49" s="113">
        <f>$F$22-(SUM($E$27:AG27)+AH27/2)-(SUM($E$60:AG60)+AH60/2)</f>
        <v>11257316.167251892</v>
      </c>
      <c r="AI49" s="113">
        <f>$F$22-(SUM($E$27:AH27)+AI27/2)-(SUM($E$60:AH60)+AI60/2)</f>
        <v>10199848.751162125</v>
      </c>
      <c r="AJ49" s="113">
        <f>$F$22-(SUM($E$27:AI27)+AJ27/2)-(SUM($E$60:AI60)+AJ60/2)</f>
        <v>9142381.3350723572</v>
      </c>
      <c r="AK49" s="113">
        <f>$F$22-(SUM($E$27:AJ27)+AK27/2)-(SUM($E$60:AJ60)+AK60/2)</f>
        <v>8084913.9189825896</v>
      </c>
      <c r="AL49" s="113">
        <f>$F$22-(SUM($E$27:AK27)+AL27/2)-(SUM($E$60:AK60)+AL60/2)</f>
        <v>7027446.5028928211</v>
      </c>
      <c r="AM49" s="113">
        <f>$F$22-(SUM($E$27:AL27)+AM27/2)-(SUM($E$60:AL60)+AM60/2)</f>
        <v>5969979.0868030526</v>
      </c>
      <c r="AN49" s="113">
        <f>$F$22-(SUM($E$27:AM27)+AN27/2)-(SUM($E$60:AM60)+AN60/2)</f>
        <v>4912511.670713285</v>
      </c>
      <c r="AO49" s="113">
        <f>$F$22-(SUM($E$27:AN27)+AO27/2)-(SUM($E$60:AN60)+AO60/2)</f>
        <v>3855044.2546235165</v>
      </c>
      <c r="AP49" s="113">
        <f>$F$22-(SUM($E$27:AO27)+AP27/2)-(SUM($E$60:AO60)+AP60/2)</f>
        <v>2797576.8385337489</v>
      </c>
      <c r="AQ49" s="113">
        <f>$F$22-(SUM($E$27:AP27)+AQ27/2)-(SUM($E$60:AP60)+AQ60/2)</f>
        <v>1740109.4224439808</v>
      </c>
      <c r="AR49" s="113">
        <f>$F$22-(SUM($E$27:AQ27)+AR27/2)-(SUM($E$60:AQ60)+AR60/2)</f>
        <v>682642.00635421299</v>
      </c>
      <c r="AS49" s="113">
        <f>$F$22-(SUM($E$27:AR27)+AS27/2)-(SUM($E$60:AR60)+AS60/2)</f>
        <v>153908.29830932897</v>
      </c>
      <c r="AT49" s="113">
        <f>$F$22-(SUM($E$27:AR27)+AT27/2)-(SUM($E$60:AR60)+AT60/2)</f>
        <v>153908.29830932897</v>
      </c>
      <c r="AU49" s="100">
        <f t="shared" ref="AU49:AU60" si="13">SUM(D49:AT49)</f>
        <v>961533768.97628582</v>
      </c>
    </row>
    <row r="50" spans="1:47" x14ac:dyDescent="0.2">
      <c r="A50" s="128">
        <f t="shared" si="10"/>
        <v>20</v>
      </c>
      <c r="B50" s="2"/>
      <c r="C50" s="2"/>
      <c r="D50" s="114"/>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si="13"/>
        <v>0</v>
      </c>
    </row>
    <row r="51" spans="1:47" x14ac:dyDescent="0.2">
      <c r="A51" s="128">
        <f t="shared" si="10"/>
        <v>21</v>
      </c>
      <c r="B51" s="2"/>
      <c r="C51" s="2"/>
      <c r="D51" s="114"/>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13"/>
        <v>0</v>
      </c>
    </row>
    <row r="52" spans="1:47" x14ac:dyDescent="0.2">
      <c r="A52" s="128">
        <f t="shared" si="10"/>
        <v>22</v>
      </c>
      <c r="B52" s="2" t="s">
        <v>65</v>
      </c>
      <c r="C52" s="2"/>
      <c r="D52" s="114"/>
      <c r="E52" s="38">
        <f>(E34)/(1-$F$15)</f>
        <v>3059075.9766619354</v>
      </c>
      <c r="F52" s="98">
        <f t="shared" ref="F52:AT52" si="14">(F34)/(1-$F$15)</f>
        <v>2962312.4249626016</v>
      </c>
      <c r="G52" s="98">
        <f t="shared" si="14"/>
        <v>2856015.929614882</v>
      </c>
      <c r="H52" s="98">
        <f t="shared" si="14"/>
        <v>2753113.1231231983</v>
      </c>
      <c r="I52" s="98">
        <f t="shared" si="14"/>
        <v>2653349.9673582115</v>
      </c>
      <c r="J52" s="98">
        <f t="shared" si="14"/>
        <v>2556491.9655851489</v>
      </c>
      <c r="K52" s="98">
        <f t="shared" si="14"/>
        <v>2462320.9055647068</v>
      </c>
      <c r="L52" s="98">
        <f t="shared" si="14"/>
        <v>2370634.8595530502</v>
      </c>
      <c r="M52" s="98">
        <f t="shared" si="14"/>
        <v>2280336.2525554737</v>
      </c>
      <c r="N52" s="98">
        <f t="shared" si="14"/>
        <v>2190236.3164026365</v>
      </c>
      <c r="O52" s="98">
        <f t="shared" si="14"/>
        <v>2100136.3802497992</v>
      </c>
      <c r="P52" s="98">
        <f t="shared" si="14"/>
        <v>2010036.4440969625</v>
      </c>
      <c r="Q52" s="98">
        <f t="shared" si="14"/>
        <v>1919936.5079441248</v>
      </c>
      <c r="R52" s="98">
        <f t="shared" si="14"/>
        <v>1829836.571791288</v>
      </c>
      <c r="S52" s="98">
        <f t="shared" si="14"/>
        <v>1739736.6356384503</v>
      </c>
      <c r="T52" s="98">
        <f t="shared" si="14"/>
        <v>1649636.699485613</v>
      </c>
      <c r="U52" s="98">
        <f t="shared" si="14"/>
        <v>1559536.7633327758</v>
      </c>
      <c r="V52" s="98">
        <f t="shared" si="14"/>
        <v>1469436.8271799383</v>
      </c>
      <c r="W52" s="98">
        <f t="shared" si="14"/>
        <v>1379336.8910271013</v>
      </c>
      <c r="X52" s="98">
        <f t="shared" si="14"/>
        <v>1289236.9548742638</v>
      </c>
      <c r="Y52" s="98">
        <f t="shared" si="14"/>
        <v>1206403.1606003293</v>
      </c>
      <c r="Z52" s="98">
        <f t="shared" si="14"/>
        <v>1138098.3931851059</v>
      </c>
      <c r="AA52" s="98">
        <f t="shared" si="14"/>
        <v>1077059.7676487849</v>
      </c>
      <c r="AB52" s="98">
        <f t="shared" si="14"/>
        <v>1016021.1421124644</v>
      </c>
      <c r="AC52" s="98">
        <f t="shared" si="14"/>
        <v>954982.51657614356</v>
      </c>
      <c r="AD52" s="98">
        <f t="shared" si="14"/>
        <v>893943.89103982283</v>
      </c>
      <c r="AE52" s="98">
        <f t="shared" si="14"/>
        <v>832905.26550350199</v>
      </c>
      <c r="AF52" s="98">
        <f t="shared" si="14"/>
        <v>771866.63996718125</v>
      </c>
      <c r="AG52" s="98">
        <f t="shared" si="14"/>
        <v>710828.01443086052</v>
      </c>
      <c r="AH52" s="98">
        <f t="shared" si="14"/>
        <v>649789.38889453968</v>
      </c>
      <c r="AI52" s="98">
        <f t="shared" si="14"/>
        <v>588750.76335821883</v>
      </c>
      <c r="AJ52" s="98">
        <f t="shared" si="14"/>
        <v>527712.1378218981</v>
      </c>
      <c r="AK52" s="98">
        <f t="shared" si="14"/>
        <v>466673.51228557731</v>
      </c>
      <c r="AL52" s="98">
        <f t="shared" si="14"/>
        <v>405634.88674925652</v>
      </c>
      <c r="AM52" s="98">
        <f t="shared" si="14"/>
        <v>344596.26121293573</v>
      </c>
      <c r="AN52" s="98">
        <f t="shared" si="14"/>
        <v>283557.63567661494</v>
      </c>
      <c r="AO52" s="98">
        <f t="shared" si="14"/>
        <v>222519.01014029412</v>
      </c>
      <c r="AP52" s="98">
        <f t="shared" si="14"/>
        <v>161480.38460397336</v>
      </c>
      <c r="AQ52" s="98">
        <f t="shared" si="14"/>
        <v>100441.75906765256</v>
      </c>
      <c r="AR52" s="98">
        <f t="shared" si="14"/>
        <v>39403.133531331783</v>
      </c>
      <c r="AS52" s="98">
        <f t="shared" si="14"/>
        <v>8883.820763171394</v>
      </c>
      <c r="AT52" s="98">
        <f t="shared" si="14"/>
        <v>8883.820763171394</v>
      </c>
      <c r="AU52" s="100">
        <f t="shared" si="13"/>
        <v>55501189.702935003</v>
      </c>
    </row>
    <row r="53" spans="1:47" x14ac:dyDescent="0.2">
      <c r="A53" s="128">
        <f t="shared" si="10"/>
        <v>23</v>
      </c>
      <c r="B53" s="2" t="s">
        <v>66</v>
      </c>
      <c r="C53" s="2"/>
      <c r="D53" s="114"/>
      <c r="E53" s="40">
        <f t="shared" ref="E53:AT53" si="15">E52*$F15</f>
        <v>642405.95509900642</v>
      </c>
      <c r="F53" s="96">
        <f t="shared" si="15"/>
        <v>622085.60924214637</v>
      </c>
      <c r="G53" s="96">
        <f t="shared" si="15"/>
        <v>599763.34521912516</v>
      </c>
      <c r="H53" s="96">
        <f t="shared" si="15"/>
        <v>578153.7558558716</v>
      </c>
      <c r="I53" s="96">
        <f t="shared" si="15"/>
        <v>557203.49314522441</v>
      </c>
      <c r="J53" s="96">
        <f t="shared" si="15"/>
        <v>536863.31277288124</v>
      </c>
      <c r="K53" s="96">
        <f t="shared" si="15"/>
        <v>517087.39016858838</v>
      </c>
      <c r="L53" s="96">
        <f t="shared" si="15"/>
        <v>497833.32050614053</v>
      </c>
      <c r="M53" s="96">
        <f t="shared" si="15"/>
        <v>478870.61303664948</v>
      </c>
      <c r="N53" s="96">
        <f t="shared" si="15"/>
        <v>459949.62644455367</v>
      </c>
      <c r="O53" s="96">
        <f t="shared" si="15"/>
        <v>441028.6398524578</v>
      </c>
      <c r="P53" s="96">
        <f t="shared" si="15"/>
        <v>422107.6532603621</v>
      </c>
      <c r="Q53" s="96">
        <f t="shared" si="15"/>
        <v>403186.66666826617</v>
      </c>
      <c r="R53" s="96">
        <f t="shared" si="15"/>
        <v>384265.68007617048</v>
      </c>
      <c r="S53" s="96">
        <f t="shared" si="15"/>
        <v>365344.69348407455</v>
      </c>
      <c r="T53" s="96">
        <f t="shared" si="15"/>
        <v>346423.70689197874</v>
      </c>
      <c r="U53" s="96">
        <f t="shared" si="15"/>
        <v>327502.72029988293</v>
      </c>
      <c r="V53" s="96">
        <f t="shared" si="15"/>
        <v>308581.73370778706</v>
      </c>
      <c r="W53" s="96">
        <f t="shared" si="15"/>
        <v>289660.74711569125</v>
      </c>
      <c r="X53" s="96">
        <f t="shared" si="15"/>
        <v>270739.76052359538</v>
      </c>
      <c r="Y53" s="96">
        <f t="shared" si="15"/>
        <v>253344.66372606915</v>
      </c>
      <c r="Z53" s="96">
        <f t="shared" si="15"/>
        <v>239000.66256887221</v>
      </c>
      <c r="AA53" s="96">
        <f t="shared" si="15"/>
        <v>226182.55120624483</v>
      </c>
      <c r="AB53" s="96">
        <f t="shared" si="15"/>
        <v>213364.43984361753</v>
      </c>
      <c r="AC53" s="96">
        <f t="shared" si="15"/>
        <v>200546.32848099014</v>
      </c>
      <c r="AD53" s="96">
        <f t="shared" si="15"/>
        <v>187728.21711836278</v>
      </c>
      <c r="AE53" s="96">
        <f t="shared" si="15"/>
        <v>174910.10575573542</v>
      </c>
      <c r="AF53" s="96">
        <f t="shared" si="15"/>
        <v>162091.99439310806</v>
      </c>
      <c r="AG53" s="96">
        <f t="shared" si="15"/>
        <v>149273.88303048071</v>
      </c>
      <c r="AH53" s="96">
        <f t="shared" si="15"/>
        <v>136455.77166785332</v>
      </c>
      <c r="AI53" s="96">
        <f t="shared" si="15"/>
        <v>123637.66030522595</v>
      </c>
      <c r="AJ53" s="96">
        <f t="shared" si="15"/>
        <v>110819.5489425986</v>
      </c>
      <c r="AK53" s="96">
        <f t="shared" si="15"/>
        <v>98001.437579971229</v>
      </c>
      <c r="AL53" s="96">
        <f t="shared" si="15"/>
        <v>85183.326217343871</v>
      </c>
      <c r="AM53" s="96">
        <f t="shared" si="15"/>
        <v>72365.214854716498</v>
      </c>
      <c r="AN53" s="96">
        <f t="shared" si="15"/>
        <v>59547.103492089132</v>
      </c>
      <c r="AO53" s="96">
        <f t="shared" si="15"/>
        <v>46728.992129461767</v>
      </c>
      <c r="AP53" s="96">
        <f t="shared" si="15"/>
        <v>33910.880766834402</v>
      </c>
      <c r="AQ53" s="96">
        <f t="shared" si="15"/>
        <v>21092.769404207036</v>
      </c>
      <c r="AR53" s="96">
        <f t="shared" si="15"/>
        <v>8274.6580415796743</v>
      </c>
      <c r="AS53" s="96">
        <f t="shared" si="15"/>
        <v>1865.6023602659927</v>
      </c>
      <c r="AT53" s="96">
        <f t="shared" si="15"/>
        <v>1865.6023602659927</v>
      </c>
      <c r="AU53" s="100">
        <f t="shared" si="13"/>
        <v>11655249.837616347</v>
      </c>
    </row>
    <row r="54" spans="1:47" x14ac:dyDescent="0.2">
      <c r="A54" s="128">
        <f t="shared" si="10"/>
        <v>24</v>
      </c>
      <c r="B54" s="2" t="s">
        <v>67</v>
      </c>
      <c r="C54" s="2"/>
      <c r="D54" s="114"/>
      <c r="E54" s="38">
        <f>E52-E53</f>
        <v>2416670.0215629293</v>
      </c>
      <c r="F54" s="98">
        <f t="shared" ref="F54:AT54" si="16">F52-F53</f>
        <v>2340226.8157204553</v>
      </c>
      <c r="G54" s="98">
        <f t="shared" si="16"/>
        <v>2256252.5843957569</v>
      </c>
      <c r="H54" s="98">
        <f t="shared" si="16"/>
        <v>2174959.3672673265</v>
      </c>
      <c r="I54" s="98">
        <f t="shared" si="16"/>
        <v>2096146.4742129871</v>
      </c>
      <c r="J54" s="98">
        <f t="shared" si="16"/>
        <v>2019628.6528122677</v>
      </c>
      <c r="K54" s="98">
        <f t="shared" si="16"/>
        <v>1945233.5153961184</v>
      </c>
      <c r="L54" s="98">
        <f t="shared" si="16"/>
        <v>1872801.5390469097</v>
      </c>
      <c r="M54" s="98">
        <f t="shared" si="16"/>
        <v>1801465.6395188242</v>
      </c>
      <c r="N54" s="98">
        <f t="shared" si="16"/>
        <v>1730286.6899580827</v>
      </c>
      <c r="O54" s="98">
        <f t="shared" si="16"/>
        <v>1659107.7403973415</v>
      </c>
      <c r="P54" s="98">
        <f t="shared" si="16"/>
        <v>1587928.7908366004</v>
      </c>
      <c r="Q54" s="98">
        <f t="shared" si="16"/>
        <v>1516749.8412758587</v>
      </c>
      <c r="R54" s="98">
        <f t="shared" si="16"/>
        <v>1445570.8917151175</v>
      </c>
      <c r="S54" s="98">
        <f t="shared" si="16"/>
        <v>1374391.9421543758</v>
      </c>
      <c r="T54" s="98">
        <f t="shared" si="16"/>
        <v>1303212.9925936344</v>
      </c>
      <c r="U54" s="98">
        <f t="shared" si="16"/>
        <v>1232034.043032893</v>
      </c>
      <c r="V54" s="98">
        <f t="shared" si="16"/>
        <v>1160855.0934721513</v>
      </c>
      <c r="W54" s="98">
        <f t="shared" si="16"/>
        <v>1089676.1439114101</v>
      </c>
      <c r="X54" s="98">
        <f t="shared" si="16"/>
        <v>1018497.1943506685</v>
      </c>
      <c r="Y54" s="98">
        <f t="shared" si="16"/>
        <v>953058.49687426013</v>
      </c>
      <c r="Z54" s="98">
        <f t="shared" si="16"/>
        <v>899097.73061623366</v>
      </c>
      <c r="AA54" s="98">
        <f t="shared" si="16"/>
        <v>850877.21644254006</v>
      </c>
      <c r="AB54" s="98">
        <f t="shared" si="16"/>
        <v>802656.70226884692</v>
      </c>
      <c r="AC54" s="98">
        <f t="shared" si="16"/>
        <v>754436.18809515343</v>
      </c>
      <c r="AD54" s="98">
        <f t="shared" si="16"/>
        <v>706215.67392146005</v>
      </c>
      <c r="AE54" s="98">
        <f t="shared" si="16"/>
        <v>657995.15974776656</v>
      </c>
      <c r="AF54" s="98">
        <f t="shared" si="16"/>
        <v>609774.64557407319</v>
      </c>
      <c r="AG54" s="98">
        <f t="shared" si="16"/>
        <v>561554.13140037982</v>
      </c>
      <c r="AH54" s="98">
        <f t="shared" si="16"/>
        <v>513333.61722668633</v>
      </c>
      <c r="AI54" s="98">
        <f t="shared" si="16"/>
        <v>465113.1030529929</v>
      </c>
      <c r="AJ54" s="98">
        <f t="shared" si="16"/>
        <v>416892.58887929947</v>
      </c>
      <c r="AK54" s="98">
        <f t="shared" si="16"/>
        <v>368672.07470560609</v>
      </c>
      <c r="AL54" s="98">
        <f t="shared" si="16"/>
        <v>320451.56053191266</v>
      </c>
      <c r="AM54" s="98">
        <f t="shared" si="16"/>
        <v>272231.04635821923</v>
      </c>
      <c r="AN54" s="98">
        <f t="shared" si="16"/>
        <v>224010.5321845258</v>
      </c>
      <c r="AO54" s="98">
        <f t="shared" si="16"/>
        <v>175790.01801083237</v>
      </c>
      <c r="AP54" s="98">
        <f t="shared" si="16"/>
        <v>127569.50383713897</v>
      </c>
      <c r="AQ54" s="98">
        <f t="shared" si="16"/>
        <v>79348.989663445522</v>
      </c>
      <c r="AR54" s="98">
        <f t="shared" si="16"/>
        <v>31128.475489752109</v>
      </c>
      <c r="AS54" s="98">
        <f t="shared" si="16"/>
        <v>7018.2184029054015</v>
      </c>
      <c r="AT54" s="98">
        <f t="shared" si="16"/>
        <v>7018.2184029054015</v>
      </c>
      <c r="AU54" s="100">
        <f t="shared" si="13"/>
        <v>43845939.865318649</v>
      </c>
    </row>
    <row r="55" spans="1:47" x14ac:dyDescent="0.2">
      <c r="A55" s="128">
        <f t="shared" si="10"/>
        <v>25</v>
      </c>
      <c r="B55" s="2"/>
      <c r="C55" s="2"/>
      <c r="D55" s="114"/>
      <c r="E55" s="116"/>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00">
        <f t="shared" si="13"/>
        <v>0</v>
      </c>
    </row>
    <row r="56" spans="1:47" x14ac:dyDescent="0.2">
      <c r="A56" s="128">
        <f t="shared" si="10"/>
        <v>26</v>
      </c>
      <c r="B56" s="2"/>
      <c r="C56" s="2"/>
      <c r="D56" s="114"/>
      <c r="E56" s="8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00">
        <f t="shared" si="13"/>
        <v>0</v>
      </c>
    </row>
    <row r="57" spans="1:47" x14ac:dyDescent="0.2">
      <c r="A57" s="128">
        <f t="shared" si="10"/>
        <v>27</v>
      </c>
      <c r="B57" s="2" t="s">
        <v>68</v>
      </c>
      <c r="C57" s="2"/>
      <c r="D57" s="114"/>
      <c r="E57" s="38">
        <f>E27+E28</f>
        <v>1338566.3494807165</v>
      </c>
      <c r="F57" s="98">
        <f>F27</f>
        <v>1338566.3494807165</v>
      </c>
      <c r="G57" s="98">
        <f>G27</f>
        <v>1338566.3494807165</v>
      </c>
      <c r="H57" s="98">
        <f t="shared" ref="H57:AT57" si="17">H27</f>
        <v>1338566.3494807165</v>
      </c>
      <c r="I57" s="98">
        <f t="shared" si="17"/>
        <v>1338566.3494807165</v>
      </c>
      <c r="J57" s="98">
        <f t="shared" si="17"/>
        <v>1338566.3494807165</v>
      </c>
      <c r="K57" s="98">
        <f t="shared" si="17"/>
        <v>1338566.3494807165</v>
      </c>
      <c r="L57" s="98">
        <f t="shared" si="17"/>
        <v>1338566.3494807165</v>
      </c>
      <c r="M57" s="98">
        <f t="shared" si="17"/>
        <v>1338566.3494807165</v>
      </c>
      <c r="N57" s="98">
        <f t="shared" si="17"/>
        <v>1338566.3494807165</v>
      </c>
      <c r="O57" s="98">
        <f t="shared" si="17"/>
        <v>1338566.3494807165</v>
      </c>
      <c r="P57" s="98">
        <f t="shared" si="17"/>
        <v>1338566.3494807165</v>
      </c>
      <c r="Q57" s="98">
        <f t="shared" si="17"/>
        <v>1338566.3494807165</v>
      </c>
      <c r="R57" s="98">
        <f t="shared" si="17"/>
        <v>1338566.3494807165</v>
      </c>
      <c r="S57" s="98">
        <f t="shared" si="17"/>
        <v>1338566.3494807165</v>
      </c>
      <c r="T57" s="98">
        <f t="shared" si="17"/>
        <v>1338566.3494807165</v>
      </c>
      <c r="U57" s="98">
        <f t="shared" si="17"/>
        <v>1338566.3494807165</v>
      </c>
      <c r="V57" s="98">
        <f t="shared" si="17"/>
        <v>1338566.3494807165</v>
      </c>
      <c r="W57" s="98">
        <f t="shared" si="17"/>
        <v>1338566.3494807165</v>
      </c>
      <c r="X57" s="98">
        <f t="shared" si="17"/>
        <v>1338566.3494807165</v>
      </c>
      <c r="Y57" s="98">
        <f t="shared" si="17"/>
        <v>1338566.3494807165</v>
      </c>
      <c r="Z57" s="98">
        <f t="shared" si="17"/>
        <v>1338566.3494807165</v>
      </c>
      <c r="AA57" s="98">
        <f t="shared" si="17"/>
        <v>1338566.3494807165</v>
      </c>
      <c r="AB57" s="98">
        <f t="shared" si="17"/>
        <v>1338566.3494807165</v>
      </c>
      <c r="AC57" s="98">
        <f t="shared" si="17"/>
        <v>1338566.3494807165</v>
      </c>
      <c r="AD57" s="98">
        <f t="shared" si="17"/>
        <v>1338566.3494807165</v>
      </c>
      <c r="AE57" s="98">
        <f t="shared" si="17"/>
        <v>1338566.3494807165</v>
      </c>
      <c r="AF57" s="98">
        <f t="shared" si="17"/>
        <v>1338566.3494807165</v>
      </c>
      <c r="AG57" s="98">
        <f t="shared" si="17"/>
        <v>1338566.3494807165</v>
      </c>
      <c r="AH57" s="98">
        <f t="shared" si="17"/>
        <v>1338566.3494807165</v>
      </c>
      <c r="AI57" s="98">
        <f t="shared" si="17"/>
        <v>1338566.3494807165</v>
      </c>
      <c r="AJ57" s="98">
        <f t="shared" si="17"/>
        <v>1338566.3494807165</v>
      </c>
      <c r="AK57" s="98">
        <f t="shared" si="17"/>
        <v>1338566.3494807165</v>
      </c>
      <c r="AL57" s="98">
        <f t="shared" si="17"/>
        <v>1338566.3494807165</v>
      </c>
      <c r="AM57" s="98">
        <f t="shared" si="17"/>
        <v>1338566.3494807165</v>
      </c>
      <c r="AN57" s="98">
        <f t="shared" si="17"/>
        <v>1338566.3494807165</v>
      </c>
      <c r="AO57" s="98">
        <f t="shared" si="17"/>
        <v>1338566.3494807165</v>
      </c>
      <c r="AP57" s="98">
        <f t="shared" si="17"/>
        <v>1338566.3494807165</v>
      </c>
      <c r="AQ57" s="98">
        <f t="shared" si="17"/>
        <v>1338566.3494807165</v>
      </c>
      <c r="AR57" s="98">
        <f t="shared" si="17"/>
        <v>1338566.3494807165</v>
      </c>
      <c r="AS57" s="98">
        <f t="shared" si="17"/>
        <v>0</v>
      </c>
      <c r="AT57" s="98">
        <f t="shared" si="17"/>
        <v>0</v>
      </c>
      <c r="AU57" s="100">
        <f t="shared" si="13"/>
        <v>53542653.979228713</v>
      </c>
    </row>
    <row r="58" spans="1:47" x14ac:dyDescent="0.2">
      <c r="A58" s="128">
        <f t="shared" si="10"/>
        <v>28</v>
      </c>
      <c r="B58" s="2" t="s">
        <v>69</v>
      </c>
      <c r="C58" s="2"/>
      <c r="D58" s="114"/>
      <c r="E58" s="38">
        <f>$F22*E62</f>
        <v>2015155.2978750011</v>
      </c>
      <c r="F58" s="98">
        <f t="shared" ref="F58:AT58" si="18">$F22*F62</f>
        <v>3879308.2920959024</v>
      </c>
      <c r="G58" s="98">
        <f t="shared" si="18"/>
        <v>3588051.1797097018</v>
      </c>
      <c r="H58" s="98">
        <f t="shared" si="18"/>
        <v>3319363.8066597017</v>
      </c>
      <c r="I58" s="98">
        <f t="shared" si="18"/>
        <v>3070021.9244693015</v>
      </c>
      <c r="J58" s="98">
        <f t="shared" si="18"/>
        <v>2840025.5331385015</v>
      </c>
      <c r="K58" s="98">
        <f t="shared" si="18"/>
        <v>2626687.7589368015</v>
      </c>
      <c r="L58" s="98">
        <f t="shared" si="18"/>
        <v>2430008.6018642015</v>
      </c>
      <c r="M58" s="98">
        <f t="shared" si="18"/>
        <v>2397766.1170982015</v>
      </c>
      <c r="N58" s="98">
        <f t="shared" si="18"/>
        <v>2397228.7423521015</v>
      </c>
      <c r="O58" s="98">
        <f t="shared" si="18"/>
        <v>2397766.1170982015</v>
      </c>
      <c r="P58" s="98">
        <f t="shared" si="18"/>
        <v>2397228.7423521015</v>
      </c>
      <c r="Q58" s="98">
        <f t="shared" si="18"/>
        <v>2397766.1170982015</v>
      </c>
      <c r="R58" s="98">
        <f t="shared" si="18"/>
        <v>2397228.7423521015</v>
      </c>
      <c r="S58" s="98">
        <f t="shared" si="18"/>
        <v>2397766.1170982015</v>
      </c>
      <c r="T58" s="98">
        <f t="shared" si="18"/>
        <v>2397228.7423521015</v>
      </c>
      <c r="U58" s="98">
        <f t="shared" si="18"/>
        <v>2397766.1170982015</v>
      </c>
      <c r="V58" s="98">
        <f t="shared" si="18"/>
        <v>2397228.7423521015</v>
      </c>
      <c r="W58" s="98">
        <f t="shared" si="18"/>
        <v>2397766.1170982015</v>
      </c>
      <c r="X58" s="98">
        <f t="shared" si="18"/>
        <v>2397228.7423521015</v>
      </c>
      <c r="Y58" s="98">
        <f t="shared" si="18"/>
        <v>1198883.0585491008</v>
      </c>
      <c r="Z58" s="98">
        <f t="shared" si="18"/>
        <v>0</v>
      </c>
      <c r="AA58" s="98">
        <f t="shared" si="18"/>
        <v>0</v>
      </c>
      <c r="AB58" s="98">
        <f t="shared" si="18"/>
        <v>0</v>
      </c>
      <c r="AC58" s="98">
        <f t="shared" si="18"/>
        <v>0</v>
      </c>
      <c r="AD58" s="98">
        <f t="shared" si="18"/>
        <v>0</v>
      </c>
      <c r="AE58" s="98">
        <f t="shared" si="18"/>
        <v>0</v>
      </c>
      <c r="AF58" s="98">
        <f t="shared" si="18"/>
        <v>0</v>
      </c>
      <c r="AG58" s="98">
        <f t="shared" si="18"/>
        <v>0</v>
      </c>
      <c r="AH58" s="98">
        <f t="shared" si="18"/>
        <v>0</v>
      </c>
      <c r="AI58" s="98">
        <f t="shared" si="18"/>
        <v>0</v>
      </c>
      <c r="AJ58" s="98">
        <f t="shared" si="18"/>
        <v>0</v>
      </c>
      <c r="AK58" s="98">
        <f t="shared" si="18"/>
        <v>0</v>
      </c>
      <c r="AL58" s="98">
        <f t="shared" si="18"/>
        <v>0</v>
      </c>
      <c r="AM58" s="98">
        <f t="shared" si="18"/>
        <v>0</v>
      </c>
      <c r="AN58" s="98">
        <f t="shared" si="18"/>
        <v>0</v>
      </c>
      <c r="AO58" s="98">
        <f t="shared" si="18"/>
        <v>0</v>
      </c>
      <c r="AP58" s="98">
        <f t="shared" si="18"/>
        <v>0</v>
      </c>
      <c r="AQ58" s="98">
        <f t="shared" si="18"/>
        <v>0</v>
      </c>
      <c r="AR58" s="98">
        <f t="shared" si="18"/>
        <v>0</v>
      </c>
      <c r="AS58" s="98">
        <f t="shared" si="18"/>
        <v>0</v>
      </c>
      <c r="AT58" s="98">
        <f t="shared" si="18"/>
        <v>0</v>
      </c>
      <c r="AU58" s="100">
        <f t="shared" si="13"/>
        <v>53737474.610000022</v>
      </c>
    </row>
    <row r="59" spans="1:47" x14ac:dyDescent="0.2">
      <c r="A59" s="128">
        <f t="shared" si="10"/>
        <v>29</v>
      </c>
      <c r="B59" s="2" t="s">
        <v>70</v>
      </c>
      <c r="C59" s="2"/>
      <c r="D59" s="114"/>
      <c r="E59" s="38">
        <f>E58-E57</f>
        <v>676588.94839428458</v>
      </c>
      <c r="F59" s="98">
        <f>F58-F57</f>
        <v>2540741.9426151859</v>
      </c>
      <c r="G59" s="98">
        <f>G58-G57</f>
        <v>2249484.8302289853</v>
      </c>
      <c r="H59" s="98">
        <f t="shared" ref="H59:AT59" si="19">H58-H57</f>
        <v>1980797.4571789852</v>
      </c>
      <c r="I59" s="98">
        <f t="shared" si="19"/>
        <v>1731455.574988585</v>
      </c>
      <c r="J59" s="98">
        <f t="shared" si="19"/>
        <v>1501459.1836577849</v>
      </c>
      <c r="K59" s="98">
        <f t="shared" si="19"/>
        <v>1288121.4094560849</v>
      </c>
      <c r="L59" s="98">
        <f t="shared" si="19"/>
        <v>1091442.252383485</v>
      </c>
      <c r="M59" s="98">
        <f t="shared" si="19"/>
        <v>1059199.767617485</v>
      </c>
      <c r="N59" s="98">
        <f t="shared" si="19"/>
        <v>1058662.392871385</v>
      </c>
      <c r="O59" s="98">
        <f t="shared" si="19"/>
        <v>1059199.767617485</v>
      </c>
      <c r="P59" s="98">
        <f t="shared" si="19"/>
        <v>1058662.392871385</v>
      </c>
      <c r="Q59" s="98">
        <f t="shared" si="19"/>
        <v>1059199.767617485</v>
      </c>
      <c r="R59" s="98">
        <f t="shared" si="19"/>
        <v>1058662.392871385</v>
      </c>
      <c r="S59" s="98">
        <f t="shared" si="19"/>
        <v>1059199.767617485</v>
      </c>
      <c r="T59" s="98">
        <f t="shared" si="19"/>
        <v>1058662.392871385</v>
      </c>
      <c r="U59" s="98">
        <f t="shared" si="19"/>
        <v>1059199.767617485</v>
      </c>
      <c r="V59" s="98">
        <f t="shared" si="19"/>
        <v>1058662.392871385</v>
      </c>
      <c r="W59" s="98">
        <f t="shared" si="19"/>
        <v>1059199.767617485</v>
      </c>
      <c r="X59" s="98">
        <f t="shared" si="19"/>
        <v>1058662.392871385</v>
      </c>
      <c r="Y59" s="98">
        <f t="shared" si="19"/>
        <v>-139683.29093161575</v>
      </c>
      <c r="Z59" s="98">
        <f t="shared" si="19"/>
        <v>-1338566.3494807165</v>
      </c>
      <c r="AA59" s="98">
        <f t="shared" si="19"/>
        <v>-1338566.3494807165</v>
      </c>
      <c r="AB59" s="98">
        <f t="shared" si="19"/>
        <v>-1338566.3494807165</v>
      </c>
      <c r="AC59" s="98">
        <f t="shared" si="19"/>
        <v>-1338566.3494807165</v>
      </c>
      <c r="AD59" s="98">
        <f t="shared" si="19"/>
        <v>-1338566.3494807165</v>
      </c>
      <c r="AE59" s="98">
        <f t="shared" si="19"/>
        <v>-1338566.3494807165</v>
      </c>
      <c r="AF59" s="98">
        <f t="shared" si="19"/>
        <v>-1338566.3494807165</v>
      </c>
      <c r="AG59" s="98">
        <f t="shared" si="19"/>
        <v>-1338566.3494807165</v>
      </c>
      <c r="AH59" s="98">
        <f t="shared" si="19"/>
        <v>-1338566.3494807165</v>
      </c>
      <c r="AI59" s="98">
        <f t="shared" si="19"/>
        <v>-1338566.3494807165</v>
      </c>
      <c r="AJ59" s="98">
        <f t="shared" si="19"/>
        <v>-1338566.3494807165</v>
      </c>
      <c r="AK59" s="98">
        <f t="shared" si="19"/>
        <v>-1338566.3494807165</v>
      </c>
      <c r="AL59" s="98">
        <f t="shared" si="19"/>
        <v>-1338566.3494807165</v>
      </c>
      <c r="AM59" s="98">
        <f t="shared" si="19"/>
        <v>-1338566.3494807165</v>
      </c>
      <c r="AN59" s="98">
        <f t="shared" si="19"/>
        <v>-1338566.3494807165</v>
      </c>
      <c r="AO59" s="98">
        <f t="shared" si="19"/>
        <v>-1338566.3494807165</v>
      </c>
      <c r="AP59" s="98">
        <f t="shared" si="19"/>
        <v>-1338566.3494807165</v>
      </c>
      <c r="AQ59" s="98">
        <f t="shared" si="19"/>
        <v>-1338566.3494807165</v>
      </c>
      <c r="AR59" s="98">
        <f t="shared" si="19"/>
        <v>-1338566.3494807165</v>
      </c>
      <c r="AS59" s="98">
        <f t="shared" si="19"/>
        <v>0</v>
      </c>
      <c r="AT59" s="98">
        <f t="shared" si="19"/>
        <v>0</v>
      </c>
      <c r="AU59" s="100">
        <f t="shared" si="13"/>
        <v>194820.63077136315</v>
      </c>
    </row>
    <row r="60" spans="1:47" x14ac:dyDescent="0.2">
      <c r="A60" s="128">
        <f t="shared" si="10"/>
        <v>30</v>
      </c>
      <c r="B60" s="2" t="s">
        <v>71</v>
      </c>
      <c r="C60" s="2"/>
      <c r="D60" s="114"/>
      <c r="E60" s="38">
        <f>E59*F15</f>
        <v>142083.67916279976</v>
      </c>
      <c r="F60" s="98">
        <f t="shared" ref="F60:AT60" si="20">F59*$F$15</f>
        <v>533555.80794918898</v>
      </c>
      <c r="G60" s="98">
        <f t="shared" si="20"/>
        <v>472391.81434808689</v>
      </c>
      <c r="H60" s="98">
        <f t="shared" si="20"/>
        <v>415967.46600758686</v>
      </c>
      <c r="I60" s="98">
        <f t="shared" si="20"/>
        <v>363605.67074760282</v>
      </c>
      <c r="J60" s="98">
        <f t="shared" si="20"/>
        <v>315306.42856813484</v>
      </c>
      <c r="K60" s="98">
        <f t="shared" si="20"/>
        <v>270505.49598577782</v>
      </c>
      <c r="L60" s="98">
        <f t="shared" si="20"/>
        <v>229202.87300053184</v>
      </c>
      <c r="M60" s="98">
        <f t="shared" si="20"/>
        <v>222431.95119967184</v>
      </c>
      <c r="N60" s="98">
        <f t="shared" si="20"/>
        <v>222319.10250299083</v>
      </c>
      <c r="O60" s="98">
        <f t="shared" si="20"/>
        <v>222431.95119967184</v>
      </c>
      <c r="P60" s="98">
        <f t="shared" si="20"/>
        <v>222319.10250299083</v>
      </c>
      <c r="Q60" s="98">
        <f t="shared" si="20"/>
        <v>222431.95119967184</v>
      </c>
      <c r="R60" s="98">
        <f t="shared" si="20"/>
        <v>222319.10250299083</v>
      </c>
      <c r="S60" s="98">
        <f t="shared" si="20"/>
        <v>222431.95119967184</v>
      </c>
      <c r="T60" s="98">
        <f t="shared" si="20"/>
        <v>222319.10250299083</v>
      </c>
      <c r="U60" s="98">
        <f t="shared" si="20"/>
        <v>222431.95119967184</v>
      </c>
      <c r="V60" s="98">
        <f t="shared" si="20"/>
        <v>222319.10250299083</v>
      </c>
      <c r="W60" s="98">
        <f t="shared" si="20"/>
        <v>222431.95119967184</v>
      </c>
      <c r="X60" s="98">
        <f t="shared" si="20"/>
        <v>222319.10250299083</v>
      </c>
      <c r="Y60" s="98">
        <f t="shared" si="20"/>
        <v>-29333.491095639307</v>
      </c>
      <c r="Z60" s="98">
        <f t="shared" si="20"/>
        <v>-281098.93339095043</v>
      </c>
      <c r="AA60" s="98">
        <f t="shared" si="20"/>
        <v>-281098.93339095043</v>
      </c>
      <c r="AB60" s="98">
        <f t="shared" si="20"/>
        <v>-281098.93339095043</v>
      </c>
      <c r="AC60" s="98">
        <f t="shared" si="20"/>
        <v>-281098.93339095043</v>
      </c>
      <c r="AD60" s="98">
        <f t="shared" si="20"/>
        <v>-281098.93339095043</v>
      </c>
      <c r="AE60" s="98">
        <f t="shared" si="20"/>
        <v>-281098.93339095043</v>
      </c>
      <c r="AF60" s="98">
        <f t="shared" si="20"/>
        <v>-281098.93339095043</v>
      </c>
      <c r="AG60" s="98">
        <f t="shared" si="20"/>
        <v>-281098.93339095043</v>
      </c>
      <c r="AH60" s="98">
        <f t="shared" si="20"/>
        <v>-281098.93339095043</v>
      </c>
      <c r="AI60" s="98">
        <f t="shared" si="20"/>
        <v>-281098.93339095043</v>
      </c>
      <c r="AJ60" s="98">
        <f t="shared" si="20"/>
        <v>-281098.93339095043</v>
      </c>
      <c r="AK60" s="98">
        <f t="shared" si="20"/>
        <v>-281098.93339095043</v>
      </c>
      <c r="AL60" s="98">
        <f t="shared" si="20"/>
        <v>-281098.93339095043</v>
      </c>
      <c r="AM60" s="98">
        <f t="shared" si="20"/>
        <v>-281098.93339095043</v>
      </c>
      <c r="AN60" s="98">
        <f t="shared" si="20"/>
        <v>-281098.93339095043</v>
      </c>
      <c r="AO60" s="98">
        <f t="shared" si="20"/>
        <v>-281098.93339095043</v>
      </c>
      <c r="AP60" s="98">
        <f t="shared" si="20"/>
        <v>-281098.93339095043</v>
      </c>
      <c r="AQ60" s="98">
        <f t="shared" si="20"/>
        <v>-281098.93339095043</v>
      </c>
      <c r="AR60" s="98">
        <f t="shared" si="20"/>
        <v>-281098.93339095043</v>
      </c>
      <c r="AS60" s="98">
        <f t="shared" si="20"/>
        <v>0</v>
      </c>
      <c r="AT60" s="98">
        <f t="shared" si="20"/>
        <v>0</v>
      </c>
      <c r="AU60" s="100">
        <f t="shared" si="13"/>
        <v>40912.332461987622</v>
      </c>
    </row>
    <row r="61" spans="1:47" x14ac:dyDescent="0.2">
      <c r="A61" s="128">
        <f t="shared" si="10"/>
        <v>31</v>
      </c>
      <c r="B61" s="2"/>
      <c r="C61" s="2"/>
      <c r="D61" s="114"/>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4"/>
    </row>
    <row r="62" spans="1:47" s="50" customFormat="1" x14ac:dyDescent="0.2">
      <c r="A62" s="128">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128">
        <f t="shared" si="10"/>
        <v>33</v>
      </c>
      <c r="B63" s="2"/>
      <c r="C63" s="117"/>
      <c r="E63" s="118"/>
      <c r="F63" s="119"/>
      <c r="G63" s="119"/>
      <c r="H63" s="119"/>
      <c r="I63" s="119"/>
      <c r="J63" s="119"/>
      <c r="K63" s="119"/>
      <c r="L63" s="119"/>
      <c r="M63" s="120"/>
      <c r="N63" s="120"/>
      <c r="O63" s="120"/>
      <c r="P63" s="120"/>
      <c r="Q63" s="120"/>
      <c r="R63" s="120"/>
      <c r="S63" s="120"/>
      <c r="T63" s="120"/>
      <c r="U63" s="120"/>
      <c r="V63" s="120"/>
      <c r="W63" s="120"/>
      <c r="X63" s="120"/>
      <c r="Y63" s="120"/>
      <c r="Z63" s="114"/>
      <c r="AA63" s="114"/>
      <c r="AB63" s="114"/>
      <c r="AC63" s="114"/>
      <c r="AD63" s="114"/>
      <c r="AE63" s="114"/>
      <c r="AF63" s="114"/>
      <c r="AG63" s="114"/>
      <c r="AH63" s="114"/>
      <c r="AI63" s="114"/>
      <c r="AJ63" s="114"/>
      <c r="AK63" s="114"/>
      <c r="AL63" s="114"/>
      <c r="AM63" s="114"/>
      <c r="AN63" s="114"/>
      <c r="AO63" s="3"/>
    </row>
    <row r="64" spans="1:47" outlineLevel="1" x14ac:dyDescent="0.25">
      <c r="A64" s="128">
        <f t="shared" si="10"/>
        <v>34</v>
      </c>
      <c r="B64" s="2"/>
      <c r="C64" s="117"/>
      <c r="E64" s="118"/>
      <c r="F64" s="119"/>
      <c r="G64" s="119"/>
      <c r="H64" s="119"/>
      <c r="I64" s="119"/>
      <c r="J64" s="119"/>
      <c r="K64" s="119"/>
      <c r="L64" s="119"/>
      <c r="M64" s="120"/>
      <c r="N64" s="120"/>
      <c r="O64" s="120"/>
      <c r="P64" s="120"/>
      <c r="Q64" s="120"/>
      <c r="R64" s="120"/>
      <c r="S64" s="120"/>
      <c r="T64" s="120"/>
      <c r="U64" s="120"/>
      <c r="V64" s="120"/>
      <c r="W64" s="120"/>
      <c r="X64" s="120"/>
      <c r="Y64" s="120"/>
      <c r="Z64" s="114"/>
      <c r="AA64" s="114"/>
      <c r="AB64" s="114"/>
      <c r="AC64" s="114"/>
      <c r="AD64" s="114"/>
      <c r="AE64" s="114"/>
      <c r="AF64" s="114"/>
      <c r="AG64" s="114"/>
      <c r="AH64" s="114"/>
      <c r="AI64" s="114"/>
      <c r="AJ64" s="114"/>
      <c r="AK64" s="114"/>
      <c r="AL64" s="114"/>
      <c r="AM64" s="114"/>
      <c r="AN64" s="114"/>
      <c r="AO64" s="3"/>
    </row>
    <row r="65" spans="1:42" s="50" customFormat="1" x14ac:dyDescent="0.25">
      <c r="A65" s="128">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8">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4"/>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topLeftCell="A40" zoomScaleNormal="100" workbookViewId="0">
      <selection activeCell="F16" sqref="F16"/>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6.7109375" style="56" customWidth="1"/>
    <col min="6" max="6" width="13.42578125" style="56" customWidth="1"/>
    <col min="7" max="7" width="14.5703125" style="56" bestFit="1" customWidth="1"/>
    <col min="8" max="8" width="12.5703125" style="56" customWidth="1"/>
    <col min="9" max="9" width="14.28515625" style="56" bestFit="1" customWidth="1"/>
    <col min="10"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1.65" customHeight="1" x14ac:dyDescent="0.25">
      <c r="A1" s="1" t="s">
        <v>0</v>
      </c>
      <c r="B1" s="2"/>
      <c r="C1" s="2"/>
      <c r="E1" s="443"/>
      <c r="F1" s="443"/>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1.6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75" customHeight="1" x14ac:dyDescent="0.25">
      <c r="A3" s="6" t="s">
        <v>2</v>
      </c>
      <c r="B3" s="2"/>
      <c r="C3" s="124" t="s">
        <v>122</v>
      </c>
      <c r="D3" s="114"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1.6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177"/>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74" t="s">
        <v>121</v>
      </c>
      <c r="E6" s="109"/>
      <c r="F6" s="110" t="s">
        <v>169</v>
      </c>
      <c r="G6" s="178" t="s">
        <v>170</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79" t="s">
        <v>5</v>
      </c>
      <c r="H7" s="3"/>
      <c r="I7" s="3"/>
      <c r="J7" s="3"/>
      <c r="K7" s="3"/>
      <c r="L7" s="3"/>
      <c r="M7" s="11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75" customHeight="1" x14ac:dyDescent="0.2">
      <c r="A8" s="12" t="s">
        <v>6</v>
      </c>
      <c r="B8" s="13"/>
      <c r="C8" s="13"/>
      <c r="D8" s="19" t="s">
        <v>7</v>
      </c>
      <c r="E8" s="19" t="s">
        <v>8</v>
      </c>
      <c r="F8" s="20" t="s">
        <v>8</v>
      </c>
      <c r="G8" s="180" t="s">
        <v>8</v>
      </c>
      <c r="H8" s="3"/>
      <c r="I8" s="3"/>
      <c r="J8" s="3"/>
      <c r="K8" s="3"/>
      <c r="L8" s="3"/>
      <c r="M8" s="101"/>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65" customHeight="1" x14ac:dyDescent="0.2">
      <c r="A9" s="12"/>
      <c r="B9" s="13"/>
      <c r="C9" s="13"/>
      <c r="D9" s="14"/>
      <c r="E9" s="14"/>
      <c r="F9" s="21"/>
      <c r="G9" s="181"/>
      <c r="H9" s="3"/>
      <c r="I9" s="3"/>
      <c r="J9" s="3"/>
      <c r="K9" s="3"/>
      <c r="L9" s="3"/>
      <c r="M9" s="101"/>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1.65" customHeight="1" x14ac:dyDescent="0.2">
      <c r="A10" s="12"/>
      <c r="B10" s="13"/>
      <c r="C10" s="13"/>
      <c r="D10" s="23"/>
      <c r="E10" s="23"/>
      <c r="F10" s="24"/>
      <c r="G10" s="182"/>
      <c r="H10" s="3"/>
      <c r="I10" s="3"/>
      <c r="J10" s="3"/>
      <c r="K10" s="3"/>
      <c r="L10" s="3"/>
      <c r="M10" s="101"/>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v>0.51500000000000001</v>
      </c>
      <c r="E11" s="23">
        <v>5.8058252427184473E-2</v>
      </c>
      <c r="F11" s="24">
        <v>2.9899999999999999E-2</v>
      </c>
      <c r="G11" s="182">
        <f>'2019 GRC'!E12</f>
        <v>2.8299999999999999E-2</v>
      </c>
      <c r="H11" s="3"/>
      <c r="I11" s="3"/>
      <c r="J11" s="3"/>
      <c r="K11" s="3"/>
      <c r="L11" s="3"/>
      <c r="M11" s="101"/>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183">
        <f>'2019 GRC'!E13</f>
        <v>4.5600000000000002E-2</v>
      </c>
      <c r="H12" s="3"/>
      <c r="I12" s="186"/>
      <c r="J12" s="3"/>
      <c r="K12" s="3"/>
      <c r="L12" s="3"/>
      <c r="M12" s="101"/>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184">
        <f>G10+G11+G12</f>
        <v>7.3899999999999993E-2</v>
      </c>
      <c r="H13" s="3"/>
      <c r="I13" s="3"/>
      <c r="J13" s="3"/>
      <c r="K13" s="3"/>
      <c r="L13" s="3"/>
      <c r="M13" s="101"/>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1.65" customHeight="1" thickTop="1" x14ac:dyDescent="0.2">
      <c r="A14" s="12"/>
      <c r="B14" s="13"/>
      <c r="C14" s="13"/>
      <c r="D14" s="14"/>
      <c r="E14" s="14"/>
      <c r="F14" s="21"/>
      <c r="G14" s="181"/>
      <c r="H14" s="3"/>
      <c r="I14" s="3"/>
      <c r="J14" s="3"/>
      <c r="K14" s="3"/>
      <c r="L14" s="3"/>
      <c r="M14" s="101"/>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182">
        <f>'2019 GRC'!I19</f>
        <v>0.21</v>
      </c>
      <c r="H15" s="3"/>
      <c r="I15" s="3"/>
      <c r="J15" s="3"/>
      <c r="K15" s="3"/>
      <c r="L15" s="3"/>
      <c r="M15" s="101"/>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thickBot="1" x14ac:dyDescent="0.25">
      <c r="A16" s="12" t="s">
        <v>12</v>
      </c>
      <c r="B16" s="13"/>
      <c r="C16" s="13"/>
      <c r="D16" s="14"/>
      <c r="E16" s="14"/>
      <c r="F16" s="24">
        <f>'2017 4.01 G'!F17</f>
        <v>4.5462000000000002E-2</v>
      </c>
      <c r="G16" s="185">
        <f>'2019 GRC'!J16</f>
        <v>4.5447000000000001E-2</v>
      </c>
      <c r="H16" s="3"/>
      <c r="I16" s="3"/>
      <c r="J16" s="3"/>
      <c r="K16" s="3"/>
      <c r="L16" s="3"/>
      <c r="M16" s="101"/>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v>2.4443933509191149E-2</v>
      </c>
      <c r="G17" s="23"/>
      <c r="H17" s="3"/>
      <c r="I17" s="3"/>
      <c r="J17" s="3"/>
      <c r="K17" s="3"/>
      <c r="L17" s="3"/>
      <c r="M17" s="101"/>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ht="13.5" customHeight="1" x14ac:dyDescent="0.2">
      <c r="A18" s="12" t="s">
        <v>14</v>
      </c>
      <c r="B18" s="13"/>
      <c r="C18" s="13"/>
      <c r="D18" s="14"/>
      <c r="E18" s="14"/>
      <c r="F18" s="30">
        <v>2</v>
      </c>
      <c r="G18" s="175"/>
      <c r="H18" s="3"/>
      <c r="I18" s="3"/>
      <c r="J18" s="3"/>
      <c r="K18" s="3"/>
      <c r="L18" s="3"/>
      <c r="M18" s="101"/>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ht="11.65" customHeight="1" x14ac:dyDescent="0.2">
      <c r="A19" s="12"/>
      <c r="B19" s="13"/>
      <c r="C19" s="13"/>
      <c r="D19" s="14"/>
      <c r="E19" s="14"/>
      <c r="F19" s="15"/>
      <c r="G19" s="11"/>
      <c r="H19" s="3"/>
      <c r="I19" s="3"/>
      <c r="J19" s="3"/>
      <c r="K19" s="3"/>
      <c r="L19" s="3"/>
      <c r="M19" s="101"/>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ht="11.65" customHeight="1" x14ac:dyDescent="0.2">
      <c r="A20" s="12" t="s">
        <v>15</v>
      </c>
      <c r="B20" s="13"/>
      <c r="C20" s="13"/>
      <c r="D20" s="14"/>
      <c r="E20" s="14"/>
      <c r="F20" s="15"/>
      <c r="G20" s="11"/>
      <c r="H20" s="3"/>
      <c r="I20" s="3"/>
      <c r="J20" s="3"/>
      <c r="K20" s="3"/>
      <c r="L20" s="3"/>
      <c r="N20" s="11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1.65" customHeight="1" x14ac:dyDescent="0.2">
      <c r="A21" s="12" t="s">
        <v>16</v>
      </c>
      <c r="B21" s="13"/>
      <c r="C21" s="13"/>
      <c r="D21" s="14"/>
      <c r="E21" s="14"/>
      <c r="F21" s="15"/>
      <c r="G21" s="1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3.15" customHeight="1" thickBot="1" x14ac:dyDescent="0.25">
      <c r="A22" s="31" t="s">
        <v>17</v>
      </c>
      <c r="B22" s="32"/>
      <c r="C22" s="32"/>
      <c r="D22" s="32"/>
      <c r="E22" s="33"/>
      <c r="F22" s="57">
        <v>60639592.879999995</v>
      </c>
      <c r="G22" s="176"/>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9.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4"/>
      <c r="E25" s="36" t="s">
        <v>18</v>
      </c>
      <c r="F25" s="91"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4"/>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124">
        <v>1</v>
      </c>
      <c r="B27" s="2" t="s">
        <v>53</v>
      </c>
      <c r="C27" s="2"/>
      <c r="D27" s="114"/>
      <c r="E27" s="38">
        <f>$F22*$F17</f>
        <v>1482270.176383141</v>
      </c>
      <c r="F27" s="98">
        <f>$F22*$F17</f>
        <v>1482270.176383141</v>
      </c>
      <c r="G27" s="98">
        <f>$F22*$F17</f>
        <v>1482270.176383141</v>
      </c>
      <c r="H27" s="98">
        <f t="shared" ref="H27:AR27" si="0">$F22*$F17</f>
        <v>1482270.176383141</v>
      </c>
      <c r="I27" s="98">
        <f t="shared" si="0"/>
        <v>1482270.176383141</v>
      </c>
      <c r="J27" s="98">
        <f t="shared" si="0"/>
        <v>1482270.176383141</v>
      </c>
      <c r="K27" s="98">
        <f t="shared" si="0"/>
        <v>1482270.176383141</v>
      </c>
      <c r="L27" s="98">
        <f t="shared" si="0"/>
        <v>1482270.176383141</v>
      </c>
      <c r="M27" s="98">
        <f t="shared" si="0"/>
        <v>1482270.176383141</v>
      </c>
      <c r="N27" s="98">
        <f t="shared" si="0"/>
        <v>1482270.176383141</v>
      </c>
      <c r="O27" s="98">
        <f t="shared" si="0"/>
        <v>1482270.176383141</v>
      </c>
      <c r="P27" s="98">
        <f t="shared" si="0"/>
        <v>1482270.176383141</v>
      </c>
      <c r="Q27" s="98">
        <f t="shared" si="0"/>
        <v>1482270.176383141</v>
      </c>
      <c r="R27" s="98">
        <f t="shared" si="0"/>
        <v>1482270.176383141</v>
      </c>
      <c r="S27" s="98">
        <f t="shared" si="0"/>
        <v>1482270.176383141</v>
      </c>
      <c r="T27" s="98">
        <f t="shared" si="0"/>
        <v>1482270.176383141</v>
      </c>
      <c r="U27" s="98">
        <f t="shared" si="0"/>
        <v>1482270.176383141</v>
      </c>
      <c r="V27" s="98">
        <f t="shared" si="0"/>
        <v>1482270.176383141</v>
      </c>
      <c r="W27" s="98">
        <f t="shared" si="0"/>
        <v>1482270.176383141</v>
      </c>
      <c r="X27" s="98">
        <f t="shared" si="0"/>
        <v>1482270.176383141</v>
      </c>
      <c r="Y27" s="98">
        <f t="shared" si="0"/>
        <v>1482270.176383141</v>
      </c>
      <c r="Z27" s="98">
        <f t="shared" si="0"/>
        <v>1482270.176383141</v>
      </c>
      <c r="AA27" s="98">
        <f t="shared" si="0"/>
        <v>1482270.176383141</v>
      </c>
      <c r="AB27" s="98">
        <f t="shared" si="0"/>
        <v>1482270.176383141</v>
      </c>
      <c r="AC27" s="98">
        <f t="shared" si="0"/>
        <v>1482270.176383141</v>
      </c>
      <c r="AD27" s="98">
        <f t="shared" si="0"/>
        <v>1482270.176383141</v>
      </c>
      <c r="AE27" s="98">
        <f t="shared" si="0"/>
        <v>1482270.176383141</v>
      </c>
      <c r="AF27" s="98">
        <f t="shared" si="0"/>
        <v>1482270.176383141</v>
      </c>
      <c r="AG27" s="98">
        <f t="shared" si="0"/>
        <v>1482270.176383141</v>
      </c>
      <c r="AH27" s="98">
        <f t="shared" si="0"/>
        <v>1482270.176383141</v>
      </c>
      <c r="AI27" s="98">
        <f t="shared" si="0"/>
        <v>1482270.176383141</v>
      </c>
      <c r="AJ27" s="98">
        <f t="shared" si="0"/>
        <v>1482270.176383141</v>
      </c>
      <c r="AK27" s="98">
        <f t="shared" si="0"/>
        <v>1482270.176383141</v>
      </c>
      <c r="AL27" s="98">
        <f t="shared" si="0"/>
        <v>1482270.176383141</v>
      </c>
      <c r="AM27" s="98">
        <f t="shared" si="0"/>
        <v>1482270.176383141</v>
      </c>
      <c r="AN27" s="98">
        <f t="shared" si="0"/>
        <v>1482270.176383141</v>
      </c>
      <c r="AO27" s="98">
        <f t="shared" si="0"/>
        <v>1482270.176383141</v>
      </c>
      <c r="AP27" s="98">
        <f t="shared" si="0"/>
        <v>1482270.176383141</v>
      </c>
      <c r="AQ27" s="98">
        <f t="shared" si="0"/>
        <v>1482270.176383141</v>
      </c>
      <c r="AR27" s="98">
        <f t="shared" si="0"/>
        <v>1482270.176383141</v>
      </c>
      <c r="AS27" s="98">
        <v>0</v>
      </c>
      <c r="AT27" s="98"/>
      <c r="AU27" s="100">
        <f>SUM(D27:AT27)</f>
        <v>59290807.05532559</v>
      </c>
      <c r="AV27" s="22">
        <f>F22</f>
        <v>60639592.879999995</v>
      </c>
    </row>
    <row r="28" spans="1:48" x14ac:dyDescent="0.2">
      <c r="A28" s="2"/>
      <c r="B28" s="2"/>
      <c r="C28" s="2"/>
      <c r="D28" s="114"/>
      <c r="E28" s="3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39"/>
      <c r="AN28" s="98"/>
      <c r="AO28" s="98"/>
      <c r="AP28" s="115"/>
    </row>
    <row r="29" spans="1:48" x14ac:dyDescent="0.2">
      <c r="A29" s="124">
        <f>A27+1</f>
        <v>2</v>
      </c>
      <c r="B29" s="2" t="s">
        <v>54</v>
      </c>
      <c r="C29" s="2"/>
      <c r="D29" s="114"/>
      <c r="E29" s="38">
        <f>E53</f>
        <v>733002.76971787796</v>
      </c>
      <c r="F29" s="98">
        <f t="shared" ref="F29:AT29" si="1">F53</f>
        <v>702392.57976173412</v>
      </c>
      <c r="G29" s="98">
        <f t="shared" si="1"/>
        <v>677473.48090067063</v>
      </c>
      <c r="H29" s="98">
        <f t="shared" si="1"/>
        <v>653358.59365427354</v>
      </c>
      <c r="I29" s="98">
        <f t="shared" si="1"/>
        <v>629987.71792086912</v>
      </c>
      <c r="J29" s="98">
        <f t="shared" si="1"/>
        <v>607305.28437583544</v>
      </c>
      <c r="K29" s="98">
        <f t="shared" si="1"/>
        <v>585259.5826754272</v>
      </c>
      <c r="L29" s="98">
        <f t="shared" si="1"/>
        <v>563802.7614567756</v>
      </c>
      <c r="M29" s="98">
        <f t="shared" si="1"/>
        <v>542674.72540880332</v>
      </c>
      <c r="N29" s="98">
        <f t="shared" si="1"/>
        <v>521593.76892752462</v>
      </c>
      <c r="O29" s="98">
        <f t="shared" si="1"/>
        <v>500512.81244624581</v>
      </c>
      <c r="P29" s="98">
        <f t="shared" si="1"/>
        <v>479431.85596496699</v>
      </c>
      <c r="Q29" s="98">
        <f t="shared" si="1"/>
        <v>458350.89948368829</v>
      </c>
      <c r="R29" s="98">
        <f t="shared" si="1"/>
        <v>437269.94300240959</v>
      </c>
      <c r="S29" s="98">
        <f t="shared" si="1"/>
        <v>416188.98652113089</v>
      </c>
      <c r="T29" s="98">
        <f t="shared" si="1"/>
        <v>395108.03003985208</v>
      </c>
      <c r="U29" s="98">
        <f t="shared" si="1"/>
        <v>374027.07355857326</v>
      </c>
      <c r="V29" s="98">
        <f t="shared" si="1"/>
        <v>352946.11707729456</v>
      </c>
      <c r="W29" s="98">
        <f t="shared" si="1"/>
        <v>331865.16059601575</v>
      </c>
      <c r="X29" s="98">
        <f t="shared" si="1"/>
        <v>310784.20411473705</v>
      </c>
      <c r="Y29" s="98">
        <f t="shared" si="1"/>
        <v>291425.12490056054</v>
      </c>
      <c r="Z29" s="98">
        <f t="shared" si="1"/>
        <v>275509.02842441335</v>
      </c>
      <c r="AA29" s="98">
        <f t="shared" si="1"/>
        <v>261314.80921536835</v>
      </c>
      <c r="AB29" s="98">
        <f t="shared" si="1"/>
        <v>247120.59000632336</v>
      </c>
      <c r="AC29" s="98">
        <f t="shared" si="1"/>
        <v>232926.37079727848</v>
      </c>
      <c r="AD29" s="98">
        <f t="shared" si="1"/>
        <v>218732.15158823351</v>
      </c>
      <c r="AE29" s="98">
        <f t="shared" si="1"/>
        <v>204537.9323791886</v>
      </c>
      <c r="AF29" s="98">
        <f t="shared" si="1"/>
        <v>190343.71317014366</v>
      </c>
      <c r="AG29" s="98">
        <f t="shared" si="1"/>
        <v>176149.49396109875</v>
      </c>
      <c r="AH29" s="98">
        <f t="shared" si="1"/>
        <v>161955.27475205384</v>
      </c>
      <c r="AI29" s="98">
        <f t="shared" si="1"/>
        <v>147761.05554300893</v>
      </c>
      <c r="AJ29" s="98">
        <f t="shared" si="1"/>
        <v>133566.83633396399</v>
      </c>
      <c r="AK29" s="98">
        <f t="shared" si="1"/>
        <v>119372.61712491907</v>
      </c>
      <c r="AL29" s="98">
        <f t="shared" si="1"/>
        <v>105178.39791587417</v>
      </c>
      <c r="AM29" s="98">
        <f t="shared" si="1"/>
        <v>90984.178706829262</v>
      </c>
      <c r="AN29" s="98">
        <f t="shared" si="1"/>
        <v>76789.959497784337</v>
      </c>
      <c r="AO29" s="98">
        <f t="shared" si="1"/>
        <v>62595.74028873942</v>
      </c>
      <c r="AP29" s="98">
        <f t="shared" si="1"/>
        <v>48401.52107969451</v>
      </c>
      <c r="AQ29" s="98">
        <f t="shared" si="1"/>
        <v>34207.301870649593</v>
      </c>
      <c r="AR29" s="98">
        <f t="shared" si="1"/>
        <v>20013.082661604672</v>
      </c>
      <c r="AS29" s="98">
        <f t="shared" ref="AS29" si="2">AS53</f>
        <v>12915.973057082216</v>
      </c>
      <c r="AT29" s="98">
        <f t="shared" si="1"/>
        <v>12915.973057082216</v>
      </c>
      <c r="AU29" s="100">
        <f>SUM(D29:AT29)</f>
        <v>13398053.473936601</v>
      </c>
    </row>
    <row r="30" spans="1:48" x14ac:dyDescent="0.2">
      <c r="A30" s="2"/>
      <c r="B30" s="2"/>
      <c r="C30" s="2"/>
      <c r="D30" s="114"/>
      <c r="E30" s="3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8" x14ac:dyDescent="0.2">
      <c r="A31" s="2"/>
      <c r="B31" s="2" t="s">
        <v>55</v>
      </c>
      <c r="C31" s="2"/>
      <c r="D31" s="114"/>
      <c r="E31" s="3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8" x14ac:dyDescent="0.2">
      <c r="A32" s="124">
        <f>A29+1</f>
        <v>3</v>
      </c>
      <c r="B32" s="2"/>
      <c r="C32" s="2"/>
      <c r="D32" s="114"/>
      <c r="E32" s="38">
        <f>E49*$F10</f>
        <v>0</v>
      </c>
      <c r="F32" s="98">
        <f>F49*$G10</f>
        <v>0</v>
      </c>
      <c r="G32" s="98">
        <f t="shared" ref="G32:AT32" si="3">G49*$F10</f>
        <v>0</v>
      </c>
      <c r="H32" s="98">
        <f t="shared" si="3"/>
        <v>0</v>
      </c>
      <c r="I32" s="98">
        <f t="shared" si="3"/>
        <v>0</v>
      </c>
      <c r="J32" s="98">
        <f t="shared" si="3"/>
        <v>0</v>
      </c>
      <c r="K32" s="98">
        <f t="shared" si="3"/>
        <v>0</v>
      </c>
      <c r="L32" s="98">
        <f t="shared" si="3"/>
        <v>0</v>
      </c>
      <c r="M32" s="98">
        <f t="shared" si="3"/>
        <v>0</v>
      </c>
      <c r="N32" s="98">
        <f t="shared" si="3"/>
        <v>0</v>
      </c>
      <c r="O32" s="98">
        <f t="shared" si="3"/>
        <v>0</v>
      </c>
      <c r="P32" s="98">
        <f t="shared" si="3"/>
        <v>0</v>
      </c>
      <c r="Q32" s="98">
        <f t="shared" si="3"/>
        <v>0</v>
      </c>
      <c r="R32" s="98">
        <f t="shared" si="3"/>
        <v>0</v>
      </c>
      <c r="S32" s="98">
        <f t="shared" si="3"/>
        <v>0</v>
      </c>
      <c r="T32" s="98">
        <f t="shared" si="3"/>
        <v>0</v>
      </c>
      <c r="U32" s="98">
        <f t="shared" si="3"/>
        <v>0</v>
      </c>
      <c r="V32" s="98">
        <f t="shared" si="3"/>
        <v>0</v>
      </c>
      <c r="W32" s="98">
        <f t="shared" si="3"/>
        <v>0</v>
      </c>
      <c r="X32" s="98">
        <f t="shared" si="3"/>
        <v>0</v>
      </c>
      <c r="Y32" s="98">
        <f t="shared" si="3"/>
        <v>0</v>
      </c>
      <c r="Z32" s="98">
        <f t="shared" si="3"/>
        <v>0</v>
      </c>
      <c r="AA32" s="98">
        <f t="shared" si="3"/>
        <v>0</v>
      </c>
      <c r="AB32" s="98">
        <f t="shared" si="3"/>
        <v>0</v>
      </c>
      <c r="AC32" s="98">
        <f t="shared" si="3"/>
        <v>0</v>
      </c>
      <c r="AD32" s="98">
        <f t="shared" si="3"/>
        <v>0</v>
      </c>
      <c r="AE32" s="98">
        <f t="shared" si="3"/>
        <v>0</v>
      </c>
      <c r="AF32" s="98">
        <f t="shared" si="3"/>
        <v>0</v>
      </c>
      <c r="AG32" s="98">
        <f t="shared" si="3"/>
        <v>0</v>
      </c>
      <c r="AH32" s="98">
        <f t="shared" si="3"/>
        <v>0</v>
      </c>
      <c r="AI32" s="98">
        <f t="shared" si="3"/>
        <v>0</v>
      </c>
      <c r="AJ32" s="98">
        <f t="shared" si="3"/>
        <v>0</v>
      </c>
      <c r="AK32" s="98">
        <f t="shared" si="3"/>
        <v>0</v>
      </c>
      <c r="AL32" s="98">
        <f t="shared" si="3"/>
        <v>0</v>
      </c>
      <c r="AM32" s="98">
        <f t="shared" si="3"/>
        <v>0</v>
      </c>
      <c r="AN32" s="98">
        <f t="shared" si="3"/>
        <v>0</v>
      </c>
      <c r="AO32" s="98">
        <f t="shared" si="3"/>
        <v>0</v>
      </c>
      <c r="AP32" s="98">
        <f t="shared" si="3"/>
        <v>0</v>
      </c>
      <c r="AQ32" s="98">
        <f t="shared" si="3"/>
        <v>0</v>
      </c>
      <c r="AR32" s="98">
        <f t="shared" si="3"/>
        <v>0</v>
      </c>
      <c r="AS32" s="98">
        <f t="shared" ref="AS32" si="4">AS49*$F10</f>
        <v>0</v>
      </c>
      <c r="AT32" s="98">
        <f t="shared" si="3"/>
        <v>0</v>
      </c>
      <c r="AU32" s="100">
        <f t="shared" ref="AU32:AU42" si="5">SUM(D32:AT32)</f>
        <v>0</v>
      </c>
    </row>
    <row r="33" spans="1:47" x14ac:dyDescent="0.2">
      <c r="A33" s="124">
        <f>A32+1</f>
        <v>4</v>
      </c>
      <c r="B33" s="13"/>
      <c r="C33" s="13" t="s">
        <v>102</v>
      </c>
      <c r="D33" s="114"/>
      <c r="E33" s="38">
        <f>E49*$F11</f>
        <v>1788478.3001245733</v>
      </c>
      <c r="F33" s="98">
        <f>F49*$G11</f>
        <v>1639869.5599136476</v>
      </c>
      <c r="G33" s="98">
        <f>G49*$G11</f>
        <v>1581691.1667184934</v>
      </c>
      <c r="H33" s="98">
        <f t="shared" ref="H33:AT33" si="6">H49*$G11</f>
        <v>1525390.3590568707</v>
      </c>
      <c r="I33" s="98">
        <f t="shared" si="6"/>
        <v>1470826.5882995897</v>
      </c>
      <c r="J33" s="98">
        <f t="shared" si="6"/>
        <v>1417870.1172504753</v>
      </c>
      <c r="K33" s="98">
        <f t="shared" si="6"/>
        <v>1366400.2182408653</v>
      </c>
      <c r="L33" s="98">
        <f t="shared" si="6"/>
        <v>1316305.1731296086</v>
      </c>
      <c r="M33" s="98">
        <f t="shared" si="6"/>
        <v>1266977.7397623868</v>
      </c>
      <c r="N33" s="98">
        <f t="shared" si="6"/>
        <v>1217760.2226308133</v>
      </c>
      <c r="O33" s="98">
        <f t="shared" si="6"/>
        <v>1168542.7054992395</v>
      </c>
      <c r="P33" s="98">
        <f t="shared" si="6"/>
        <v>1119325.1883676657</v>
      </c>
      <c r="Q33" s="98">
        <f t="shared" si="6"/>
        <v>1070107.6712360922</v>
      </c>
      <c r="R33" s="98">
        <f t="shared" si="6"/>
        <v>1020890.1541045187</v>
      </c>
      <c r="S33" s="98">
        <f t="shared" si="6"/>
        <v>971672.63697294518</v>
      </c>
      <c r="T33" s="98">
        <f t="shared" si="6"/>
        <v>922455.11984137143</v>
      </c>
      <c r="U33" s="98">
        <f t="shared" si="6"/>
        <v>873237.60270979768</v>
      </c>
      <c r="V33" s="98">
        <f t="shared" si="6"/>
        <v>824020.08557822416</v>
      </c>
      <c r="W33" s="98">
        <f t="shared" si="6"/>
        <v>774802.56844665052</v>
      </c>
      <c r="X33" s="98">
        <f t="shared" si="6"/>
        <v>725585.05131507688</v>
      </c>
      <c r="Y33" s="98">
        <f t="shared" si="6"/>
        <v>680387.58535942272</v>
      </c>
      <c r="Z33" s="98">
        <f t="shared" si="6"/>
        <v>643228.4198501053</v>
      </c>
      <c r="AA33" s="98">
        <f t="shared" si="6"/>
        <v>610089.30551670736</v>
      </c>
      <c r="AB33" s="98">
        <f t="shared" si="6"/>
        <v>576950.19118330954</v>
      </c>
      <c r="AC33" s="98">
        <f t="shared" si="6"/>
        <v>543811.07684991171</v>
      </c>
      <c r="AD33" s="98">
        <f t="shared" si="6"/>
        <v>510671.96251651383</v>
      </c>
      <c r="AE33" s="98">
        <f t="shared" si="6"/>
        <v>477532.84818311606</v>
      </c>
      <c r="AF33" s="98">
        <f t="shared" si="6"/>
        <v>444393.73384971829</v>
      </c>
      <c r="AG33" s="98">
        <f t="shared" si="6"/>
        <v>411254.61951632053</v>
      </c>
      <c r="AH33" s="98">
        <f t="shared" si="6"/>
        <v>378115.5051829227</v>
      </c>
      <c r="AI33" s="98">
        <f t="shared" si="6"/>
        <v>344976.39084952493</v>
      </c>
      <c r="AJ33" s="98">
        <f t="shared" si="6"/>
        <v>311837.27651612711</v>
      </c>
      <c r="AK33" s="98">
        <f t="shared" si="6"/>
        <v>278698.16218272928</v>
      </c>
      <c r="AL33" s="98">
        <f t="shared" si="6"/>
        <v>245559.04784933155</v>
      </c>
      <c r="AM33" s="98">
        <f t="shared" si="6"/>
        <v>212419.93351593375</v>
      </c>
      <c r="AN33" s="98">
        <f t="shared" si="6"/>
        <v>179280.81918253598</v>
      </c>
      <c r="AO33" s="98">
        <f t="shared" si="6"/>
        <v>146141.70484913819</v>
      </c>
      <c r="AP33" s="98">
        <f t="shared" si="6"/>
        <v>113002.5905157404</v>
      </c>
      <c r="AQ33" s="98">
        <f t="shared" si="6"/>
        <v>79863.476182342609</v>
      </c>
      <c r="AR33" s="98">
        <f t="shared" si="6"/>
        <v>46724.361848944827</v>
      </c>
      <c r="AS33" s="98">
        <f t="shared" si="6"/>
        <v>30154.804682245936</v>
      </c>
      <c r="AT33" s="98">
        <f t="shared" si="6"/>
        <v>30154.804682245936</v>
      </c>
      <c r="AU33" s="100">
        <f t="shared" si="5"/>
        <v>31357456.850063797</v>
      </c>
    </row>
    <row r="34" spans="1:47" x14ac:dyDescent="0.2">
      <c r="A34" s="124">
        <f>A33+1</f>
        <v>5</v>
      </c>
      <c r="B34" s="2"/>
      <c r="C34" s="2" t="s">
        <v>9</v>
      </c>
      <c r="D34" s="114"/>
      <c r="E34" s="40">
        <f>E49*$F12</f>
        <v>2757486.6098910649</v>
      </c>
      <c r="F34" s="96">
        <f>F49*$G12</f>
        <v>2642333.990532238</v>
      </c>
      <c r="G34" s="96">
        <f t="shared" ref="G34:AT34" si="7">G49*$G12</f>
        <v>2548590.713864428</v>
      </c>
      <c r="H34" s="96">
        <f t="shared" si="7"/>
        <v>2457872.8046994102</v>
      </c>
      <c r="I34" s="96">
        <f t="shared" si="7"/>
        <v>2369953.7959880317</v>
      </c>
      <c r="J34" s="96">
        <f t="shared" si="7"/>
        <v>2284624.6412233813</v>
      </c>
      <c r="K34" s="96">
        <f t="shared" si="7"/>
        <v>2201690.8110170835</v>
      </c>
      <c r="L34" s="96">
        <f t="shared" si="7"/>
        <v>2120972.2930992986</v>
      </c>
      <c r="M34" s="96">
        <f t="shared" si="7"/>
        <v>2041490.6336807366</v>
      </c>
      <c r="N34" s="96">
        <f t="shared" si="7"/>
        <v>1962186.0831083071</v>
      </c>
      <c r="O34" s="96">
        <f t="shared" si="7"/>
        <v>1882881.5325358773</v>
      </c>
      <c r="P34" s="96">
        <f t="shared" si="7"/>
        <v>1803576.9819634475</v>
      </c>
      <c r="Q34" s="96">
        <f t="shared" si="7"/>
        <v>1724272.431391018</v>
      </c>
      <c r="R34" s="96">
        <f t="shared" si="7"/>
        <v>1644967.8808185887</v>
      </c>
      <c r="S34" s="96">
        <f t="shared" si="7"/>
        <v>1565663.3302461591</v>
      </c>
      <c r="T34" s="96">
        <f t="shared" si="7"/>
        <v>1486358.7796737293</v>
      </c>
      <c r="U34" s="96">
        <f t="shared" si="7"/>
        <v>1407054.2291012995</v>
      </c>
      <c r="V34" s="96">
        <f t="shared" si="7"/>
        <v>1327749.6785288702</v>
      </c>
      <c r="W34" s="96">
        <f t="shared" si="7"/>
        <v>1248445.1279564404</v>
      </c>
      <c r="X34" s="96">
        <f t="shared" si="7"/>
        <v>1169140.5773840109</v>
      </c>
      <c r="Y34" s="96">
        <f t="shared" si="7"/>
        <v>1096313.5651021088</v>
      </c>
      <c r="Z34" s="96">
        <f t="shared" si="7"/>
        <v>1036438.725977555</v>
      </c>
      <c r="AA34" s="96">
        <f t="shared" si="7"/>
        <v>983041.42514352861</v>
      </c>
      <c r="AB34" s="96">
        <f t="shared" si="7"/>
        <v>929644.12430950231</v>
      </c>
      <c r="AC34" s="96">
        <f t="shared" si="7"/>
        <v>876246.82347547624</v>
      </c>
      <c r="AD34" s="96">
        <f t="shared" si="7"/>
        <v>822849.52264144993</v>
      </c>
      <c r="AE34" s="96">
        <f t="shared" si="7"/>
        <v>769452.22180742386</v>
      </c>
      <c r="AF34" s="96">
        <f t="shared" si="7"/>
        <v>716054.92097339767</v>
      </c>
      <c r="AG34" s="96">
        <f t="shared" si="7"/>
        <v>662657.6201393716</v>
      </c>
      <c r="AH34" s="96">
        <f t="shared" si="7"/>
        <v>609260.31930534542</v>
      </c>
      <c r="AI34" s="96">
        <f t="shared" si="7"/>
        <v>555863.01847131934</v>
      </c>
      <c r="AJ34" s="96">
        <f t="shared" si="7"/>
        <v>502465.71763729322</v>
      </c>
      <c r="AK34" s="96">
        <f t="shared" si="7"/>
        <v>449068.41680326703</v>
      </c>
      <c r="AL34" s="96">
        <f t="shared" si="7"/>
        <v>395671.11596924096</v>
      </c>
      <c r="AM34" s="96">
        <f t="shared" si="7"/>
        <v>342273.81513521483</v>
      </c>
      <c r="AN34" s="96">
        <f t="shared" si="7"/>
        <v>288876.51430118876</v>
      </c>
      <c r="AO34" s="96">
        <f t="shared" si="7"/>
        <v>235479.2134671626</v>
      </c>
      <c r="AP34" s="96">
        <f t="shared" si="7"/>
        <v>182081.9126331365</v>
      </c>
      <c r="AQ34" s="96">
        <f t="shared" si="7"/>
        <v>128684.61179911037</v>
      </c>
      <c r="AR34" s="96">
        <f t="shared" si="7"/>
        <v>75287.310965084253</v>
      </c>
      <c r="AS34" s="96">
        <f t="shared" si="7"/>
        <v>48588.660548071195</v>
      </c>
      <c r="AT34" s="96">
        <f t="shared" si="7"/>
        <v>48588.660548071195</v>
      </c>
      <c r="AU34" s="100">
        <f t="shared" si="5"/>
        <v>50402201.163856745</v>
      </c>
    </row>
    <row r="35" spans="1:47" x14ac:dyDescent="0.2">
      <c r="A35" s="124">
        <f>A34+1</f>
        <v>6</v>
      </c>
      <c r="B35" s="2"/>
      <c r="C35" s="2" t="s">
        <v>58</v>
      </c>
      <c r="D35" s="114"/>
      <c r="E35" s="38">
        <f>E32+E33+E34</f>
        <v>4545964.910015638</v>
      </c>
      <c r="F35" s="98">
        <f>F32+F33+F34</f>
        <v>4282203.5504458854</v>
      </c>
      <c r="G35" s="98">
        <f>G32+G33+G34</f>
        <v>4130281.8805829212</v>
      </c>
      <c r="H35" s="98">
        <f t="shared" ref="H35:AT35" si="8">H32+H33+H34</f>
        <v>3983263.1637562811</v>
      </c>
      <c r="I35" s="98">
        <f t="shared" si="8"/>
        <v>3840780.3842876214</v>
      </c>
      <c r="J35" s="98">
        <f t="shared" si="8"/>
        <v>3702494.7584738564</v>
      </c>
      <c r="K35" s="98">
        <f t="shared" si="8"/>
        <v>3568091.0292579485</v>
      </c>
      <c r="L35" s="98">
        <f t="shared" si="8"/>
        <v>3437277.466228907</v>
      </c>
      <c r="M35" s="98">
        <f t="shared" si="8"/>
        <v>3308468.3734431234</v>
      </c>
      <c r="N35" s="98">
        <f t="shared" si="8"/>
        <v>3179946.3057391206</v>
      </c>
      <c r="O35" s="98">
        <f t="shared" si="8"/>
        <v>3051424.2380351168</v>
      </c>
      <c r="P35" s="98">
        <f t="shared" si="8"/>
        <v>2922902.170331113</v>
      </c>
      <c r="Q35" s="98">
        <f t="shared" si="8"/>
        <v>2794380.1026271102</v>
      </c>
      <c r="R35" s="98">
        <f t="shared" si="8"/>
        <v>2665858.0349231074</v>
      </c>
      <c r="S35" s="98">
        <f t="shared" si="8"/>
        <v>2537335.9672191041</v>
      </c>
      <c r="T35" s="98">
        <f t="shared" si="8"/>
        <v>2408813.8995151008</v>
      </c>
      <c r="U35" s="98">
        <f t="shared" si="8"/>
        <v>2280291.8318110975</v>
      </c>
      <c r="V35" s="98">
        <f t="shared" si="8"/>
        <v>2151769.7641070941</v>
      </c>
      <c r="W35" s="98">
        <f t="shared" si="8"/>
        <v>2023247.6964030908</v>
      </c>
      <c r="X35" s="98">
        <f t="shared" si="8"/>
        <v>1894725.6286990878</v>
      </c>
      <c r="Y35" s="98">
        <f t="shared" si="8"/>
        <v>1776701.1504615315</v>
      </c>
      <c r="Z35" s="98">
        <f t="shared" si="8"/>
        <v>1679667.1458276603</v>
      </c>
      <c r="AA35" s="98">
        <f t="shared" si="8"/>
        <v>1593130.730660236</v>
      </c>
      <c r="AB35" s="98">
        <f t="shared" si="8"/>
        <v>1506594.3154928118</v>
      </c>
      <c r="AC35" s="98">
        <f t="shared" si="8"/>
        <v>1420057.9003253879</v>
      </c>
      <c r="AD35" s="98">
        <f t="shared" si="8"/>
        <v>1333521.4851579638</v>
      </c>
      <c r="AE35" s="98">
        <f t="shared" si="8"/>
        <v>1246985.0699905399</v>
      </c>
      <c r="AF35" s="98">
        <f t="shared" si="8"/>
        <v>1160448.654823116</v>
      </c>
      <c r="AG35" s="98">
        <f t="shared" si="8"/>
        <v>1073912.2396556921</v>
      </c>
      <c r="AH35" s="98">
        <f t="shared" si="8"/>
        <v>987375.82448826812</v>
      </c>
      <c r="AI35" s="98">
        <f t="shared" si="8"/>
        <v>900839.40932084434</v>
      </c>
      <c r="AJ35" s="98">
        <f t="shared" si="8"/>
        <v>814302.99415342032</v>
      </c>
      <c r="AK35" s="98">
        <f t="shared" si="8"/>
        <v>727766.57898599631</v>
      </c>
      <c r="AL35" s="98">
        <f t="shared" si="8"/>
        <v>641230.16381857253</v>
      </c>
      <c r="AM35" s="98">
        <f t="shared" si="8"/>
        <v>554693.74865114852</v>
      </c>
      <c r="AN35" s="98">
        <f t="shared" si="8"/>
        <v>468157.33348372474</v>
      </c>
      <c r="AO35" s="98">
        <f t="shared" si="8"/>
        <v>381620.91831630078</v>
      </c>
      <c r="AP35" s="98">
        <f t="shared" si="8"/>
        <v>295084.50314887689</v>
      </c>
      <c r="AQ35" s="98">
        <f t="shared" si="8"/>
        <v>208548.08798145299</v>
      </c>
      <c r="AR35" s="98">
        <f t="shared" si="8"/>
        <v>122011.67281402908</v>
      </c>
      <c r="AS35" s="98">
        <f t="shared" ref="AS35" si="9">AS32+AS33+AS34</f>
        <v>78743.465230317131</v>
      </c>
      <c r="AT35" s="98">
        <f t="shared" si="8"/>
        <v>78743.465230317131</v>
      </c>
      <c r="AU35" s="100">
        <f t="shared" si="5"/>
        <v>81759658.013920531</v>
      </c>
    </row>
    <row r="36" spans="1:47" x14ac:dyDescent="0.2">
      <c r="A36" s="2"/>
      <c r="B36" s="2"/>
      <c r="C36" s="2"/>
      <c r="D36" s="114"/>
      <c r="E36" s="3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100">
        <f t="shared" si="5"/>
        <v>0</v>
      </c>
    </row>
    <row r="37" spans="1:47" x14ac:dyDescent="0.2">
      <c r="A37" s="124">
        <f>A35+1</f>
        <v>7</v>
      </c>
      <c r="B37" s="2" t="s">
        <v>59</v>
      </c>
      <c r="C37" s="2"/>
      <c r="D37" s="114"/>
      <c r="E37" s="41">
        <f>E27+E29+E35</f>
        <v>6761237.8561166571</v>
      </c>
      <c r="F37" s="95">
        <f>F27+F29+F35</f>
        <v>6466866.3065907601</v>
      </c>
      <c r="G37" s="95">
        <f t="shared" ref="G37:AT37" si="10">G27+G29+G35</f>
        <v>6290025.537866733</v>
      </c>
      <c r="H37" s="95">
        <f t="shared" si="10"/>
        <v>6118891.9337936956</v>
      </c>
      <c r="I37" s="95">
        <f t="shared" si="10"/>
        <v>5953038.278591631</v>
      </c>
      <c r="J37" s="95">
        <f t="shared" si="10"/>
        <v>5792070.219232833</v>
      </c>
      <c r="K37" s="95">
        <f t="shared" si="10"/>
        <v>5635620.7883165162</v>
      </c>
      <c r="L37" s="95">
        <f t="shared" si="10"/>
        <v>5483350.4040688239</v>
      </c>
      <c r="M37" s="95">
        <f t="shared" si="10"/>
        <v>5333413.2752350681</v>
      </c>
      <c r="N37" s="95">
        <f t="shared" si="10"/>
        <v>5183810.2510497859</v>
      </c>
      <c r="O37" s="95">
        <f t="shared" si="10"/>
        <v>5034207.2268645037</v>
      </c>
      <c r="P37" s="95">
        <f t="shared" si="10"/>
        <v>4884604.2026792206</v>
      </c>
      <c r="Q37" s="95">
        <f t="shared" si="10"/>
        <v>4735001.1784939393</v>
      </c>
      <c r="R37" s="95">
        <f t="shared" si="10"/>
        <v>4585398.1543086581</v>
      </c>
      <c r="S37" s="95">
        <f t="shared" si="10"/>
        <v>4435795.1301233759</v>
      </c>
      <c r="T37" s="95">
        <f t="shared" si="10"/>
        <v>4286192.1059380937</v>
      </c>
      <c r="U37" s="95">
        <f t="shared" si="10"/>
        <v>4136589.0817528116</v>
      </c>
      <c r="V37" s="95">
        <f t="shared" si="10"/>
        <v>3986986.0575675294</v>
      </c>
      <c r="W37" s="95">
        <f t="shared" si="10"/>
        <v>3837383.0333822477</v>
      </c>
      <c r="X37" s="95">
        <f t="shared" si="10"/>
        <v>3687780.009196966</v>
      </c>
      <c r="Y37" s="95">
        <f t="shared" si="10"/>
        <v>3550396.451745233</v>
      </c>
      <c r="Z37" s="95">
        <f t="shared" si="10"/>
        <v>3437446.3506352147</v>
      </c>
      <c r="AA37" s="95">
        <f t="shared" si="10"/>
        <v>3336715.7162587452</v>
      </c>
      <c r="AB37" s="95">
        <f t="shared" si="10"/>
        <v>3235985.0818822761</v>
      </c>
      <c r="AC37" s="95">
        <f t="shared" si="10"/>
        <v>3135254.4475058075</v>
      </c>
      <c r="AD37" s="95">
        <f t="shared" si="10"/>
        <v>3034523.8131293384</v>
      </c>
      <c r="AE37" s="95">
        <f t="shared" si="10"/>
        <v>2933793.1787528694</v>
      </c>
      <c r="AF37" s="95">
        <f t="shared" si="10"/>
        <v>2833062.5443764008</v>
      </c>
      <c r="AG37" s="95">
        <f t="shared" si="10"/>
        <v>2732331.9099999322</v>
      </c>
      <c r="AH37" s="95">
        <f t="shared" si="10"/>
        <v>2631601.2756234631</v>
      </c>
      <c r="AI37" s="95">
        <f t="shared" si="10"/>
        <v>2530870.641246994</v>
      </c>
      <c r="AJ37" s="95">
        <f t="shared" si="10"/>
        <v>2430140.0068705254</v>
      </c>
      <c r="AK37" s="95">
        <f t="shared" si="10"/>
        <v>2329409.3724940564</v>
      </c>
      <c r="AL37" s="95">
        <f t="shared" si="10"/>
        <v>2228678.7381175878</v>
      </c>
      <c r="AM37" s="95">
        <f t="shared" si="10"/>
        <v>2127948.1037411187</v>
      </c>
      <c r="AN37" s="95">
        <f t="shared" si="10"/>
        <v>2027217.4693646501</v>
      </c>
      <c r="AO37" s="95">
        <f t="shared" si="10"/>
        <v>1926486.834988181</v>
      </c>
      <c r="AP37" s="95">
        <f t="shared" si="10"/>
        <v>1825756.2006117124</v>
      </c>
      <c r="AQ37" s="95">
        <f t="shared" si="10"/>
        <v>1725025.5662352436</v>
      </c>
      <c r="AR37" s="95">
        <f t="shared" si="10"/>
        <v>1624294.9318587747</v>
      </c>
      <c r="AS37" s="95">
        <f t="shared" ref="AS37" si="11">AS27+AS29+AS35</f>
        <v>91659.438287399345</v>
      </c>
      <c r="AT37" s="95">
        <f t="shared" si="10"/>
        <v>91659.438287399345</v>
      </c>
      <c r="AU37" s="100">
        <f t="shared" si="5"/>
        <v>154448518.54318279</v>
      </c>
    </row>
    <row r="38" spans="1:47" x14ac:dyDescent="0.2">
      <c r="A38" s="124">
        <f>A37+1</f>
        <v>8</v>
      </c>
      <c r="B38" s="2" t="s">
        <v>60</v>
      </c>
      <c r="C38" s="2"/>
      <c r="D38" s="114"/>
      <c r="E38" s="40">
        <f t="shared" ref="E38" si="12">E37/(1-$F16)-E37</f>
        <v>322019.02429738268</v>
      </c>
      <c r="F38" s="96">
        <f>F37/(1-$G16)-F37</f>
        <v>307892.46174453385</v>
      </c>
      <c r="G38" s="96">
        <f>G37/(1-$G16)-G37</f>
        <v>299472.93719618488</v>
      </c>
      <c r="H38" s="96">
        <f t="shared" ref="H38:AT38" si="13">H37/(1-$G16)-H37</f>
        <v>291325.13513144106</v>
      </c>
      <c r="I38" s="96">
        <f t="shared" si="13"/>
        <v>283428.71547955275</v>
      </c>
      <c r="J38" s="96">
        <f t="shared" si="13"/>
        <v>275764.90279059857</v>
      </c>
      <c r="K38" s="96">
        <f t="shared" si="13"/>
        <v>268316.22546534427</v>
      </c>
      <c r="L38" s="96">
        <f t="shared" si="13"/>
        <v>261066.51575524453</v>
      </c>
      <c r="M38" s="96">
        <f t="shared" si="13"/>
        <v>253927.89412385505</v>
      </c>
      <c r="N38" s="96">
        <f t="shared" si="13"/>
        <v>246805.17947087251</v>
      </c>
      <c r="O38" s="96">
        <f t="shared" si="13"/>
        <v>239682.46481788997</v>
      </c>
      <c r="P38" s="96">
        <f t="shared" si="13"/>
        <v>232559.75016490743</v>
      </c>
      <c r="Q38" s="96">
        <f t="shared" si="13"/>
        <v>225437.03551192489</v>
      </c>
      <c r="R38" s="96">
        <f t="shared" si="13"/>
        <v>218314.32085894234</v>
      </c>
      <c r="S38" s="96">
        <f t="shared" si="13"/>
        <v>211191.6062059598</v>
      </c>
      <c r="T38" s="96">
        <f t="shared" si="13"/>
        <v>204068.89155297633</v>
      </c>
      <c r="U38" s="96">
        <f t="shared" si="13"/>
        <v>196946.17689999379</v>
      </c>
      <c r="V38" s="96">
        <f t="shared" si="13"/>
        <v>189823.46224701172</v>
      </c>
      <c r="W38" s="96">
        <f t="shared" si="13"/>
        <v>182700.74759402871</v>
      </c>
      <c r="X38" s="96">
        <f t="shared" si="13"/>
        <v>175578.03294104617</v>
      </c>
      <c r="Y38" s="96">
        <f t="shared" si="13"/>
        <v>169037.096465535</v>
      </c>
      <c r="Z38" s="96">
        <f t="shared" si="13"/>
        <v>163659.45557482773</v>
      </c>
      <c r="AA38" s="96">
        <f t="shared" si="13"/>
        <v>158863.59286159184</v>
      </c>
      <c r="AB38" s="96">
        <f t="shared" si="13"/>
        <v>154067.73014835641</v>
      </c>
      <c r="AC38" s="96">
        <f t="shared" si="13"/>
        <v>149271.86743512051</v>
      </c>
      <c r="AD38" s="96">
        <f t="shared" si="13"/>
        <v>144476.00472188462</v>
      </c>
      <c r="AE38" s="96">
        <f t="shared" si="13"/>
        <v>139680.14200864872</v>
      </c>
      <c r="AF38" s="96">
        <f t="shared" si="13"/>
        <v>134884.27929541282</v>
      </c>
      <c r="AG38" s="96">
        <f t="shared" si="13"/>
        <v>130088.41658217739</v>
      </c>
      <c r="AH38" s="96">
        <f t="shared" si="13"/>
        <v>125292.5538689415</v>
      </c>
      <c r="AI38" s="96">
        <f t="shared" si="13"/>
        <v>120496.6911557056</v>
      </c>
      <c r="AJ38" s="96">
        <f t="shared" si="13"/>
        <v>115700.8284424697</v>
      </c>
      <c r="AK38" s="96">
        <f t="shared" si="13"/>
        <v>110904.96572923381</v>
      </c>
      <c r="AL38" s="96">
        <f t="shared" si="13"/>
        <v>106109.10301599791</v>
      </c>
      <c r="AM38" s="96">
        <f t="shared" si="13"/>
        <v>101313.24030276248</v>
      </c>
      <c r="AN38" s="96">
        <f t="shared" si="13"/>
        <v>96517.377589526586</v>
      </c>
      <c r="AO38" s="96">
        <f t="shared" si="13"/>
        <v>91721.51487629069</v>
      </c>
      <c r="AP38" s="96">
        <f t="shared" si="13"/>
        <v>86925.652163054794</v>
      </c>
      <c r="AQ38" s="96">
        <f t="shared" si="13"/>
        <v>82129.789449819131</v>
      </c>
      <c r="AR38" s="96">
        <f t="shared" si="13"/>
        <v>77333.926736583235</v>
      </c>
      <c r="AS38" s="96">
        <f t="shared" si="13"/>
        <v>4363.9761143147043</v>
      </c>
      <c r="AT38" s="96">
        <f t="shared" si="13"/>
        <v>4363.9761143147043</v>
      </c>
      <c r="AU38" s="100">
        <f t="shared" si="5"/>
        <v>7353523.660902258</v>
      </c>
    </row>
    <row r="39" spans="1:47" x14ac:dyDescent="0.2">
      <c r="A39" s="124">
        <f>A38+1</f>
        <v>9</v>
      </c>
      <c r="B39" s="2"/>
      <c r="C39" s="2" t="s">
        <v>61</v>
      </c>
      <c r="D39" s="114"/>
      <c r="E39" s="41">
        <f>SUM(E37:E38)</f>
        <v>7083256.8804140398</v>
      </c>
      <c r="F39" s="95">
        <f>SUM(F37:F38)</f>
        <v>6774758.768335294</v>
      </c>
      <c r="G39" s="95">
        <f t="shared" ref="G39:AT39" si="14">SUM(G37:G38)</f>
        <v>6589498.4750629179</v>
      </c>
      <c r="H39" s="95">
        <f t="shared" si="14"/>
        <v>6410217.0689251367</v>
      </c>
      <c r="I39" s="95">
        <f t="shared" si="14"/>
        <v>6236466.9940711837</v>
      </c>
      <c r="J39" s="95">
        <f t="shared" si="14"/>
        <v>6067835.1220234316</v>
      </c>
      <c r="K39" s="95">
        <f t="shared" si="14"/>
        <v>5903937.0137818605</v>
      </c>
      <c r="L39" s="95">
        <f t="shared" si="14"/>
        <v>5744416.9198240684</v>
      </c>
      <c r="M39" s="95">
        <f t="shared" si="14"/>
        <v>5587341.1693589231</v>
      </c>
      <c r="N39" s="95">
        <f t="shared" si="14"/>
        <v>5430615.4305206584</v>
      </c>
      <c r="O39" s="95">
        <f t="shared" si="14"/>
        <v>5273889.6916823937</v>
      </c>
      <c r="P39" s="95">
        <f t="shared" si="14"/>
        <v>5117163.952844128</v>
      </c>
      <c r="Q39" s="95">
        <f t="shared" si="14"/>
        <v>4960438.2140058642</v>
      </c>
      <c r="R39" s="95">
        <f t="shared" si="14"/>
        <v>4803712.4751676004</v>
      </c>
      <c r="S39" s="95">
        <f t="shared" si="14"/>
        <v>4646986.7363293357</v>
      </c>
      <c r="T39" s="95">
        <f t="shared" si="14"/>
        <v>4490260.9974910701</v>
      </c>
      <c r="U39" s="95">
        <f t="shared" si="14"/>
        <v>4333535.2586528054</v>
      </c>
      <c r="V39" s="95">
        <f t="shared" si="14"/>
        <v>4176809.5198145411</v>
      </c>
      <c r="W39" s="95">
        <f t="shared" si="14"/>
        <v>4020083.7809762764</v>
      </c>
      <c r="X39" s="95">
        <f t="shared" si="14"/>
        <v>3863358.0421380121</v>
      </c>
      <c r="Y39" s="95">
        <f t="shared" si="14"/>
        <v>3719433.548210768</v>
      </c>
      <c r="Z39" s="95">
        <f t="shared" si="14"/>
        <v>3601105.8062100424</v>
      </c>
      <c r="AA39" s="95">
        <f t="shared" si="14"/>
        <v>3495579.309120337</v>
      </c>
      <c r="AB39" s="95">
        <f t="shared" si="14"/>
        <v>3390052.8120306325</v>
      </c>
      <c r="AC39" s="95">
        <f t="shared" si="14"/>
        <v>3284526.314940928</v>
      </c>
      <c r="AD39" s="95">
        <f t="shared" si="14"/>
        <v>3178999.8178512231</v>
      </c>
      <c r="AE39" s="95">
        <f t="shared" si="14"/>
        <v>3073473.3207615181</v>
      </c>
      <c r="AF39" s="95">
        <f t="shared" si="14"/>
        <v>2967946.8236718136</v>
      </c>
      <c r="AG39" s="95">
        <f t="shared" si="14"/>
        <v>2862420.3265821096</v>
      </c>
      <c r="AH39" s="95">
        <f t="shared" si="14"/>
        <v>2756893.8294924046</v>
      </c>
      <c r="AI39" s="95">
        <f t="shared" si="14"/>
        <v>2651367.3324026996</v>
      </c>
      <c r="AJ39" s="95">
        <f t="shared" si="14"/>
        <v>2545840.8353129951</v>
      </c>
      <c r="AK39" s="95">
        <f t="shared" si="14"/>
        <v>2440314.3382232902</v>
      </c>
      <c r="AL39" s="95">
        <f t="shared" si="14"/>
        <v>2334787.8411335857</v>
      </c>
      <c r="AM39" s="95">
        <f t="shared" si="14"/>
        <v>2229261.3440438812</v>
      </c>
      <c r="AN39" s="95">
        <f t="shared" si="14"/>
        <v>2123734.8469541767</v>
      </c>
      <c r="AO39" s="95">
        <f t="shared" si="14"/>
        <v>2018208.3498644717</v>
      </c>
      <c r="AP39" s="95">
        <f t="shared" si="14"/>
        <v>1912681.8527747672</v>
      </c>
      <c r="AQ39" s="95">
        <f t="shared" si="14"/>
        <v>1807155.3556850627</v>
      </c>
      <c r="AR39" s="95">
        <f t="shared" si="14"/>
        <v>1701628.858595358</v>
      </c>
      <c r="AS39" s="95">
        <f t="shared" ref="AS39" si="15">SUM(AS37:AS38)</f>
        <v>96023.41440171405</v>
      </c>
      <c r="AT39" s="95">
        <f t="shared" si="14"/>
        <v>96023.41440171405</v>
      </c>
      <c r="AU39" s="100">
        <f t="shared" si="5"/>
        <v>161802042.20408499</v>
      </c>
    </row>
    <row r="40" spans="1:47" x14ac:dyDescent="0.2">
      <c r="A40" s="124">
        <f t="shared" ref="A40:A66" si="16">A39+1</f>
        <v>10</v>
      </c>
      <c r="B40" s="2"/>
      <c r="C40" s="2"/>
      <c r="D40" s="114"/>
      <c r="E40" s="41"/>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100">
        <f t="shared" si="5"/>
        <v>0</v>
      </c>
    </row>
    <row r="41" spans="1:47" x14ac:dyDescent="0.2">
      <c r="A41" s="124">
        <f t="shared" si="16"/>
        <v>11</v>
      </c>
      <c r="B41" s="2"/>
      <c r="C41" s="2"/>
      <c r="D41" s="114"/>
      <c r="E41" s="3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100">
        <f t="shared" si="5"/>
        <v>0</v>
      </c>
    </row>
    <row r="42" spans="1:47" x14ac:dyDescent="0.2">
      <c r="A42" s="124">
        <f t="shared" si="16"/>
        <v>12</v>
      </c>
      <c r="B42" s="2" t="s">
        <v>62</v>
      </c>
      <c r="C42" s="2"/>
      <c r="D42" s="114"/>
      <c r="E42" s="40">
        <f>E39</f>
        <v>7083256.8804140398</v>
      </c>
      <c r="F42" s="96">
        <f>F39</f>
        <v>6774758.768335294</v>
      </c>
      <c r="G42" s="96">
        <f t="shared" ref="G42:AT42" si="17">G39</f>
        <v>6589498.4750629179</v>
      </c>
      <c r="H42" s="96">
        <f t="shared" si="17"/>
        <v>6410217.0689251367</v>
      </c>
      <c r="I42" s="96">
        <f t="shared" si="17"/>
        <v>6236466.9940711837</v>
      </c>
      <c r="J42" s="96">
        <f t="shared" si="17"/>
        <v>6067835.1220234316</v>
      </c>
      <c r="K42" s="96">
        <f t="shared" si="17"/>
        <v>5903937.0137818605</v>
      </c>
      <c r="L42" s="96">
        <f t="shared" si="17"/>
        <v>5744416.9198240684</v>
      </c>
      <c r="M42" s="96">
        <f t="shared" si="17"/>
        <v>5587341.1693589231</v>
      </c>
      <c r="N42" s="96">
        <f t="shared" si="17"/>
        <v>5430615.4305206584</v>
      </c>
      <c r="O42" s="96">
        <f t="shared" si="17"/>
        <v>5273889.6916823937</v>
      </c>
      <c r="P42" s="96">
        <f t="shared" si="17"/>
        <v>5117163.952844128</v>
      </c>
      <c r="Q42" s="96">
        <f t="shared" si="17"/>
        <v>4960438.2140058642</v>
      </c>
      <c r="R42" s="96">
        <f t="shared" si="17"/>
        <v>4803712.4751676004</v>
      </c>
      <c r="S42" s="96">
        <f t="shared" si="17"/>
        <v>4646986.7363293357</v>
      </c>
      <c r="T42" s="96">
        <f t="shared" si="17"/>
        <v>4490260.9974910701</v>
      </c>
      <c r="U42" s="96">
        <f t="shared" si="17"/>
        <v>4333535.2586528054</v>
      </c>
      <c r="V42" s="96">
        <f t="shared" si="17"/>
        <v>4176809.5198145411</v>
      </c>
      <c r="W42" s="96">
        <f t="shared" si="17"/>
        <v>4020083.7809762764</v>
      </c>
      <c r="X42" s="96">
        <f t="shared" si="17"/>
        <v>3863358.0421380121</v>
      </c>
      <c r="Y42" s="96">
        <f t="shared" si="17"/>
        <v>3719433.548210768</v>
      </c>
      <c r="Z42" s="96">
        <f t="shared" si="17"/>
        <v>3601105.8062100424</v>
      </c>
      <c r="AA42" s="96">
        <f t="shared" si="17"/>
        <v>3495579.309120337</v>
      </c>
      <c r="AB42" s="96">
        <f t="shared" si="17"/>
        <v>3390052.8120306325</v>
      </c>
      <c r="AC42" s="96">
        <f t="shared" si="17"/>
        <v>3284526.314940928</v>
      </c>
      <c r="AD42" s="96">
        <f t="shared" si="17"/>
        <v>3178999.8178512231</v>
      </c>
      <c r="AE42" s="96">
        <f t="shared" si="17"/>
        <v>3073473.3207615181</v>
      </c>
      <c r="AF42" s="96">
        <f t="shared" si="17"/>
        <v>2967946.8236718136</v>
      </c>
      <c r="AG42" s="96">
        <f t="shared" si="17"/>
        <v>2862420.3265821096</v>
      </c>
      <c r="AH42" s="96">
        <f t="shared" si="17"/>
        <v>2756893.8294924046</v>
      </c>
      <c r="AI42" s="96">
        <f t="shared" si="17"/>
        <v>2651367.3324026996</v>
      </c>
      <c r="AJ42" s="96">
        <f t="shared" si="17"/>
        <v>2545840.8353129951</v>
      </c>
      <c r="AK42" s="96">
        <f t="shared" si="17"/>
        <v>2440314.3382232902</v>
      </c>
      <c r="AL42" s="96">
        <f t="shared" si="17"/>
        <v>2334787.8411335857</v>
      </c>
      <c r="AM42" s="96">
        <f t="shared" si="17"/>
        <v>2229261.3440438812</v>
      </c>
      <c r="AN42" s="96">
        <f t="shared" si="17"/>
        <v>2123734.8469541767</v>
      </c>
      <c r="AO42" s="96">
        <f t="shared" si="17"/>
        <v>2018208.3498644717</v>
      </c>
      <c r="AP42" s="96">
        <f t="shared" si="17"/>
        <v>1912681.8527747672</v>
      </c>
      <c r="AQ42" s="96">
        <f t="shared" si="17"/>
        <v>1807155.3556850627</v>
      </c>
      <c r="AR42" s="96">
        <f t="shared" si="17"/>
        <v>1701628.858595358</v>
      </c>
      <c r="AS42" s="96">
        <f t="shared" ref="AS42" si="18">AS39</f>
        <v>96023.41440171405</v>
      </c>
      <c r="AT42" s="96">
        <f t="shared" si="17"/>
        <v>96023.41440171405</v>
      </c>
      <c r="AU42" s="100">
        <f t="shared" si="5"/>
        <v>161802042.20408499</v>
      </c>
    </row>
    <row r="43" spans="1:47" x14ac:dyDescent="0.2">
      <c r="A43" s="124">
        <f t="shared" si="16"/>
        <v>13</v>
      </c>
      <c r="B43" s="2"/>
      <c r="C43" s="2"/>
      <c r="D43" s="114"/>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4">
        <f t="shared" si="16"/>
        <v>14</v>
      </c>
      <c r="B44" s="2"/>
      <c r="C44" s="2"/>
      <c r="D44" s="114"/>
      <c r="E44" s="43"/>
      <c r="F44" s="11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4">
        <f t="shared" si="16"/>
        <v>15</v>
      </c>
      <c r="B45" s="2" t="s">
        <v>63</v>
      </c>
      <c r="C45" s="114"/>
      <c r="D45" s="114"/>
      <c r="E45" s="45">
        <f>+E42/$F$22</f>
        <v>0.11680911008804319</v>
      </c>
      <c r="F45" s="97">
        <f t="shared" ref="F45:AT45" si="19">+F42/$F$22</f>
        <v>0.11172170601049218</v>
      </c>
      <c r="G45" s="97">
        <f>+G42/$F$22</f>
        <v>0.10866660150741629</v>
      </c>
      <c r="H45" s="97">
        <f t="shared" si="19"/>
        <v>0.10571009409001721</v>
      </c>
      <c r="I45" s="97">
        <f t="shared" si="19"/>
        <v>0.10284480317030757</v>
      </c>
      <c r="J45" s="97">
        <f t="shared" si="19"/>
        <v>0.1000639158978376</v>
      </c>
      <c r="K45" s="97">
        <f t="shared" si="19"/>
        <v>9.7361092536772012E-2</v>
      </c>
      <c r="L45" s="97">
        <f t="shared" si="19"/>
        <v>9.4730466465890117E-2</v>
      </c>
      <c r="M45" s="97">
        <f t="shared" si="19"/>
        <v>9.2140149760169751E-2</v>
      </c>
      <c r="N45" s="97">
        <f t="shared" si="19"/>
        <v>8.9555605052747164E-2</v>
      </c>
      <c r="O45" s="97">
        <f t="shared" si="19"/>
        <v>8.6971060345324563E-2</v>
      </c>
      <c r="P45" s="97">
        <f t="shared" si="19"/>
        <v>8.4386515637901963E-2</v>
      </c>
      <c r="Q45" s="97">
        <f t="shared" si="19"/>
        <v>8.180197093047939E-2</v>
      </c>
      <c r="R45" s="97">
        <f t="shared" si="19"/>
        <v>7.9217426223056803E-2</v>
      </c>
      <c r="S45" s="97">
        <f t="shared" si="19"/>
        <v>7.6632881515634216E-2</v>
      </c>
      <c r="T45" s="97">
        <f t="shared" si="19"/>
        <v>7.4048336808211601E-2</v>
      </c>
      <c r="U45" s="97">
        <f t="shared" si="19"/>
        <v>7.1463792100789014E-2</v>
      </c>
      <c r="V45" s="97">
        <f t="shared" si="19"/>
        <v>6.8879247393366427E-2</v>
      </c>
      <c r="W45" s="97">
        <f t="shared" si="19"/>
        <v>6.629470268594384E-2</v>
      </c>
      <c r="X45" s="97">
        <f t="shared" si="19"/>
        <v>6.3710157978521254E-2</v>
      </c>
      <c r="Y45" s="97">
        <f t="shared" si="19"/>
        <v>6.1336717012120685E-2</v>
      </c>
      <c r="Z45" s="97">
        <f t="shared" si="19"/>
        <v>5.9385388904841255E-2</v>
      </c>
      <c r="AA45" s="97">
        <f t="shared" si="19"/>
        <v>5.7645164538583843E-2</v>
      </c>
      <c r="AB45" s="97">
        <f t="shared" si="19"/>
        <v>5.5904940172326445E-2</v>
      </c>
      <c r="AC45" s="97">
        <f t="shared" si="19"/>
        <v>5.4164715806069054E-2</v>
      </c>
      <c r="AD45" s="97">
        <f t="shared" si="19"/>
        <v>5.2424491439811649E-2</v>
      </c>
      <c r="AE45" s="97">
        <f t="shared" si="19"/>
        <v>5.0684267073554244E-2</v>
      </c>
      <c r="AF45" s="97">
        <f t="shared" si="19"/>
        <v>4.8944042707296846E-2</v>
      </c>
      <c r="AG45" s="97">
        <f t="shared" si="19"/>
        <v>4.7203818341039462E-2</v>
      </c>
      <c r="AH45" s="97">
        <f t="shared" si="19"/>
        <v>4.5463593974782057E-2</v>
      </c>
      <c r="AI45" s="97">
        <f t="shared" si="19"/>
        <v>4.3723369608524652E-2</v>
      </c>
      <c r="AJ45" s="97">
        <f t="shared" si="19"/>
        <v>4.1983145242267254E-2</v>
      </c>
      <c r="AK45" s="97">
        <f t="shared" si="19"/>
        <v>4.0242920876009849E-2</v>
      </c>
      <c r="AL45" s="97">
        <f t="shared" si="19"/>
        <v>3.8502696509752458E-2</v>
      </c>
      <c r="AM45" s="97">
        <f t="shared" si="19"/>
        <v>3.676247214349506E-2</v>
      </c>
      <c r="AN45" s="97">
        <f t="shared" si="19"/>
        <v>3.5022247777237663E-2</v>
      </c>
      <c r="AO45" s="97">
        <f t="shared" si="19"/>
        <v>3.3282023410980258E-2</v>
      </c>
      <c r="AP45" s="97">
        <f t="shared" si="19"/>
        <v>3.1541799044722867E-2</v>
      </c>
      <c r="AQ45" s="97">
        <f t="shared" si="19"/>
        <v>2.9801574678465469E-2</v>
      </c>
      <c r="AR45" s="97">
        <f t="shared" si="19"/>
        <v>2.8061350312208067E-2</v>
      </c>
      <c r="AS45" s="97">
        <f t="shared" ref="AS45" si="20">+AS42/$F$22</f>
        <v>1.5835102091093403E-3</v>
      </c>
      <c r="AT45" s="97">
        <f t="shared" si="19"/>
        <v>1.5835102091093403E-3</v>
      </c>
    </row>
    <row r="46" spans="1:47" outlineLevel="1" x14ac:dyDescent="0.2">
      <c r="A46" s="124">
        <f t="shared" si="16"/>
        <v>16</v>
      </c>
      <c r="B46" s="2"/>
      <c r="C46" s="2"/>
      <c r="D46" s="114"/>
      <c r="E46" s="43"/>
      <c r="F46" s="11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4">
        <f t="shared" si="16"/>
        <v>17</v>
      </c>
      <c r="B47" s="2"/>
      <c r="C47" s="2"/>
      <c r="D47" s="114"/>
      <c r="E47" s="43">
        <f>+E27/2</f>
        <v>741135.08819157048</v>
      </c>
      <c r="F47" s="95"/>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4">
        <f t="shared" si="16"/>
        <v>18</v>
      </c>
      <c r="B48" s="2"/>
      <c r="C48" s="2"/>
      <c r="D48" s="114"/>
      <c r="E48" s="43">
        <f>+E60/2</f>
        <v>83130.028444770142</v>
      </c>
      <c r="F48" s="95"/>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4">
        <f t="shared" si="16"/>
        <v>19</v>
      </c>
      <c r="B49" s="46" t="s">
        <v>64</v>
      </c>
      <c r="C49" s="2"/>
      <c r="D49" s="114"/>
      <c r="E49" s="41">
        <f>F22-E27/2-E60/2</f>
        <v>59815327.763363659</v>
      </c>
      <c r="F49" s="113">
        <f>$F$22-(SUM($E$27:E27)+F27/2)-(SUM($E$60:E60)+F60/2)</f>
        <v>57945920.845005214</v>
      </c>
      <c r="G49" s="113">
        <f>$F$22-(SUM($E$27:F27)+G27/2)-(SUM($E$60:F60)+G60/2)</f>
        <v>55890147.233869031</v>
      </c>
      <c r="H49" s="113">
        <f>$F$22-(SUM($E$27:G27)+H27/2)-(SUM($E$60:G60)+H60/2)</f>
        <v>53900719.401302852</v>
      </c>
      <c r="I49" s="113">
        <f>$F$22-(SUM($E$27:H27)+I27/2)-(SUM($E$60:H60)+I60/2)</f>
        <v>51972670.964649811</v>
      </c>
      <c r="J49" s="113">
        <f>$F$22-(SUM($E$27:I27)+J27/2)-(SUM($E$60:I60)+J60/2)</f>
        <v>50101417.570688181</v>
      </c>
      <c r="K49" s="113">
        <f>$F$22-(SUM($E$27:J27)+K27/2)-(SUM($E$60:J60)+K60/2)</f>
        <v>48282693.224058844</v>
      </c>
      <c r="L49" s="113">
        <f>$F$22-(SUM($E$27:K27)+L27/2)-(SUM($E$60:K60)+L60/2)</f>
        <v>46512550.287265323</v>
      </c>
      <c r="M49" s="113">
        <f>$F$22-(SUM($E$27:L27)+M27/2)-(SUM($E$60:L60)+M60/2)</f>
        <v>44769531.440367028</v>
      </c>
      <c r="N49" s="113">
        <f>$F$22-(SUM($E$27:M27)+N27/2)-(SUM($E$60:M60)+N60/2)</f>
        <v>43030396.559392698</v>
      </c>
      <c r="O49" s="113">
        <f>$F$22-(SUM($E$27:N27)+O27/2)-(SUM($E$60:N60)+O60/2)</f>
        <v>41291261.678418361</v>
      </c>
      <c r="P49" s="113">
        <f>$F$22-(SUM($E$27:O27)+P27/2)-(SUM($E$60:O60)+P60/2)</f>
        <v>39552126.797444023</v>
      </c>
      <c r="Q49" s="113">
        <f>$F$22-(SUM($E$27:P27)+Q27/2)-(SUM($E$60:P60)+Q60/2)</f>
        <v>37812991.916469693</v>
      </c>
      <c r="R49" s="113">
        <f>$F$22-(SUM($E$27:Q27)+R27/2)-(SUM($E$60:Q60)+R60/2)</f>
        <v>36073857.035495363</v>
      </c>
      <c r="S49" s="113">
        <f>$F$22-(SUM($E$27:R27)+S27/2)-(SUM($E$60:R60)+S60/2)</f>
        <v>34334722.154521033</v>
      </c>
      <c r="T49" s="113">
        <f>$F$22-(SUM($E$27:S27)+T27/2)-(SUM($E$60:S60)+T60/2)</f>
        <v>32595587.273546696</v>
      </c>
      <c r="U49" s="113">
        <f>$F$22-(SUM($E$27:T27)+U27/2)-(SUM($E$60:T60)+U60/2)</f>
        <v>30856452.392572358</v>
      </c>
      <c r="V49" s="113">
        <f>$F$22-(SUM($E$27:U27)+V27/2)-(SUM($E$60:U60)+V60/2)</f>
        <v>29117317.511598028</v>
      </c>
      <c r="W49" s="113">
        <f>$F$22-(SUM($E$27:V27)+W27/2)-(SUM($E$60:V60)+W60/2)</f>
        <v>27378182.630623695</v>
      </c>
      <c r="X49" s="113">
        <f>$F$22-(SUM($E$27:W27)+X27/2)-(SUM($E$60:W60)+X60/2)</f>
        <v>25639047.749649361</v>
      </c>
      <c r="Y49" s="113">
        <f>$F$22-(SUM($E$27:X27)+Y27/2)-(SUM($E$60:X60)+Y60/2)</f>
        <v>24041964.146976069</v>
      </c>
      <c r="Z49" s="113">
        <f>$F$22-(SUM($E$27:Y27)+Z27/2)-(SUM($E$60:Y60)+Z60/2)</f>
        <v>22728919.429332346</v>
      </c>
      <c r="AA49" s="113">
        <f>$F$22-(SUM($E$27:Z27)+AA27/2)-(SUM($E$60:Z60)+AA60/2)</f>
        <v>21557925.989989661</v>
      </c>
      <c r="AB49" s="113">
        <f>$F$22-(SUM($E$27:AA27)+AB27/2)-(SUM($E$60:AA60)+AB60/2)</f>
        <v>20386932.550646979</v>
      </c>
      <c r="AC49" s="113">
        <f>$F$22-(SUM($E$27:AB27)+AC27/2)-(SUM($E$60:AB60)+AC60/2)</f>
        <v>19215939.111304302</v>
      </c>
      <c r="AD49" s="113">
        <f>$F$22-(SUM($E$27:AC27)+AD27/2)-(SUM($E$60:AC60)+AD60/2)</f>
        <v>18044945.67196162</v>
      </c>
      <c r="AE49" s="113">
        <f>$F$22-(SUM($E$27:AD27)+AE27/2)-(SUM($E$60:AD60)+AE60/2)</f>
        <v>16873952.232618943</v>
      </c>
      <c r="AF49" s="113">
        <f>$F$22-(SUM($E$27:AE27)+AF27/2)-(SUM($E$60:AE60)+AF60/2)</f>
        <v>15702958.793276265</v>
      </c>
      <c r="AG49" s="113">
        <f>$F$22-(SUM($E$27:AF27)+AG27/2)-(SUM($E$60:AF60)+AG60/2)</f>
        <v>14531965.353933588</v>
      </c>
      <c r="AH49" s="113">
        <f>$F$22-(SUM($E$27:AG27)+AH27/2)-(SUM($E$60:AG60)+AH60/2)</f>
        <v>13360971.914590908</v>
      </c>
      <c r="AI49" s="113">
        <f>$F$22-(SUM($E$27:AH27)+AI27/2)-(SUM($E$60:AH60)+AI60/2)</f>
        <v>12189978.475248231</v>
      </c>
      <c r="AJ49" s="113">
        <f>$F$22-(SUM($E$27:AI27)+AJ27/2)-(SUM($E$60:AI60)+AJ60/2)</f>
        <v>11018985.035905553</v>
      </c>
      <c r="AK49" s="113">
        <f>$F$22-(SUM($E$27:AJ27)+AK27/2)-(SUM($E$60:AJ60)+AK60/2)</f>
        <v>9847991.5965628736</v>
      </c>
      <c r="AL49" s="113">
        <f>$F$22-(SUM($E$27:AK27)+AL27/2)-(SUM($E$60:AK60)+AL60/2)</f>
        <v>8676998.157220196</v>
      </c>
      <c r="AM49" s="113">
        <f>$F$22-(SUM($E$27:AL27)+AM27/2)-(SUM($E$60:AL60)+AM60/2)</f>
        <v>7506004.7178775184</v>
      </c>
      <c r="AN49" s="113">
        <f>$F$22-(SUM($E$27:AM27)+AN27/2)-(SUM($E$60:AM60)+AN60/2)</f>
        <v>6335011.2785348408</v>
      </c>
      <c r="AO49" s="113">
        <f>$F$22-(SUM($E$27:AN27)+AO27/2)-(SUM($E$60:AN60)+AO60/2)</f>
        <v>5164017.8391921623</v>
      </c>
      <c r="AP49" s="113">
        <f>$F$22-(SUM($E$27:AO27)+AP27/2)-(SUM($E$60:AO60)+AP60/2)</f>
        <v>3993024.3998494847</v>
      </c>
      <c r="AQ49" s="113">
        <f>$F$22-(SUM($E$27:AP27)+AQ27/2)-(SUM($E$60:AP60)+AQ60/2)</f>
        <v>2822030.9605068062</v>
      </c>
      <c r="AR49" s="113">
        <f>$F$22-(SUM($E$27:AQ27)+AR27/2)-(SUM($E$60:AQ60)+AR60/2)</f>
        <v>1651037.5211641283</v>
      </c>
      <c r="AS49" s="113">
        <f>$F$22-(SUM($E$27:AR27)+AS27/2)-(SUM($E$60:AR60)+AS60/2)</f>
        <v>1065540.8014927893</v>
      </c>
      <c r="AT49" s="113">
        <f>$F$22-(SUM($E$27:AR27)+AT27/2)-(SUM($E$60:AR60)+AT60/2)</f>
        <v>1065540.8014927893</v>
      </c>
      <c r="AU49" s="100">
        <f t="shared" ref="AU49:AU60" si="21">SUM(D49:AT49)</f>
        <v>1104655559.2099795</v>
      </c>
    </row>
    <row r="50" spans="1:47" x14ac:dyDescent="0.2">
      <c r="A50" s="124">
        <f t="shared" si="16"/>
        <v>20</v>
      </c>
      <c r="B50" s="2"/>
      <c r="C50" s="2"/>
      <c r="D50" s="114"/>
      <c r="E50" s="84"/>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100">
        <f t="shared" si="21"/>
        <v>0</v>
      </c>
    </row>
    <row r="51" spans="1:47" x14ac:dyDescent="0.2">
      <c r="A51" s="124">
        <f t="shared" si="16"/>
        <v>21</v>
      </c>
      <c r="B51" s="2"/>
      <c r="C51" s="2"/>
      <c r="D51" s="114"/>
      <c r="E51" s="3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100">
        <f t="shared" si="21"/>
        <v>0</v>
      </c>
    </row>
    <row r="52" spans="1:47" x14ac:dyDescent="0.2">
      <c r="A52" s="124">
        <f t="shared" si="16"/>
        <v>22</v>
      </c>
      <c r="B52" s="2" t="s">
        <v>65</v>
      </c>
      <c r="C52" s="2"/>
      <c r="D52" s="114"/>
      <c r="E52" s="38">
        <f>(E34)/(1-$F$15)</f>
        <v>3490489.3796089427</v>
      </c>
      <c r="F52" s="98">
        <f>(F34)/(1-$G$15)</f>
        <v>3344726.5702939723</v>
      </c>
      <c r="G52" s="98">
        <f t="shared" ref="G52:AT52" si="22">(G34)/(1-$G$15)</f>
        <v>3226064.1947650984</v>
      </c>
      <c r="H52" s="98">
        <f t="shared" si="22"/>
        <v>3111231.3983536838</v>
      </c>
      <c r="I52" s="98">
        <f t="shared" si="22"/>
        <v>2999941.5139089008</v>
      </c>
      <c r="J52" s="98">
        <f t="shared" si="22"/>
        <v>2891929.9255992165</v>
      </c>
      <c r="K52" s="98">
        <f t="shared" si="22"/>
        <v>2786950.3936925107</v>
      </c>
      <c r="L52" s="98">
        <f t="shared" si="22"/>
        <v>2684775.0545560741</v>
      </c>
      <c r="M52" s="98">
        <f t="shared" si="22"/>
        <v>2584165.3590895399</v>
      </c>
      <c r="N52" s="98">
        <f t="shared" si="22"/>
        <v>2483779.8520358317</v>
      </c>
      <c r="O52" s="98">
        <f t="shared" si="22"/>
        <v>2383394.344982123</v>
      </c>
      <c r="P52" s="98">
        <f t="shared" si="22"/>
        <v>2283008.8379284143</v>
      </c>
      <c r="Q52" s="98">
        <f t="shared" si="22"/>
        <v>2182623.3308747062</v>
      </c>
      <c r="R52" s="98">
        <f t="shared" si="22"/>
        <v>2082237.8238209982</v>
      </c>
      <c r="S52" s="98">
        <f t="shared" si="22"/>
        <v>1981852.31676729</v>
      </c>
      <c r="T52" s="98">
        <f t="shared" si="22"/>
        <v>1881466.8097135813</v>
      </c>
      <c r="U52" s="98">
        <f t="shared" si="22"/>
        <v>1781081.3026598727</v>
      </c>
      <c r="V52" s="98">
        <f t="shared" si="22"/>
        <v>1680695.7956061647</v>
      </c>
      <c r="W52" s="98">
        <f t="shared" si="22"/>
        <v>1580310.2885524561</v>
      </c>
      <c r="X52" s="98">
        <f t="shared" si="22"/>
        <v>1479924.7814987479</v>
      </c>
      <c r="Y52" s="98">
        <f t="shared" si="22"/>
        <v>1387738.6900026693</v>
      </c>
      <c r="Z52" s="98">
        <f t="shared" si="22"/>
        <v>1311947.7544019683</v>
      </c>
      <c r="AA52" s="98">
        <f t="shared" si="22"/>
        <v>1244356.234358897</v>
      </c>
      <c r="AB52" s="98">
        <f t="shared" si="22"/>
        <v>1176764.7143158256</v>
      </c>
      <c r="AC52" s="98">
        <f t="shared" si="22"/>
        <v>1109173.1942727547</v>
      </c>
      <c r="AD52" s="98">
        <f t="shared" si="22"/>
        <v>1041581.6742296835</v>
      </c>
      <c r="AE52" s="98">
        <f t="shared" si="22"/>
        <v>973990.15418661246</v>
      </c>
      <c r="AF52" s="98">
        <f t="shared" si="22"/>
        <v>906398.63414354133</v>
      </c>
      <c r="AG52" s="98">
        <f t="shared" si="22"/>
        <v>838807.11410047032</v>
      </c>
      <c r="AH52" s="98">
        <f t="shared" si="22"/>
        <v>771215.5940573992</v>
      </c>
      <c r="AI52" s="98">
        <f t="shared" si="22"/>
        <v>703624.0740143283</v>
      </c>
      <c r="AJ52" s="98">
        <f t="shared" si="22"/>
        <v>636032.55397125718</v>
      </c>
      <c r="AK52" s="98">
        <f t="shared" si="22"/>
        <v>568441.03392818605</v>
      </c>
      <c r="AL52" s="98">
        <f t="shared" si="22"/>
        <v>500849.5138851151</v>
      </c>
      <c r="AM52" s="98">
        <f t="shared" si="22"/>
        <v>433257.99384204409</v>
      </c>
      <c r="AN52" s="98">
        <f t="shared" si="22"/>
        <v>365666.47379897308</v>
      </c>
      <c r="AO52" s="98">
        <f t="shared" si="22"/>
        <v>298074.95375590201</v>
      </c>
      <c r="AP52" s="98">
        <f t="shared" si="22"/>
        <v>230483.433712831</v>
      </c>
      <c r="AQ52" s="98">
        <f t="shared" si="22"/>
        <v>162891.91366975996</v>
      </c>
      <c r="AR52" s="98">
        <f t="shared" si="22"/>
        <v>95300.393626688921</v>
      </c>
      <c r="AS52" s="98">
        <f t="shared" si="22"/>
        <v>61504.633605153409</v>
      </c>
      <c r="AT52" s="98">
        <f t="shared" si="22"/>
        <v>61504.633605153409</v>
      </c>
      <c r="AU52" s="100">
        <f t="shared" si="21"/>
        <v>63800254.63779334</v>
      </c>
    </row>
    <row r="53" spans="1:47" x14ac:dyDescent="0.2">
      <c r="A53" s="124">
        <f t="shared" si="16"/>
        <v>23</v>
      </c>
      <c r="B53" s="2" t="s">
        <v>66</v>
      </c>
      <c r="C53" s="2"/>
      <c r="D53" s="114"/>
      <c r="E53" s="40">
        <f t="shared" ref="E53" si="23">E52*$F15</f>
        <v>733002.76971787796</v>
      </c>
      <c r="F53" s="96">
        <f>F52*$G15</f>
        <v>702392.57976173412</v>
      </c>
      <c r="G53" s="96">
        <f t="shared" ref="G53:AT53" si="24">G52*$G15</f>
        <v>677473.48090067063</v>
      </c>
      <c r="H53" s="96">
        <f t="shared" si="24"/>
        <v>653358.59365427354</v>
      </c>
      <c r="I53" s="96">
        <f t="shared" si="24"/>
        <v>629987.71792086912</v>
      </c>
      <c r="J53" s="96">
        <f t="shared" si="24"/>
        <v>607305.28437583544</v>
      </c>
      <c r="K53" s="96">
        <f t="shared" si="24"/>
        <v>585259.5826754272</v>
      </c>
      <c r="L53" s="96">
        <f t="shared" si="24"/>
        <v>563802.7614567756</v>
      </c>
      <c r="M53" s="96">
        <f t="shared" si="24"/>
        <v>542674.72540880332</v>
      </c>
      <c r="N53" s="96">
        <f t="shared" si="24"/>
        <v>521593.76892752462</v>
      </c>
      <c r="O53" s="96">
        <f t="shared" si="24"/>
        <v>500512.81244624581</v>
      </c>
      <c r="P53" s="96">
        <f t="shared" si="24"/>
        <v>479431.85596496699</v>
      </c>
      <c r="Q53" s="96">
        <f t="shared" si="24"/>
        <v>458350.89948368829</v>
      </c>
      <c r="R53" s="96">
        <f t="shared" si="24"/>
        <v>437269.94300240959</v>
      </c>
      <c r="S53" s="96">
        <f t="shared" si="24"/>
        <v>416188.98652113089</v>
      </c>
      <c r="T53" s="96">
        <f t="shared" si="24"/>
        <v>395108.03003985208</v>
      </c>
      <c r="U53" s="96">
        <f t="shared" si="24"/>
        <v>374027.07355857326</v>
      </c>
      <c r="V53" s="96">
        <f t="shared" si="24"/>
        <v>352946.11707729456</v>
      </c>
      <c r="W53" s="96">
        <f t="shared" si="24"/>
        <v>331865.16059601575</v>
      </c>
      <c r="X53" s="96">
        <f t="shared" si="24"/>
        <v>310784.20411473705</v>
      </c>
      <c r="Y53" s="96">
        <f t="shared" si="24"/>
        <v>291425.12490056054</v>
      </c>
      <c r="Z53" s="96">
        <f t="shared" si="24"/>
        <v>275509.02842441335</v>
      </c>
      <c r="AA53" s="96">
        <f t="shared" si="24"/>
        <v>261314.80921536835</v>
      </c>
      <c r="AB53" s="96">
        <f t="shared" si="24"/>
        <v>247120.59000632336</v>
      </c>
      <c r="AC53" s="96">
        <f t="shared" si="24"/>
        <v>232926.37079727848</v>
      </c>
      <c r="AD53" s="96">
        <f t="shared" si="24"/>
        <v>218732.15158823351</v>
      </c>
      <c r="AE53" s="96">
        <f t="shared" si="24"/>
        <v>204537.9323791886</v>
      </c>
      <c r="AF53" s="96">
        <f t="shared" si="24"/>
        <v>190343.71317014366</v>
      </c>
      <c r="AG53" s="96">
        <f t="shared" si="24"/>
        <v>176149.49396109875</v>
      </c>
      <c r="AH53" s="96">
        <f t="shared" si="24"/>
        <v>161955.27475205384</v>
      </c>
      <c r="AI53" s="96">
        <f t="shared" si="24"/>
        <v>147761.05554300893</v>
      </c>
      <c r="AJ53" s="96">
        <f t="shared" si="24"/>
        <v>133566.83633396399</v>
      </c>
      <c r="AK53" s="96">
        <f t="shared" si="24"/>
        <v>119372.61712491907</v>
      </c>
      <c r="AL53" s="96">
        <f t="shared" si="24"/>
        <v>105178.39791587417</v>
      </c>
      <c r="AM53" s="96">
        <f t="shared" si="24"/>
        <v>90984.178706829262</v>
      </c>
      <c r="AN53" s="96">
        <f t="shared" si="24"/>
        <v>76789.959497784337</v>
      </c>
      <c r="AO53" s="96">
        <f t="shared" si="24"/>
        <v>62595.74028873942</v>
      </c>
      <c r="AP53" s="96">
        <f t="shared" si="24"/>
        <v>48401.52107969451</v>
      </c>
      <c r="AQ53" s="96">
        <f t="shared" si="24"/>
        <v>34207.301870649593</v>
      </c>
      <c r="AR53" s="96">
        <f t="shared" si="24"/>
        <v>20013.082661604672</v>
      </c>
      <c r="AS53" s="96">
        <f t="shared" si="24"/>
        <v>12915.973057082216</v>
      </c>
      <c r="AT53" s="96">
        <f t="shared" si="24"/>
        <v>12915.973057082216</v>
      </c>
      <c r="AU53" s="100">
        <f t="shared" si="21"/>
        <v>13398053.473936601</v>
      </c>
    </row>
    <row r="54" spans="1:47" x14ac:dyDescent="0.2">
      <c r="A54" s="124">
        <f t="shared" si="16"/>
        <v>24</v>
      </c>
      <c r="B54" s="2" t="s">
        <v>67</v>
      </c>
      <c r="C54" s="2"/>
      <c r="D54" s="114"/>
      <c r="E54" s="38">
        <f>E52-E53</f>
        <v>2757486.6098910645</v>
      </c>
      <c r="F54" s="98">
        <f t="shared" ref="F54:AT54" si="25">F52-F53</f>
        <v>2642333.990532238</v>
      </c>
      <c r="G54" s="98">
        <f t="shared" si="25"/>
        <v>2548590.713864428</v>
      </c>
      <c r="H54" s="98">
        <f t="shared" si="25"/>
        <v>2457872.8046994102</v>
      </c>
      <c r="I54" s="98">
        <f t="shared" si="25"/>
        <v>2369953.7959880317</v>
      </c>
      <c r="J54" s="98">
        <f t="shared" si="25"/>
        <v>2284624.6412233813</v>
      </c>
      <c r="K54" s="98">
        <f t="shared" si="25"/>
        <v>2201690.8110170835</v>
      </c>
      <c r="L54" s="98">
        <f t="shared" si="25"/>
        <v>2120972.2930992986</v>
      </c>
      <c r="M54" s="98">
        <f t="shared" si="25"/>
        <v>2041490.6336807366</v>
      </c>
      <c r="N54" s="98">
        <f t="shared" si="25"/>
        <v>1962186.0831083071</v>
      </c>
      <c r="O54" s="98">
        <f t="shared" si="25"/>
        <v>1882881.5325358771</v>
      </c>
      <c r="P54" s="98">
        <f t="shared" si="25"/>
        <v>1803576.9819634473</v>
      </c>
      <c r="Q54" s="98">
        <f t="shared" si="25"/>
        <v>1724272.431391018</v>
      </c>
      <c r="R54" s="98">
        <f t="shared" si="25"/>
        <v>1644967.8808185887</v>
      </c>
      <c r="S54" s="98">
        <f t="shared" si="25"/>
        <v>1565663.3302461591</v>
      </c>
      <c r="T54" s="98">
        <f t="shared" si="25"/>
        <v>1486358.7796737293</v>
      </c>
      <c r="U54" s="98">
        <f t="shared" si="25"/>
        <v>1407054.2291012993</v>
      </c>
      <c r="V54" s="98">
        <f t="shared" si="25"/>
        <v>1327749.6785288702</v>
      </c>
      <c r="W54" s="98">
        <f t="shared" si="25"/>
        <v>1248445.1279564402</v>
      </c>
      <c r="X54" s="98">
        <f t="shared" si="25"/>
        <v>1169140.5773840109</v>
      </c>
      <c r="Y54" s="98">
        <f t="shared" si="25"/>
        <v>1096313.5651021088</v>
      </c>
      <c r="Z54" s="98">
        <f t="shared" si="25"/>
        <v>1036438.7259775549</v>
      </c>
      <c r="AA54" s="98">
        <f t="shared" si="25"/>
        <v>983041.42514352861</v>
      </c>
      <c r="AB54" s="98">
        <f t="shared" si="25"/>
        <v>929644.12430950231</v>
      </c>
      <c r="AC54" s="98">
        <f t="shared" si="25"/>
        <v>876246.82347547624</v>
      </c>
      <c r="AD54" s="98">
        <f t="shared" si="25"/>
        <v>822849.52264144993</v>
      </c>
      <c r="AE54" s="98">
        <f t="shared" si="25"/>
        <v>769452.22180742386</v>
      </c>
      <c r="AF54" s="98">
        <f t="shared" si="25"/>
        <v>716054.92097339767</v>
      </c>
      <c r="AG54" s="98">
        <f t="shared" si="25"/>
        <v>662657.6201393716</v>
      </c>
      <c r="AH54" s="98">
        <f t="shared" si="25"/>
        <v>609260.31930534542</v>
      </c>
      <c r="AI54" s="98">
        <f t="shared" si="25"/>
        <v>555863.01847131934</v>
      </c>
      <c r="AJ54" s="98">
        <f t="shared" si="25"/>
        <v>502465.71763729316</v>
      </c>
      <c r="AK54" s="98">
        <f t="shared" si="25"/>
        <v>449068.41680326697</v>
      </c>
      <c r="AL54" s="98">
        <f t="shared" si="25"/>
        <v>395671.1159692409</v>
      </c>
      <c r="AM54" s="98">
        <f t="shared" si="25"/>
        <v>342273.81513521483</v>
      </c>
      <c r="AN54" s="98">
        <f t="shared" si="25"/>
        <v>288876.51430118876</v>
      </c>
      <c r="AO54" s="98">
        <f t="shared" si="25"/>
        <v>235479.2134671626</v>
      </c>
      <c r="AP54" s="98">
        <f t="shared" si="25"/>
        <v>182081.9126331365</v>
      </c>
      <c r="AQ54" s="98">
        <f t="shared" si="25"/>
        <v>128684.61179911037</v>
      </c>
      <c r="AR54" s="98">
        <f t="shared" si="25"/>
        <v>75287.310965084253</v>
      </c>
      <c r="AS54" s="98">
        <f t="shared" ref="AS54" si="26">AS52-AS53</f>
        <v>48588.660548071195</v>
      </c>
      <c r="AT54" s="98">
        <f t="shared" si="25"/>
        <v>48588.660548071195</v>
      </c>
      <c r="AU54" s="100">
        <f t="shared" si="21"/>
        <v>50402201.163856745</v>
      </c>
    </row>
    <row r="55" spans="1:47" x14ac:dyDescent="0.2">
      <c r="A55" s="124">
        <f t="shared" si="16"/>
        <v>25</v>
      </c>
      <c r="B55" s="2"/>
      <c r="C55" s="2"/>
      <c r="D55" s="114"/>
      <c r="E55" s="116"/>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00">
        <f t="shared" si="21"/>
        <v>0</v>
      </c>
    </row>
    <row r="56" spans="1:47" x14ac:dyDescent="0.2">
      <c r="A56" s="124">
        <f t="shared" si="16"/>
        <v>26</v>
      </c>
      <c r="B56" s="2"/>
      <c r="C56" s="2"/>
      <c r="D56" s="114"/>
      <c r="E56" s="8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00">
        <f t="shared" si="21"/>
        <v>0</v>
      </c>
    </row>
    <row r="57" spans="1:47" x14ac:dyDescent="0.2">
      <c r="A57" s="124">
        <f t="shared" si="16"/>
        <v>27</v>
      </c>
      <c r="B57" s="2" t="s">
        <v>68</v>
      </c>
      <c r="C57" s="2"/>
      <c r="D57" s="114"/>
      <c r="E57" s="38">
        <f>E27</f>
        <v>1482270.176383141</v>
      </c>
      <c r="F57" s="98">
        <f>F27</f>
        <v>1482270.176383141</v>
      </c>
      <c r="G57" s="98">
        <f>G27</f>
        <v>1482270.176383141</v>
      </c>
      <c r="H57" s="98">
        <f t="shared" ref="H57:AT57" si="27">H27</f>
        <v>1482270.176383141</v>
      </c>
      <c r="I57" s="98">
        <f t="shared" si="27"/>
        <v>1482270.176383141</v>
      </c>
      <c r="J57" s="98">
        <f t="shared" si="27"/>
        <v>1482270.176383141</v>
      </c>
      <c r="K57" s="98">
        <f t="shared" si="27"/>
        <v>1482270.176383141</v>
      </c>
      <c r="L57" s="98">
        <f t="shared" si="27"/>
        <v>1482270.176383141</v>
      </c>
      <c r="M57" s="98">
        <f t="shared" si="27"/>
        <v>1482270.176383141</v>
      </c>
      <c r="N57" s="98">
        <f t="shared" si="27"/>
        <v>1482270.176383141</v>
      </c>
      <c r="O57" s="98">
        <f t="shared" si="27"/>
        <v>1482270.176383141</v>
      </c>
      <c r="P57" s="98">
        <f t="shared" si="27"/>
        <v>1482270.176383141</v>
      </c>
      <c r="Q57" s="98">
        <f t="shared" si="27"/>
        <v>1482270.176383141</v>
      </c>
      <c r="R57" s="98">
        <f t="shared" si="27"/>
        <v>1482270.176383141</v>
      </c>
      <c r="S57" s="98">
        <f t="shared" si="27"/>
        <v>1482270.176383141</v>
      </c>
      <c r="T57" s="98">
        <f t="shared" si="27"/>
        <v>1482270.176383141</v>
      </c>
      <c r="U57" s="98">
        <f t="shared" si="27"/>
        <v>1482270.176383141</v>
      </c>
      <c r="V57" s="98">
        <f t="shared" si="27"/>
        <v>1482270.176383141</v>
      </c>
      <c r="W57" s="98">
        <f t="shared" si="27"/>
        <v>1482270.176383141</v>
      </c>
      <c r="X57" s="98">
        <f t="shared" si="27"/>
        <v>1482270.176383141</v>
      </c>
      <c r="Y57" s="98">
        <f t="shared" si="27"/>
        <v>1482270.176383141</v>
      </c>
      <c r="Z57" s="98">
        <f t="shared" si="27"/>
        <v>1482270.176383141</v>
      </c>
      <c r="AA57" s="98">
        <f t="shared" si="27"/>
        <v>1482270.176383141</v>
      </c>
      <c r="AB57" s="98">
        <f t="shared" si="27"/>
        <v>1482270.176383141</v>
      </c>
      <c r="AC57" s="98">
        <f t="shared" si="27"/>
        <v>1482270.176383141</v>
      </c>
      <c r="AD57" s="98">
        <f t="shared" si="27"/>
        <v>1482270.176383141</v>
      </c>
      <c r="AE57" s="98">
        <f t="shared" si="27"/>
        <v>1482270.176383141</v>
      </c>
      <c r="AF57" s="98">
        <f t="shared" si="27"/>
        <v>1482270.176383141</v>
      </c>
      <c r="AG57" s="98">
        <f t="shared" si="27"/>
        <v>1482270.176383141</v>
      </c>
      <c r="AH57" s="98">
        <f t="shared" si="27"/>
        <v>1482270.176383141</v>
      </c>
      <c r="AI57" s="98">
        <f t="shared" si="27"/>
        <v>1482270.176383141</v>
      </c>
      <c r="AJ57" s="98">
        <f t="shared" si="27"/>
        <v>1482270.176383141</v>
      </c>
      <c r="AK57" s="98">
        <f t="shared" si="27"/>
        <v>1482270.176383141</v>
      </c>
      <c r="AL57" s="98">
        <f t="shared" si="27"/>
        <v>1482270.176383141</v>
      </c>
      <c r="AM57" s="98">
        <f t="shared" si="27"/>
        <v>1482270.176383141</v>
      </c>
      <c r="AN57" s="98">
        <f t="shared" si="27"/>
        <v>1482270.176383141</v>
      </c>
      <c r="AO57" s="98">
        <f t="shared" si="27"/>
        <v>1482270.176383141</v>
      </c>
      <c r="AP57" s="98">
        <f t="shared" si="27"/>
        <v>1482270.176383141</v>
      </c>
      <c r="AQ57" s="98">
        <f t="shared" si="27"/>
        <v>1482270.176383141</v>
      </c>
      <c r="AR57" s="98">
        <f t="shared" si="27"/>
        <v>1482270.176383141</v>
      </c>
      <c r="AS57" s="98">
        <f t="shared" ref="AS57" si="28">AS27</f>
        <v>0</v>
      </c>
      <c r="AT57" s="98">
        <f t="shared" si="27"/>
        <v>0</v>
      </c>
      <c r="AU57" s="100">
        <f t="shared" si="21"/>
        <v>59290807.05532559</v>
      </c>
    </row>
    <row r="58" spans="1:47" x14ac:dyDescent="0.2">
      <c r="A58" s="124">
        <f t="shared" si="16"/>
        <v>28</v>
      </c>
      <c r="B58" s="2" t="s">
        <v>69</v>
      </c>
      <c r="C58" s="2"/>
      <c r="D58" s="114"/>
      <c r="E58" s="38">
        <f>$F22*E62</f>
        <v>2273984.7329999995</v>
      </c>
      <c r="F58" s="98">
        <f t="shared" ref="F58:AT58" si="29">$F22*F62</f>
        <v>4377572.2100072</v>
      </c>
      <c r="G58" s="98">
        <f t="shared" si="29"/>
        <v>4048905.6165975993</v>
      </c>
      <c r="H58" s="98">
        <f t="shared" si="29"/>
        <v>3745707.6521975994</v>
      </c>
      <c r="I58" s="98">
        <f t="shared" si="29"/>
        <v>3464339.9412343996</v>
      </c>
      <c r="J58" s="98">
        <f t="shared" si="29"/>
        <v>3204802.4837079998</v>
      </c>
      <c r="K58" s="98">
        <f t="shared" si="29"/>
        <v>2964063.2999743996</v>
      </c>
      <c r="L58" s="98">
        <f t="shared" si="29"/>
        <v>2742122.3900335999</v>
      </c>
      <c r="M58" s="98">
        <f t="shared" si="29"/>
        <v>2705738.6343055996</v>
      </c>
      <c r="N58" s="98">
        <f t="shared" si="29"/>
        <v>2705132.2383768</v>
      </c>
      <c r="O58" s="98">
        <f t="shared" si="29"/>
        <v>2705738.6343055996</v>
      </c>
      <c r="P58" s="98">
        <f t="shared" si="29"/>
        <v>2705132.2383768</v>
      </c>
      <c r="Q58" s="98">
        <f t="shared" si="29"/>
        <v>2705738.6343055996</v>
      </c>
      <c r="R58" s="98">
        <f t="shared" si="29"/>
        <v>2705132.2383768</v>
      </c>
      <c r="S58" s="98">
        <f t="shared" si="29"/>
        <v>2705738.6343055996</v>
      </c>
      <c r="T58" s="98">
        <f t="shared" si="29"/>
        <v>2705132.2383768</v>
      </c>
      <c r="U58" s="98">
        <f t="shared" si="29"/>
        <v>2705738.6343055996</v>
      </c>
      <c r="V58" s="98">
        <f t="shared" si="29"/>
        <v>2705132.2383768</v>
      </c>
      <c r="W58" s="98">
        <f t="shared" si="29"/>
        <v>2705738.6343055996</v>
      </c>
      <c r="X58" s="98">
        <f t="shared" si="29"/>
        <v>2705132.2383768</v>
      </c>
      <c r="Y58" s="98">
        <f t="shared" si="29"/>
        <v>1352869.3171527998</v>
      </c>
      <c r="Z58" s="98">
        <f t="shared" si="29"/>
        <v>0</v>
      </c>
      <c r="AA58" s="98">
        <f t="shared" si="29"/>
        <v>0</v>
      </c>
      <c r="AB58" s="98">
        <f t="shared" si="29"/>
        <v>0</v>
      </c>
      <c r="AC58" s="98">
        <f t="shared" si="29"/>
        <v>0</v>
      </c>
      <c r="AD58" s="98">
        <f t="shared" si="29"/>
        <v>0</v>
      </c>
      <c r="AE58" s="98">
        <f t="shared" si="29"/>
        <v>0</v>
      </c>
      <c r="AF58" s="98">
        <f t="shared" si="29"/>
        <v>0</v>
      </c>
      <c r="AG58" s="98">
        <f t="shared" si="29"/>
        <v>0</v>
      </c>
      <c r="AH58" s="98">
        <f t="shared" si="29"/>
        <v>0</v>
      </c>
      <c r="AI58" s="98">
        <f t="shared" si="29"/>
        <v>0</v>
      </c>
      <c r="AJ58" s="98">
        <f t="shared" si="29"/>
        <v>0</v>
      </c>
      <c r="AK58" s="98">
        <f t="shared" si="29"/>
        <v>0</v>
      </c>
      <c r="AL58" s="98">
        <f t="shared" si="29"/>
        <v>0</v>
      </c>
      <c r="AM58" s="98">
        <f t="shared" si="29"/>
        <v>0</v>
      </c>
      <c r="AN58" s="98">
        <f t="shared" si="29"/>
        <v>0</v>
      </c>
      <c r="AO58" s="98">
        <f t="shared" si="29"/>
        <v>0</v>
      </c>
      <c r="AP58" s="98">
        <f t="shared" si="29"/>
        <v>0</v>
      </c>
      <c r="AQ58" s="98">
        <f t="shared" si="29"/>
        <v>0</v>
      </c>
      <c r="AR58" s="98">
        <f t="shared" si="29"/>
        <v>0</v>
      </c>
      <c r="AS58" s="98">
        <f t="shared" ref="AS58" si="30">$F22*AS62</f>
        <v>0</v>
      </c>
      <c r="AT58" s="98">
        <f t="shared" si="29"/>
        <v>0</v>
      </c>
      <c r="AU58" s="100">
        <f t="shared" si="21"/>
        <v>60639592.879999965</v>
      </c>
    </row>
    <row r="59" spans="1:47" x14ac:dyDescent="0.2">
      <c r="A59" s="124">
        <f t="shared" si="16"/>
        <v>29</v>
      </c>
      <c r="B59" s="2" t="s">
        <v>70</v>
      </c>
      <c r="C59" s="2"/>
      <c r="D59" s="114"/>
      <c r="E59" s="38">
        <f>E58-E57</f>
        <v>791714.55661685858</v>
      </c>
      <c r="F59" s="98">
        <f>F58-F57</f>
        <v>2895302.0336240591</v>
      </c>
      <c r="G59" s="98">
        <f>G58-G57</f>
        <v>2566635.4402144584</v>
      </c>
      <c r="H59" s="98">
        <f t="shared" ref="H59:AT59" si="31">H58-H57</f>
        <v>2263437.4758144584</v>
      </c>
      <c r="I59" s="98">
        <f t="shared" si="31"/>
        <v>1982069.7648512586</v>
      </c>
      <c r="J59" s="98">
        <f t="shared" si="31"/>
        <v>1722532.3073248588</v>
      </c>
      <c r="K59" s="98">
        <f t="shared" si="31"/>
        <v>1481793.1235912587</v>
      </c>
      <c r="L59" s="98">
        <f t="shared" si="31"/>
        <v>1259852.213650459</v>
      </c>
      <c r="M59" s="98">
        <f t="shared" si="31"/>
        <v>1223468.4579224586</v>
      </c>
      <c r="N59" s="98">
        <f t="shared" si="31"/>
        <v>1222862.061993659</v>
      </c>
      <c r="O59" s="98">
        <f t="shared" si="31"/>
        <v>1223468.4579224586</v>
      </c>
      <c r="P59" s="98">
        <f t="shared" si="31"/>
        <v>1222862.061993659</v>
      </c>
      <c r="Q59" s="98">
        <f t="shared" si="31"/>
        <v>1223468.4579224586</v>
      </c>
      <c r="R59" s="98">
        <f t="shared" si="31"/>
        <v>1222862.061993659</v>
      </c>
      <c r="S59" s="98">
        <f t="shared" si="31"/>
        <v>1223468.4579224586</v>
      </c>
      <c r="T59" s="98">
        <f t="shared" si="31"/>
        <v>1222862.061993659</v>
      </c>
      <c r="U59" s="98">
        <f t="shared" si="31"/>
        <v>1223468.4579224586</v>
      </c>
      <c r="V59" s="98">
        <f t="shared" si="31"/>
        <v>1222862.061993659</v>
      </c>
      <c r="W59" s="98">
        <f t="shared" si="31"/>
        <v>1223468.4579224586</v>
      </c>
      <c r="X59" s="98">
        <f t="shared" si="31"/>
        <v>1222862.061993659</v>
      </c>
      <c r="Y59" s="98">
        <f t="shared" si="31"/>
        <v>-129400.85923034116</v>
      </c>
      <c r="Z59" s="98">
        <f t="shared" si="31"/>
        <v>-1482270.176383141</v>
      </c>
      <c r="AA59" s="98">
        <f t="shared" si="31"/>
        <v>-1482270.176383141</v>
      </c>
      <c r="AB59" s="98">
        <f t="shared" si="31"/>
        <v>-1482270.176383141</v>
      </c>
      <c r="AC59" s="98">
        <f t="shared" si="31"/>
        <v>-1482270.176383141</v>
      </c>
      <c r="AD59" s="98">
        <f t="shared" si="31"/>
        <v>-1482270.176383141</v>
      </c>
      <c r="AE59" s="98">
        <f t="shared" si="31"/>
        <v>-1482270.176383141</v>
      </c>
      <c r="AF59" s="98">
        <f t="shared" si="31"/>
        <v>-1482270.176383141</v>
      </c>
      <c r="AG59" s="98">
        <f t="shared" si="31"/>
        <v>-1482270.176383141</v>
      </c>
      <c r="AH59" s="98">
        <f t="shared" si="31"/>
        <v>-1482270.176383141</v>
      </c>
      <c r="AI59" s="98">
        <f t="shared" si="31"/>
        <v>-1482270.176383141</v>
      </c>
      <c r="AJ59" s="98">
        <f t="shared" si="31"/>
        <v>-1482270.176383141</v>
      </c>
      <c r="AK59" s="98">
        <f t="shared" si="31"/>
        <v>-1482270.176383141</v>
      </c>
      <c r="AL59" s="98">
        <f t="shared" si="31"/>
        <v>-1482270.176383141</v>
      </c>
      <c r="AM59" s="98">
        <f t="shared" si="31"/>
        <v>-1482270.176383141</v>
      </c>
      <c r="AN59" s="98">
        <f t="shared" si="31"/>
        <v>-1482270.176383141</v>
      </c>
      <c r="AO59" s="98">
        <f t="shared" si="31"/>
        <v>-1482270.176383141</v>
      </c>
      <c r="AP59" s="98">
        <f t="shared" si="31"/>
        <v>-1482270.176383141</v>
      </c>
      <c r="AQ59" s="98">
        <f t="shared" si="31"/>
        <v>-1482270.176383141</v>
      </c>
      <c r="AR59" s="98">
        <f t="shared" si="31"/>
        <v>-1482270.176383141</v>
      </c>
      <c r="AS59" s="98">
        <f t="shared" ref="AS59" si="32">AS58-AS57</f>
        <v>0</v>
      </c>
      <c r="AT59" s="98">
        <f t="shared" si="31"/>
        <v>0</v>
      </c>
      <c r="AU59" s="100">
        <f t="shared" si="21"/>
        <v>1348785.8246743502</v>
      </c>
    </row>
    <row r="60" spans="1:47" x14ac:dyDescent="0.2">
      <c r="A60" s="124">
        <f t="shared" si="16"/>
        <v>30</v>
      </c>
      <c r="B60" s="2" t="s">
        <v>71</v>
      </c>
      <c r="C60" s="2"/>
      <c r="D60" s="114"/>
      <c r="E60" s="38">
        <f>E59*$F$15</f>
        <v>166260.05688954028</v>
      </c>
      <c r="F60" s="98">
        <f>F59*$G$15</f>
        <v>608013.42706105241</v>
      </c>
      <c r="G60" s="98">
        <f t="shared" ref="G60:AT60" si="33">G59*$G$15</f>
        <v>538993.44244503626</v>
      </c>
      <c r="H60" s="98">
        <f t="shared" si="33"/>
        <v>475321.86992103624</v>
      </c>
      <c r="I60" s="98">
        <f t="shared" si="33"/>
        <v>416234.65061876428</v>
      </c>
      <c r="J60" s="98">
        <f t="shared" si="33"/>
        <v>361731.78453822032</v>
      </c>
      <c r="K60" s="98">
        <f t="shared" si="33"/>
        <v>311176.5559541643</v>
      </c>
      <c r="L60" s="98">
        <f t="shared" si="33"/>
        <v>264568.96486659639</v>
      </c>
      <c r="M60" s="98">
        <f t="shared" si="33"/>
        <v>256928.37616371631</v>
      </c>
      <c r="N60" s="98">
        <f t="shared" si="33"/>
        <v>256801.03301866839</v>
      </c>
      <c r="O60" s="98">
        <f t="shared" si="33"/>
        <v>256928.37616371631</v>
      </c>
      <c r="P60" s="98">
        <f t="shared" si="33"/>
        <v>256801.03301866839</v>
      </c>
      <c r="Q60" s="98">
        <f t="shared" si="33"/>
        <v>256928.37616371631</v>
      </c>
      <c r="R60" s="98">
        <f t="shared" si="33"/>
        <v>256801.03301866839</v>
      </c>
      <c r="S60" s="98">
        <f t="shared" si="33"/>
        <v>256928.37616371631</v>
      </c>
      <c r="T60" s="98">
        <f t="shared" si="33"/>
        <v>256801.03301866839</v>
      </c>
      <c r="U60" s="98">
        <f t="shared" si="33"/>
        <v>256928.37616371631</v>
      </c>
      <c r="V60" s="98">
        <f t="shared" si="33"/>
        <v>256801.03301866839</v>
      </c>
      <c r="W60" s="98">
        <f t="shared" si="33"/>
        <v>256928.37616371631</v>
      </c>
      <c r="X60" s="98">
        <f t="shared" si="33"/>
        <v>256801.03301866839</v>
      </c>
      <c r="Y60" s="98">
        <f t="shared" si="33"/>
        <v>-27174.180438371641</v>
      </c>
      <c r="Z60" s="98">
        <f t="shared" si="33"/>
        <v>-311276.73704045959</v>
      </c>
      <c r="AA60" s="98">
        <f t="shared" si="33"/>
        <v>-311276.73704045959</v>
      </c>
      <c r="AB60" s="98">
        <f t="shared" si="33"/>
        <v>-311276.73704045959</v>
      </c>
      <c r="AC60" s="98">
        <f t="shared" si="33"/>
        <v>-311276.73704045959</v>
      </c>
      <c r="AD60" s="98">
        <f t="shared" si="33"/>
        <v>-311276.73704045959</v>
      </c>
      <c r="AE60" s="98">
        <f t="shared" si="33"/>
        <v>-311276.73704045959</v>
      </c>
      <c r="AF60" s="98">
        <f t="shared" si="33"/>
        <v>-311276.73704045959</v>
      </c>
      <c r="AG60" s="98">
        <f t="shared" si="33"/>
        <v>-311276.73704045959</v>
      </c>
      <c r="AH60" s="98">
        <f t="shared" si="33"/>
        <v>-311276.73704045959</v>
      </c>
      <c r="AI60" s="98">
        <f t="shared" si="33"/>
        <v>-311276.73704045959</v>
      </c>
      <c r="AJ60" s="98">
        <f t="shared" si="33"/>
        <v>-311276.73704045959</v>
      </c>
      <c r="AK60" s="98">
        <f t="shared" si="33"/>
        <v>-311276.73704045959</v>
      </c>
      <c r="AL60" s="98">
        <f t="shared" si="33"/>
        <v>-311276.73704045959</v>
      </c>
      <c r="AM60" s="98">
        <f t="shared" si="33"/>
        <v>-311276.73704045959</v>
      </c>
      <c r="AN60" s="98">
        <f t="shared" si="33"/>
        <v>-311276.73704045959</v>
      </c>
      <c r="AO60" s="98">
        <f t="shared" si="33"/>
        <v>-311276.73704045959</v>
      </c>
      <c r="AP60" s="98">
        <f t="shared" si="33"/>
        <v>-311276.73704045959</v>
      </c>
      <c r="AQ60" s="98">
        <f t="shared" si="33"/>
        <v>-311276.73704045959</v>
      </c>
      <c r="AR60" s="98">
        <f t="shared" si="33"/>
        <v>-311276.73704045959</v>
      </c>
      <c r="AS60" s="98">
        <f t="shared" si="33"/>
        <v>0</v>
      </c>
      <c r="AT60" s="98">
        <f t="shared" si="33"/>
        <v>0</v>
      </c>
      <c r="AU60" s="100">
        <f t="shared" si="21"/>
        <v>283245.02318161592</v>
      </c>
    </row>
    <row r="61" spans="1:47" x14ac:dyDescent="0.2">
      <c r="A61" s="124">
        <f t="shared" si="16"/>
        <v>31</v>
      </c>
      <c r="B61" s="2"/>
      <c r="C61" s="2"/>
      <c r="D61" s="114"/>
      <c r="E61" s="84"/>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14"/>
    </row>
    <row r="62" spans="1:47" s="50" customFormat="1" x14ac:dyDescent="0.2">
      <c r="A62" s="124">
        <f t="shared" si="16"/>
        <v>32</v>
      </c>
      <c r="B62" s="2" t="str">
        <f t="shared" ref="B62" si="34">IF($F$18=1,B66,B65)</f>
        <v>MACRS Depreciation - 20</v>
      </c>
      <c r="C62" s="2"/>
      <c r="D62" s="47"/>
      <c r="E62" s="62">
        <f t="shared" ref="E62" si="35">IF($F$18=1,E66,E65)</f>
        <v>3.7499999999999999E-2</v>
      </c>
      <c r="F62" s="58">
        <f>IF($F$18=1,F66,F65)</f>
        <v>7.2190000000000004E-2</v>
      </c>
      <c r="G62" s="58">
        <f t="shared" ref="G62:Y62" si="36">IF($F$18=1,G66,G65)</f>
        <v>6.6769999999999996E-2</v>
      </c>
      <c r="H62" s="58">
        <f t="shared" si="36"/>
        <v>6.1769999999999999E-2</v>
      </c>
      <c r="I62" s="58">
        <f t="shared" si="36"/>
        <v>5.713E-2</v>
      </c>
      <c r="J62" s="58">
        <f t="shared" si="36"/>
        <v>5.2850000000000001E-2</v>
      </c>
      <c r="K62" s="58">
        <f t="shared" si="36"/>
        <v>4.888E-2</v>
      </c>
      <c r="L62" s="58">
        <f t="shared" si="36"/>
        <v>4.5220000000000003E-2</v>
      </c>
      <c r="M62" s="58">
        <f t="shared" si="36"/>
        <v>4.462E-2</v>
      </c>
      <c r="N62" s="58">
        <f t="shared" si="36"/>
        <v>4.4610000000000004E-2</v>
      </c>
      <c r="O62" s="58">
        <f t="shared" si="36"/>
        <v>4.462E-2</v>
      </c>
      <c r="P62" s="58">
        <f t="shared" si="36"/>
        <v>4.4610000000000004E-2</v>
      </c>
      <c r="Q62" s="58">
        <f t="shared" si="36"/>
        <v>4.462E-2</v>
      </c>
      <c r="R62" s="58">
        <f t="shared" si="36"/>
        <v>4.4610000000000004E-2</v>
      </c>
      <c r="S62" s="58">
        <f t="shared" si="36"/>
        <v>4.462E-2</v>
      </c>
      <c r="T62" s="58">
        <f t="shared" si="36"/>
        <v>4.4610000000000004E-2</v>
      </c>
      <c r="U62" s="58">
        <f t="shared" si="36"/>
        <v>4.462E-2</v>
      </c>
      <c r="V62" s="58">
        <f t="shared" si="36"/>
        <v>4.4610000000000004E-2</v>
      </c>
      <c r="W62" s="58">
        <f t="shared" si="36"/>
        <v>4.462E-2</v>
      </c>
      <c r="X62" s="58">
        <f t="shared" si="36"/>
        <v>4.4610000000000004E-2</v>
      </c>
      <c r="Y62" s="58">
        <f t="shared" si="36"/>
        <v>2.231E-2</v>
      </c>
      <c r="Z62" s="48"/>
      <c r="AA62" s="48"/>
      <c r="AB62" s="48"/>
      <c r="AC62" s="48"/>
      <c r="AD62" s="48"/>
      <c r="AE62" s="48"/>
      <c r="AF62" s="48"/>
      <c r="AG62" s="48"/>
      <c r="AH62" s="48"/>
      <c r="AI62" s="48"/>
      <c r="AJ62" s="48"/>
      <c r="AK62" s="48"/>
      <c r="AL62" s="48"/>
      <c r="AM62" s="48"/>
      <c r="AN62" s="48"/>
      <c r="AO62" s="48"/>
      <c r="AP62" s="47"/>
    </row>
    <row r="63" spans="1:47" outlineLevel="1" x14ac:dyDescent="0.25">
      <c r="A63" s="124">
        <f t="shared" si="16"/>
        <v>33</v>
      </c>
      <c r="B63" s="2"/>
      <c r="C63" s="117"/>
      <c r="E63" s="118"/>
      <c r="F63" s="119"/>
      <c r="G63" s="119"/>
      <c r="H63" s="119"/>
      <c r="I63" s="119"/>
      <c r="J63" s="119"/>
      <c r="K63" s="119"/>
      <c r="L63" s="119"/>
      <c r="M63" s="120"/>
      <c r="N63" s="120"/>
      <c r="O63" s="120"/>
      <c r="P63" s="120"/>
      <c r="Q63" s="120"/>
      <c r="R63" s="120"/>
      <c r="S63" s="120"/>
      <c r="T63" s="120"/>
      <c r="U63" s="120"/>
      <c r="V63" s="120"/>
      <c r="W63" s="120"/>
      <c r="X63" s="120"/>
      <c r="Y63" s="120"/>
      <c r="Z63" s="114"/>
      <c r="AA63" s="114"/>
      <c r="AB63" s="114"/>
      <c r="AC63" s="114"/>
      <c r="AD63" s="114"/>
      <c r="AE63" s="114"/>
      <c r="AF63" s="114"/>
      <c r="AG63" s="114"/>
      <c r="AH63" s="114"/>
      <c r="AI63" s="114"/>
      <c r="AJ63" s="114"/>
      <c r="AK63" s="114"/>
      <c r="AL63" s="114"/>
      <c r="AM63" s="114"/>
      <c r="AN63" s="114"/>
      <c r="AO63" s="3"/>
    </row>
    <row r="64" spans="1:47" outlineLevel="1" x14ac:dyDescent="0.25">
      <c r="A64" s="124">
        <f t="shared" si="16"/>
        <v>34</v>
      </c>
      <c r="B64" s="2"/>
      <c r="C64" s="117"/>
      <c r="E64" s="118"/>
      <c r="F64" s="119"/>
      <c r="G64" s="119"/>
      <c r="H64" s="119"/>
      <c r="I64" s="119"/>
      <c r="J64" s="119"/>
      <c r="K64" s="119"/>
      <c r="L64" s="119"/>
      <c r="M64" s="120"/>
      <c r="N64" s="120"/>
      <c r="O64" s="120"/>
      <c r="P64" s="120"/>
      <c r="Q64" s="120"/>
      <c r="R64" s="120"/>
      <c r="S64" s="120"/>
      <c r="T64" s="120"/>
      <c r="U64" s="120"/>
      <c r="V64" s="120"/>
      <c r="W64" s="120"/>
      <c r="X64" s="120"/>
      <c r="Y64" s="120"/>
      <c r="Z64" s="114"/>
      <c r="AA64" s="114"/>
      <c r="AB64" s="114"/>
      <c r="AC64" s="114"/>
      <c r="AD64" s="114"/>
      <c r="AE64" s="114"/>
      <c r="AF64" s="114"/>
      <c r="AG64" s="114"/>
      <c r="AH64" s="114"/>
      <c r="AI64" s="114"/>
      <c r="AJ64" s="114"/>
      <c r="AK64" s="114"/>
      <c r="AL64" s="114"/>
      <c r="AM64" s="114"/>
      <c r="AN64" s="114"/>
      <c r="AO64" s="3"/>
    </row>
    <row r="65" spans="1:42" s="50" customFormat="1" x14ac:dyDescent="0.25">
      <c r="A65" s="124">
        <f t="shared" si="16"/>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4">
        <f t="shared" si="16"/>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4"/>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64" workbookViewId="0">
      <selection activeCell="B87" sqref="B87"/>
    </sheetView>
  </sheetViews>
  <sheetFormatPr defaultColWidth="9.28515625" defaultRowHeight="15" outlineLevelRow="1" x14ac:dyDescent="0.25"/>
  <cols>
    <col min="1" max="1" width="17" style="389" customWidth="1"/>
    <col min="2" max="2" width="46" style="389" bestFit="1" customWidth="1"/>
    <col min="3" max="3" width="14.5703125" style="389" bestFit="1" customWidth="1"/>
    <col min="4" max="4" width="15.7109375" style="389" bestFit="1" customWidth="1"/>
    <col min="5" max="5" width="16" style="389" bestFit="1" customWidth="1"/>
    <col min="6" max="6" width="35.7109375" style="389" customWidth="1"/>
    <col min="7" max="7" width="28.5703125" style="388" bestFit="1" customWidth="1"/>
    <col min="8" max="8" width="11" style="388" customWidth="1"/>
    <col min="9" max="16384" width="9.28515625" style="388"/>
  </cols>
  <sheetData>
    <row r="1" spans="1:8" x14ac:dyDescent="0.25">
      <c r="A1" s="197"/>
      <c r="B1" s="197"/>
      <c r="C1" s="197"/>
      <c r="D1" s="197"/>
      <c r="E1" s="197"/>
      <c r="F1" s="197"/>
      <c r="G1"/>
      <c r="H1"/>
    </row>
    <row r="2" spans="1:8" x14ac:dyDescent="0.25">
      <c r="B2" s="390" t="s">
        <v>224</v>
      </c>
      <c r="C2" s="391"/>
      <c r="D2" s="391"/>
      <c r="E2" s="391"/>
    </row>
    <row r="4" spans="1:8" ht="15.75" thickBot="1" x14ac:dyDescent="0.3"/>
    <row r="5" spans="1:8" ht="15.75" thickBot="1" x14ac:dyDescent="0.3">
      <c r="A5" s="392"/>
      <c r="B5" s="393">
        <v>43739</v>
      </c>
      <c r="C5" s="394"/>
      <c r="D5" s="394"/>
      <c r="E5" s="395"/>
      <c r="F5" s="396"/>
      <c r="G5" s="397"/>
    </row>
    <row r="6" spans="1:8" ht="82.9" customHeight="1" x14ac:dyDescent="0.25">
      <c r="A6" s="398" t="s">
        <v>225</v>
      </c>
      <c r="B6" s="398" t="s">
        <v>226</v>
      </c>
      <c r="C6" s="399" t="s">
        <v>227</v>
      </c>
      <c r="D6" s="399" t="s">
        <v>228</v>
      </c>
      <c r="E6" s="399" t="s">
        <v>254</v>
      </c>
      <c r="F6" s="396"/>
      <c r="G6" s="397"/>
    </row>
    <row r="7" spans="1:8" ht="15.75" x14ac:dyDescent="0.25">
      <c r="A7" s="389" t="s">
        <v>83</v>
      </c>
      <c r="B7" s="401" t="s">
        <v>230</v>
      </c>
      <c r="C7" s="402">
        <v>49985039.879999995</v>
      </c>
      <c r="D7" s="402">
        <v>10065397.379999999</v>
      </c>
      <c r="E7" s="403">
        <f>SUM(C7:D7)</f>
        <v>60050437.25999999</v>
      </c>
      <c r="F7" s="396"/>
      <c r="G7" s="397"/>
    </row>
    <row r="8" spans="1:8" ht="15.75" x14ac:dyDescent="0.25">
      <c r="A8" s="389" t="s">
        <v>231</v>
      </c>
      <c r="B8" s="401" t="s">
        <v>232</v>
      </c>
      <c r="C8" s="402">
        <v>479737.33</v>
      </c>
      <c r="D8" s="402">
        <v>1588.01</v>
      </c>
      <c r="E8" s="403">
        <f>SUM(C8:D8)</f>
        <v>481325.34</v>
      </c>
      <c r="F8" s="396"/>
      <c r="G8" s="397"/>
    </row>
    <row r="9" spans="1:8" ht="15.75" x14ac:dyDescent="0.25">
      <c r="A9" s="389" t="s">
        <v>233</v>
      </c>
      <c r="B9" s="401" t="s">
        <v>234</v>
      </c>
      <c r="C9" s="402">
        <v>105950.33000000002</v>
      </c>
      <c r="D9" s="402">
        <v>1879.9500000000003</v>
      </c>
      <c r="E9" s="403">
        <f>SUM(C9:D9)</f>
        <v>107830.28000000001</v>
      </c>
      <c r="F9" s="396"/>
      <c r="G9" s="397"/>
    </row>
    <row r="10" spans="1:8" x14ac:dyDescent="0.25">
      <c r="A10" s="125" t="s">
        <v>235</v>
      </c>
      <c r="B10" s="125"/>
      <c r="C10" s="403">
        <f>SUM(C7:C9)</f>
        <v>50570727.539999992</v>
      </c>
      <c r="D10" s="403">
        <f t="shared" ref="D10:E10" si="0">SUM(D7:D9)</f>
        <v>10068865.339999998</v>
      </c>
      <c r="E10" s="403">
        <f t="shared" si="0"/>
        <v>60639592.879999995</v>
      </c>
      <c r="F10" s="396"/>
      <c r="G10" s="397"/>
    </row>
    <row r="11" spans="1:8" x14ac:dyDescent="0.25">
      <c r="F11" s="396"/>
      <c r="G11" s="397"/>
    </row>
    <row r="12" spans="1:8" x14ac:dyDescent="0.25">
      <c r="B12" s="387" t="s">
        <v>78</v>
      </c>
      <c r="C12" s="387"/>
      <c r="D12" s="387"/>
      <c r="E12" s="404">
        <f>+E7+E8</f>
        <v>60531762.599999994</v>
      </c>
      <c r="F12" s="396"/>
      <c r="G12" s="397"/>
    </row>
    <row r="13" spans="1:8" x14ac:dyDescent="0.25">
      <c r="B13" s="387" t="s">
        <v>79</v>
      </c>
      <c r="C13" s="387"/>
      <c r="D13" s="387"/>
      <c r="E13" s="404">
        <f>+E9</f>
        <v>107830.28000000001</v>
      </c>
      <c r="F13" s="396"/>
      <c r="G13" s="397"/>
    </row>
    <row r="14" spans="1:8" x14ac:dyDescent="0.25">
      <c r="E14" s="405">
        <f>+E12/E10</f>
        <v>0.99822178423569918</v>
      </c>
      <c r="F14" s="396"/>
      <c r="G14" s="397"/>
    </row>
    <row r="15" spans="1:8" x14ac:dyDescent="0.25">
      <c r="E15" s="405">
        <f>+E13/E10</f>
        <v>1.7782157643008243E-3</v>
      </c>
      <c r="F15" s="396"/>
      <c r="G15" s="397"/>
    </row>
    <row r="16" spans="1:8" x14ac:dyDescent="0.25">
      <c r="E16" s="405"/>
      <c r="F16" s="396"/>
      <c r="G16" s="397"/>
    </row>
    <row r="17" spans="1:8" x14ac:dyDescent="0.25">
      <c r="A17" s="406"/>
      <c r="B17" s="390" t="s">
        <v>236</v>
      </c>
      <c r="C17" s="390"/>
      <c r="D17" s="390"/>
      <c r="E17" s="390"/>
      <c r="F17" s="396"/>
      <c r="G17" s="397"/>
    </row>
    <row r="18" spans="1:8" x14ac:dyDescent="0.25">
      <c r="A18" s="407" t="s">
        <v>237</v>
      </c>
      <c r="B18" s="408" t="s">
        <v>238</v>
      </c>
      <c r="C18" s="409" t="s">
        <v>239</v>
      </c>
      <c r="D18" s="409" t="s">
        <v>240</v>
      </c>
      <c r="E18" s="409" t="s">
        <v>80</v>
      </c>
      <c r="F18" s="396"/>
      <c r="G18" s="397"/>
    </row>
    <row r="19" spans="1:8" x14ac:dyDescent="0.25">
      <c r="A19" s="125" t="s">
        <v>81</v>
      </c>
      <c r="B19" s="410">
        <f>D30</f>
        <v>2.443056207967733E-2</v>
      </c>
      <c r="C19" s="411">
        <f>E12*B19</f>
        <v>1478824.9839915903</v>
      </c>
      <c r="D19" s="411"/>
      <c r="E19" s="411">
        <f>SUM(C19:D19)</f>
        <v>1478824.9839915903</v>
      </c>
      <c r="F19" s="396"/>
      <c r="G19" s="397"/>
    </row>
    <row r="20" spans="1:8" x14ac:dyDescent="0.25">
      <c r="A20" s="387" t="s">
        <v>79</v>
      </c>
      <c r="B20" s="410">
        <f>D31</f>
        <v>3.1950138602539598E-2</v>
      </c>
      <c r="C20" s="411"/>
      <c r="D20" s="411">
        <f>E13*B20</f>
        <v>3445.1923915506541</v>
      </c>
      <c r="E20" s="411">
        <f>SUM(C20:D20)</f>
        <v>3445.1923915506541</v>
      </c>
      <c r="F20" s="396"/>
      <c r="G20" s="397"/>
    </row>
    <row r="21" spans="1:8" x14ac:dyDescent="0.25">
      <c r="A21" s="125" t="s">
        <v>241</v>
      </c>
      <c r="B21" s="412"/>
      <c r="C21" s="411">
        <f>SUM(C19:C20)</f>
        <v>1478824.9839915903</v>
      </c>
      <c r="D21" s="411">
        <f>SUM(D19:D20)</f>
        <v>3445.1923915506541</v>
      </c>
      <c r="E21" s="411">
        <f>SUM(C21:D21)</f>
        <v>1482270.176383141</v>
      </c>
      <c r="F21" s="396"/>
      <c r="G21" s="397"/>
    </row>
    <row r="22" spans="1:8" x14ac:dyDescent="0.25">
      <c r="A22" s="412"/>
      <c r="B22" s="127" t="s">
        <v>82</v>
      </c>
      <c r="C22" s="412"/>
      <c r="D22" s="412"/>
      <c r="E22" s="410">
        <f>+E21/E10</f>
        <v>2.4443933509191149E-2</v>
      </c>
      <c r="F22" s="413" t="s">
        <v>242</v>
      </c>
      <c r="G22" s="397"/>
    </row>
    <row r="23" spans="1:8" x14ac:dyDescent="0.25">
      <c r="E23" s="405">
        <f>E19/E21</f>
        <v>0.99767573250380226</v>
      </c>
      <c r="F23" s="414" t="s">
        <v>243</v>
      </c>
      <c r="G23" s="397"/>
      <c r="H23" s="397"/>
    </row>
    <row r="24" spans="1:8" x14ac:dyDescent="0.25">
      <c r="E24" s="405">
        <f>E20/E21</f>
        <v>2.3242674961977592E-3</v>
      </c>
      <c r="F24" s="396"/>
      <c r="G24" s="397"/>
      <c r="H24" s="397"/>
    </row>
    <row r="25" spans="1:8" ht="15.75" thickBot="1" x14ac:dyDescent="0.3">
      <c r="F25" s="396"/>
      <c r="G25" s="397"/>
      <c r="H25" s="397"/>
    </row>
    <row r="26" spans="1:8" x14ac:dyDescent="0.25">
      <c r="A26" s="415" t="s">
        <v>107</v>
      </c>
      <c r="B26" s="198"/>
      <c r="C26" s="198"/>
      <c r="D26" s="199"/>
      <c r="E26" s="405"/>
    </row>
    <row r="27" spans="1:8" ht="24.75" x14ac:dyDescent="0.25">
      <c r="A27" s="416" t="s">
        <v>108</v>
      </c>
      <c r="B27" s="417" t="s">
        <v>93</v>
      </c>
      <c r="C27" s="418" t="s">
        <v>109</v>
      </c>
      <c r="D27" s="419" t="s">
        <v>110</v>
      </c>
      <c r="E27" s="420"/>
      <c r="F27" s="396"/>
    </row>
    <row r="28" spans="1:8" x14ac:dyDescent="0.25">
      <c r="A28" s="416" t="s">
        <v>111</v>
      </c>
      <c r="B28" s="417"/>
      <c r="C28" s="200" t="s">
        <v>94</v>
      </c>
      <c r="D28" s="421" t="s">
        <v>94</v>
      </c>
      <c r="E28" s="396"/>
      <c r="F28" s="422"/>
    </row>
    <row r="29" spans="1:8" x14ac:dyDescent="0.25">
      <c r="A29" s="201"/>
      <c r="B29" s="202"/>
      <c r="C29" s="200" t="s">
        <v>112</v>
      </c>
      <c r="D29" s="203"/>
    </row>
    <row r="30" spans="1:8" x14ac:dyDescent="0.25">
      <c r="A30" s="204">
        <v>376.2</v>
      </c>
      <c r="B30" s="202" t="s">
        <v>113</v>
      </c>
      <c r="C30" s="205">
        <v>2.7700000000000002E-2</v>
      </c>
      <c r="D30" s="206">
        <v>2.443056207967733E-2</v>
      </c>
    </row>
    <row r="31" spans="1:8" ht="15.75" thickBot="1" x14ac:dyDescent="0.3">
      <c r="A31" s="207">
        <v>380.2</v>
      </c>
      <c r="B31" s="208" t="s">
        <v>114</v>
      </c>
      <c r="C31" s="209">
        <v>4.58E-2</v>
      </c>
      <c r="D31" s="210">
        <v>3.1950138602539598E-2</v>
      </c>
    </row>
    <row r="33" spans="1:8" x14ac:dyDescent="0.25">
      <c r="A33" s="406"/>
      <c r="B33" s="390" t="s">
        <v>236</v>
      </c>
      <c r="C33" s="390"/>
      <c r="D33" s="390"/>
      <c r="E33" s="405"/>
    </row>
    <row r="34" spans="1:8" x14ac:dyDescent="0.25">
      <c r="A34" s="407" t="s">
        <v>237</v>
      </c>
      <c r="B34" s="408" t="s">
        <v>244</v>
      </c>
      <c r="C34" s="409" t="s">
        <v>245</v>
      </c>
      <c r="D34" s="409" t="s">
        <v>246</v>
      </c>
      <c r="E34" s="409" t="s">
        <v>80</v>
      </c>
    </row>
    <row r="35" spans="1:8" x14ac:dyDescent="0.25">
      <c r="A35" s="125" t="s">
        <v>81</v>
      </c>
      <c r="B35" s="410">
        <f>D30</f>
        <v>2.443056207967733E-2</v>
      </c>
      <c r="C35" s="411">
        <f>E80*B35</f>
        <v>1026649.0141054934</v>
      </c>
      <c r="D35" s="411"/>
      <c r="E35" s="411">
        <f>SUM(C35:D35)</f>
        <v>1026649.0141054934</v>
      </c>
    </row>
    <row r="36" spans="1:8" x14ac:dyDescent="0.25">
      <c r="A36" s="125" t="s">
        <v>79</v>
      </c>
      <c r="B36" s="410">
        <f>D31</f>
        <v>3.1950138602539598E-2</v>
      </c>
      <c r="C36" s="411"/>
      <c r="D36" s="411">
        <f>E81*B36</f>
        <v>111651.69744198215</v>
      </c>
      <c r="E36" s="411">
        <f>SUM(C36:D36)</f>
        <v>111651.69744198215</v>
      </c>
    </row>
    <row r="37" spans="1:8" x14ac:dyDescent="0.25">
      <c r="A37" s="125" t="s">
        <v>241</v>
      </c>
      <c r="B37" s="412"/>
      <c r="C37" s="411">
        <f>SUM(C35:C36)</f>
        <v>1026649.0141054934</v>
      </c>
      <c r="D37" s="411">
        <f>SUM(D35:D36)</f>
        <v>111651.69744198215</v>
      </c>
      <c r="E37" s="411">
        <f>SUM(C37:D37)</f>
        <v>1138300.7115474755</v>
      </c>
    </row>
    <row r="38" spans="1:8" x14ac:dyDescent="0.25">
      <c r="A38" s="412"/>
      <c r="B38" s="127" t="s">
        <v>82</v>
      </c>
      <c r="C38" s="412"/>
      <c r="D38" s="412"/>
      <c r="E38" s="410">
        <f>+E37/E78</f>
        <v>2.5007867478263991E-2</v>
      </c>
    </row>
    <row r="41" spans="1:8" ht="15.75" thickBot="1" x14ac:dyDescent="0.3"/>
    <row r="42" spans="1:8" ht="15.75" thickBot="1" x14ac:dyDescent="0.3">
      <c r="A42" s="392"/>
      <c r="B42" s="423">
        <v>2018</v>
      </c>
      <c r="C42" s="394"/>
      <c r="D42" s="394"/>
      <c r="E42" s="395"/>
      <c r="G42" s="424"/>
      <c r="H42" s="424"/>
    </row>
    <row r="43" spans="1:8" ht="75" x14ac:dyDescent="0.25">
      <c r="A43" s="398" t="s">
        <v>225</v>
      </c>
      <c r="B43" s="398" t="s">
        <v>226</v>
      </c>
      <c r="C43" s="399" t="s">
        <v>247</v>
      </c>
      <c r="D43" s="399" t="s">
        <v>248</v>
      </c>
      <c r="E43" s="400" t="s">
        <v>229</v>
      </c>
      <c r="G43" s="425"/>
      <c r="H43" s="425"/>
    </row>
    <row r="44" spans="1:8" ht="15.75" x14ac:dyDescent="0.25">
      <c r="A44" s="389" t="s">
        <v>83</v>
      </c>
      <c r="B44" s="401" t="s">
        <v>230</v>
      </c>
      <c r="C44" s="402">
        <v>50181798.259999998</v>
      </c>
      <c r="D44" s="402">
        <v>4644023.4099999992</v>
      </c>
      <c r="E44" s="403">
        <f>SUM(C44:D44)</f>
        <v>54825821.669999994</v>
      </c>
      <c r="G44" s="426"/>
      <c r="H44" s="426"/>
    </row>
    <row r="45" spans="1:8" ht="15.75" x14ac:dyDescent="0.25">
      <c r="A45" s="389" t="s">
        <v>231</v>
      </c>
      <c r="B45" s="401" t="s">
        <v>232</v>
      </c>
      <c r="C45" s="402">
        <v>4782276.53</v>
      </c>
      <c r="D45" s="402"/>
      <c r="E45" s="403">
        <f>SUM(C45:D45)</f>
        <v>4782276.53</v>
      </c>
      <c r="G45" s="426"/>
      <c r="H45" s="426"/>
    </row>
    <row r="46" spans="1:8" ht="15.75" x14ac:dyDescent="0.25">
      <c r="A46" s="389" t="s">
        <v>233</v>
      </c>
      <c r="B46" s="401" t="s">
        <v>234</v>
      </c>
      <c r="C46" s="402">
        <v>676665.87999999989</v>
      </c>
      <c r="D46" s="402"/>
      <c r="E46" s="403">
        <f>SUM(C46:D46)</f>
        <v>676665.87999999989</v>
      </c>
      <c r="G46" s="426"/>
      <c r="H46" s="426"/>
    </row>
    <row r="47" spans="1:8" x14ac:dyDescent="0.25">
      <c r="A47" s="125" t="s">
        <v>235</v>
      </c>
      <c r="B47" s="125"/>
      <c r="C47" s="403">
        <f t="shared" ref="C47:D47" si="1">SUM(C44:C46)</f>
        <v>55640740.670000002</v>
      </c>
      <c r="D47" s="403">
        <f t="shared" si="1"/>
        <v>4644023.4099999992</v>
      </c>
      <c r="E47" s="403">
        <f>SUM(E44:E46)</f>
        <v>60284764.079999998</v>
      </c>
      <c r="F47" s="427"/>
      <c r="G47" s="428"/>
      <c r="H47" s="428"/>
    </row>
    <row r="48" spans="1:8" x14ac:dyDescent="0.25">
      <c r="G48" s="429"/>
      <c r="H48" s="429"/>
    </row>
    <row r="49" spans="1:8" x14ac:dyDescent="0.25">
      <c r="B49" s="387" t="s">
        <v>78</v>
      </c>
      <c r="C49" s="387"/>
      <c r="D49" s="387"/>
      <c r="E49" s="404">
        <f>+E44+E45</f>
        <v>59608098.199999996</v>
      </c>
      <c r="G49" s="429"/>
      <c r="H49" s="429"/>
    </row>
    <row r="50" spans="1:8" x14ac:dyDescent="0.25">
      <c r="B50" s="387" t="s">
        <v>79</v>
      </c>
      <c r="C50" s="387"/>
      <c r="D50" s="387"/>
      <c r="E50" s="404">
        <f>+E46</f>
        <v>676665.87999999989</v>
      </c>
      <c r="G50" s="429"/>
      <c r="H50" s="429"/>
    </row>
    <row r="51" spans="1:8" x14ac:dyDescent="0.25">
      <c r="E51" s="405">
        <f>+E49/E47</f>
        <v>0.98877550753782428</v>
      </c>
      <c r="G51" s="429"/>
      <c r="H51" s="429"/>
    </row>
    <row r="52" spans="1:8" x14ac:dyDescent="0.25">
      <c r="E52" s="405">
        <f>+E50/E47</f>
        <v>1.1224492462175693E-2</v>
      </c>
      <c r="G52" s="429"/>
      <c r="H52" s="429"/>
    </row>
    <row r="53" spans="1:8" x14ac:dyDescent="0.25">
      <c r="E53" s="405"/>
      <c r="G53" s="429"/>
      <c r="H53" s="429"/>
    </row>
    <row r="54" spans="1:8" x14ac:dyDescent="0.25">
      <c r="A54" s="406"/>
      <c r="B54" s="390" t="s">
        <v>236</v>
      </c>
      <c r="C54" s="390"/>
      <c r="D54" s="390"/>
      <c r="E54" s="390"/>
      <c r="G54" s="429"/>
      <c r="H54" s="429"/>
    </row>
    <row r="55" spans="1:8" x14ac:dyDescent="0.25">
      <c r="A55" s="407" t="s">
        <v>237</v>
      </c>
      <c r="B55" s="408" t="s">
        <v>249</v>
      </c>
      <c r="C55" s="409" t="s">
        <v>239</v>
      </c>
      <c r="D55" s="409" t="s">
        <v>240</v>
      </c>
      <c r="E55" s="409" t="s">
        <v>80</v>
      </c>
      <c r="G55" s="429"/>
      <c r="H55" s="429"/>
    </row>
    <row r="56" spans="1:8" x14ac:dyDescent="0.25">
      <c r="A56" s="125" t="s">
        <v>81</v>
      </c>
      <c r="B56" s="410">
        <f>C30</f>
        <v>2.7700000000000002E-2</v>
      </c>
      <c r="C56" s="411">
        <f>E49*B56</f>
        <v>1651144.32014</v>
      </c>
      <c r="D56" s="411"/>
      <c r="E56" s="411">
        <f>SUM(C56:D56)</f>
        <v>1651144.32014</v>
      </c>
      <c r="G56" s="429"/>
      <c r="H56" s="429"/>
    </row>
    <row r="57" spans="1:8" x14ac:dyDescent="0.25">
      <c r="A57" s="125" t="s">
        <v>79</v>
      </c>
      <c r="B57" s="410">
        <f>C31</f>
        <v>4.58E-2</v>
      </c>
      <c r="C57" s="411"/>
      <c r="D57" s="411">
        <f>E50*B57</f>
        <v>30991.297303999996</v>
      </c>
      <c r="E57" s="411">
        <f>SUM(C57:D57)</f>
        <v>30991.297303999996</v>
      </c>
      <c r="G57" s="429"/>
      <c r="H57" s="429"/>
    </row>
    <row r="58" spans="1:8" x14ac:dyDescent="0.25">
      <c r="A58" s="125" t="s">
        <v>241</v>
      </c>
      <c r="B58" s="412"/>
      <c r="C58" s="411">
        <f>SUM(C56:C57)</f>
        <v>1651144.32014</v>
      </c>
      <c r="D58" s="411">
        <f>SUM(D56:D57)</f>
        <v>30991.297303999996</v>
      </c>
      <c r="E58" s="411">
        <f>SUM(C58:D58)</f>
        <v>1682135.617444</v>
      </c>
      <c r="G58" s="429"/>
      <c r="H58" s="429"/>
    </row>
    <row r="59" spans="1:8" x14ac:dyDescent="0.25">
      <c r="A59" s="412"/>
      <c r="B59" s="127" t="s">
        <v>82</v>
      </c>
      <c r="C59" s="412"/>
      <c r="D59" s="412"/>
      <c r="E59" s="410">
        <f>+E58/E47</f>
        <v>2.790316331356538E-2</v>
      </c>
      <c r="G59" s="429"/>
      <c r="H59" s="429"/>
    </row>
    <row r="60" spans="1:8" x14ac:dyDescent="0.25">
      <c r="E60" s="405">
        <f>E56/E58</f>
        <v>0.98157621954935403</v>
      </c>
      <c r="G60" s="429"/>
      <c r="H60" s="429"/>
    </row>
    <row r="61" spans="1:8" x14ac:dyDescent="0.25">
      <c r="E61" s="405">
        <f>E57/E58</f>
        <v>1.8423780450645934E-2</v>
      </c>
      <c r="G61" s="429"/>
      <c r="H61" s="429"/>
    </row>
    <row r="62" spans="1:8" x14ac:dyDescent="0.25">
      <c r="A62" s="406"/>
      <c r="B62" s="390" t="s">
        <v>236</v>
      </c>
      <c r="C62" s="390"/>
      <c r="D62" s="390"/>
      <c r="E62" s="390"/>
      <c r="G62" s="429"/>
      <c r="H62" s="429"/>
    </row>
    <row r="63" spans="1:8" x14ac:dyDescent="0.25">
      <c r="A63" s="407" t="s">
        <v>237</v>
      </c>
      <c r="B63" s="408" t="s">
        <v>238</v>
      </c>
      <c r="C63" s="409" t="s">
        <v>239</v>
      </c>
      <c r="D63" s="409" t="s">
        <v>240</v>
      </c>
      <c r="E63" s="409" t="s">
        <v>80</v>
      </c>
      <c r="G63" s="429"/>
      <c r="H63" s="429"/>
    </row>
    <row r="64" spans="1:8" x14ac:dyDescent="0.25">
      <c r="A64" s="125" t="s">
        <v>81</v>
      </c>
      <c r="B64" s="410">
        <f>D30</f>
        <v>2.443056207967733E-2</v>
      </c>
      <c r="C64" s="411">
        <f>E49*B64</f>
        <v>1456259.3435266025</v>
      </c>
      <c r="D64" s="411"/>
      <c r="E64" s="411">
        <f>SUM(C64:D64)</f>
        <v>1456259.3435266025</v>
      </c>
      <c r="F64" s="396"/>
      <c r="G64" s="429"/>
      <c r="H64" s="429"/>
    </row>
    <row r="65" spans="1:8" x14ac:dyDescent="0.25">
      <c r="A65" s="125" t="s">
        <v>79</v>
      </c>
      <c r="B65" s="410">
        <f>D31</f>
        <v>3.1950138602539598E-2</v>
      </c>
      <c r="C65" s="411"/>
      <c r="D65" s="411">
        <f>E50*B65</f>
        <v>21619.568653609422</v>
      </c>
      <c r="E65" s="411">
        <f>SUM(C65:D65)</f>
        <v>21619.568653609422</v>
      </c>
      <c r="F65" s="396"/>
      <c r="G65" s="429"/>
      <c r="H65" s="429"/>
    </row>
    <row r="66" spans="1:8" x14ac:dyDescent="0.25">
      <c r="A66" s="125" t="s">
        <v>241</v>
      </c>
      <c r="B66" s="412"/>
      <c r="C66" s="411">
        <f>SUM(C64:C65)</f>
        <v>1456259.3435266025</v>
      </c>
      <c r="D66" s="411">
        <f>SUM(D64:D65)</f>
        <v>21619.568653609422</v>
      </c>
      <c r="E66" s="411">
        <f>SUM(C66:D66)</f>
        <v>1477878.9121802119</v>
      </c>
      <c r="F66" s="396"/>
      <c r="G66" s="429"/>
      <c r="H66" s="429"/>
    </row>
    <row r="67" spans="1:8" x14ac:dyDescent="0.25">
      <c r="A67" s="412"/>
      <c r="B67" s="127" t="s">
        <v>82</v>
      </c>
      <c r="C67" s="412"/>
      <c r="D67" s="412"/>
      <c r="E67" s="410">
        <f>+E66/E47</f>
        <v>2.451496550967695E-2</v>
      </c>
      <c r="G67" s="430"/>
      <c r="H67" s="430"/>
    </row>
    <row r="68" spans="1:8" x14ac:dyDescent="0.25">
      <c r="E68" s="405">
        <f>E64/E66</f>
        <v>0.98537121784780357</v>
      </c>
      <c r="F68" s="396"/>
      <c r="G68" s="431"/>
      <c r="H68" s="431"/>
    </row>
    <row r="69" spans="1:8" x14ac:dyDescent="0.25">
      <c r="E69" s="405">
        <f>E65/E66</f>
        <v>1.4628782152196472E-2</v>
      </c>
      <c r="F69" s="396"/>
      <c r="G69" s="431"/>
      <c r="H69" s="431"/>
    </row>
    <row r="70" spans="1:8" x14ac:dyDescent="0.25">
      <c r="F70" s="396"/>
      <c r="G70" s="431"/>
      <c r="H70" s="431"/>
    </row>
    <row r="71" spans="1:8" x14ac:dyDescent="0.25">
      <c r="E71" s="396">
        <f>E66/12*F71</f>
        <v>50237.303400000004</v>
      </c>
      <c r="F71" s="396">
        <f>0.01/E67</f>
        <v>0.40791409623042857</v>
      </c>
      <c r="G71" s="429"/>
      <c r="H71" s="429"/>
    </row>
    <row r="72" spans="1:8" ht="15.75" thickBot="1" x14ac:dyDescent="0.3">
      <c r="E72" s="396"/>
      <c r="G72" s="429"/>
      <c r="H72" s="429"/>
    </row>
    <row r="73" spans="1:8" ht="15.75" outlineLevel="1" thickBot="1" x14ac:dyDescent="0.3">
      <c r="A73" s="392"/>
      <c r="B73" s="423">
        <v>2017</v>
      </c>
      <c r="C73" s="394"/>
      <c r="D73" s="394"/>
      <c r="E73" s="395"/>
      <c r="G73" s="432"/>
      <c r="H73" s="432"/>
    </row>
    <row r="74" spans="1:8" ht="45" outlineLevel="1" x14ac:dyDescent="0.25">
      <c r="A74" s="398" t="s">
        <v>225</v>
      </c>
      <c r="B74" s="398" t="s">
        <v>226</v>
      </c>
      <c r="C74" s="400" t="s">
        <v>250</v>
      </c>
      <c r="D74" s="400" t="s">
        <v>251</v>
      </c>
      <c r="E74" s="400" t="s">
        <v>229</v>
      </c>
      <c r="G74" s="432"/>
      <c r="H74" s="432"/>
    </row>
    <row r="75" spans="1:8" ht="15.75" outlineLevel="1" x14ac:dyDescent="0.25">
      <c r="A75" s="389" t="s">
        <v>83</v>
      </c>
      <c r="B75" s="401" t="s">
        <v>230</v>
      </c>
      <c r="C75" s="403">
        <v>32093652.129999988</v>
      </c>
      <c r="D75" s="403">
        <v>2505759</v>
      </c>
      <c r="E75" s="403">
        <f>SUM(C75:D75)</f>
        <v>34599411.129999988</v>
      </c>
      <c r="G75" s="432"/>
      <c r="H75" s="432"/>
    </row>
    <row r="76" spans="1:8" ht="15.75" outlineLevel="1" x14ac:dyDescent="0.25">
      <c r="A76" s="389" t="s">
        <v>231</v>
      </c>
      <c r="B76" s="401" t="s">
        <v>232</v>
      </c>
      <c r="C76" s="403">
        <v>7251539.2899999935</v>
      </c>
      <c r="D76" s="403">
        <v>172193</v>
      </c>
      <c r="E76" s="403">
        <f>SUM(C76:D76)</f>
        <v>7423732.2899999935</v>
      </c>
      <c r="G76" s="432"/>
      <c r="H76" s="432"/>
    </row>
    <row r="77" spans="1:8" ht="15.75" outlineLevel="1" x14ac:dyDescent="0.25">
      <c r="A77" s="389" t="s">
        <v>233</v>
      </c>
      <c r="B77" s="401" t="s">
        <v>234</v>
      </c>
      <c r="C77" s="403">
        <v>3437688.6599999969</v>
      </c>
      <c r="D77" s="403">
        <v>56872</v>
      </c>
      <c r="E77" s="403">
        <f>SUM(C77:D77)</f>
        <v>3494560.6599999969</v>
      </c>
      <c r="G77" s="432"/>
      <c r="H77" s="432"/>
    </row>
    <row r="78" spans="1:8" outlineLevel="1" x14ac:dyDescent="0.25">
      <c r="A78" s="125" t="s">
        <v>235</v>
      </c>
      <c r="B78" s="125"/>
      <c r="C78" s="403">
        <f t="shared" ref="C78:D78" si="2">SUM(C75:C77)</f>
        <v>42782880.079999976</v>
      </c>
      <c r="D78" s="403">
        <f t="shared" si="2"/>
        <v>2734824</v>
      </c>
      <c r="E78" s="403">
        <f>SUM(E75:E77)</f>
        <v>45517704.079999976</v>
      </c>
      <c r="F78" s="433"/>
      <c r="G78" s="432"/>
      <c r="H78" s="432"/>
    </row>
    <row r="79" spans="1:8" outlineLevel="1" x14ac:dyDescent="0.25">
      <c r="F79" s="434"/>
      <c r="G79" s="432"/>
      <c r="H79" s="432"/>
    </row>
    <row r="80" spans="1:8" outlineLevel="1" x14ac:dyDescent="0.25">
      <c r="B80" s="387" t="s">
        <v>78</v>
      </c>
      <c r="C80" s="387"/>
      <c r="D80" s="387"/>
      <c r="E80" s="404">
        <f>+E75+E76</f>
        <v>42023143.419999979</v>
      </c>
      <c r="G80" s="432"/>
      <c r="H80" s="432"/>
    </row>
    <row r="81" spans="1:8" outlineLevel="1" x14ac:dyDescent="0.25">
      <c r="B81" s="387" t="s">
        <v>79</v>
      </c>
      <c r="C81" s="387"/>
      <c r="D81" s="387"/>
      <c r="E81" s="404">
        <f>+E77</f>
        <v>3494560.6599999969</v>
      </c>
    </row>
    <row r="82" spans="1:8" outlineLevel="1" x14ac:dyDescent="0.25">
      <c r="D82" s="389" t="s">
        <v>252</v>
      </c>
      <c r="E82" s="405">
        <f>+E80/E78</f>
        <v>0.92322634169205664</v>
      </c>
    </row>
    <row r="83" spans="1:8" outlineLevel="1" x14ac:dyDescent="0.25">
      <c r="D83" s="389" t="s">
        <v>253</v>
      </c>
      <c r="E83" s="405">
        <f>+E81/E78</f>
        <v>7.6773658307943346E-2</v>
      </c>
    </row>
    <row r="84" spans="1:8" outlineLevel="1" x14ac:dyDescent="0.25">
      <c r="A84" s="406"/>
      <c r="B84" s="390" t="s">
        <v>236</v>
      </c>
      <c r="C84" s="390"/>
      <c r="D84" s="390"/>
    </row>
    <row r="85" spans="1:8" outlineLevel="1" x14ac:dyDescent="0.25">
      <c r="A85" s="407" t="s">
        <v>237</v>
      </c>
      <c r="B85" s="408" t="s">
        <v>244</v>
      </c>
      <c r="C85" s="409" t="s">
        <v>245</v>
      </c>
      <c r="D85" s="409" t="s">
        <v>246</v>
      </c>
      <c r="E85" s="409" t="s">
        <v>80</v>
      </c>
    </row>
    <row r="86" spans="1:8" outlineLevel="1" x14ac:dyDescent="0.25">
      <c r="A86" s="125" t="s">
        <v>81</v>
      </c>
      <c r="B86" s="410">
        <f>C30</f>
        <v>2.7700000000000002E-2</v>
      </c>
      <c r="C86" s="411">
        <f>E80*B86</f>
        <v>1164041.0727339995</v>
      </c>
      <c r="D86" s="411"/>
      <c r="E86" s="411">
        <f>SUM(C86:D86)</f>
        <v>1164041.0727339995</v>
      </c>
      <c r="F86" s="396"/>
    </row>
    <row r="87" spans="1:8" outlineLevel="1" x14ac:dyDescent="0.25">
      <c r="A87" s="125" t="s">
        <v>79</v>
      </c>
      <c r="B87" s="410">
        <f>C31</f>
        <v>4.58E-2</v>
      </c>
      <c r="C87" s="411"/>
      <c r="D87" s="411">
        <f>E81*B87</f>
        <v>160050.87822799987</v>
      </c>
      <c r="E87" s="411">
        <f>SUM(C87:D87)</f>
        <v>160050.87822799987</v>
      </c>
      <c r="F87" s="396"/>
    </row>
    <row r="88" spans="1:8" outlineLevel="1" x14ac:dyDescent="0.25">
      <c r="A88" s="125" t="s">
        <v>241</v>
      </c>
      <c r="B88" s="412"/>
      <c r="C88" s="411">
        <f>SUM(C86:C87)</f>
        <v>1164041.0727339995</v>
      </c>
      <c r="D88" s="411">
        <f>SUM(D86:D87)</f>
        <v>160050.87822799987</v>
      </c>
      <c r="E88" s="411">
        <f>SUM(C88:D88)</f>
        <v>1324091.9509619994</v>
      </c>
      <c r="F88" s="396"/>
    </row>
    <row r="89" spans="1:8" outlineLevel="1" x14ac:dyDescent="0.25">
      <c r="A89" s="412"/>
      <c r="B89" s="127" t="s">
        <v>82</v>
      </c>
      <c r="C89" s="412"/>
      <c r="D89" s="412"/>
      <c r="E89" s="410">
        <f>+E88/E78</f>
        <v>2.9089603215373776E-2</v>
      </c>
      <c r="F89" s="396"/>
    </row>
    <row r="90" spans="1:8" outlineLevel="1" x14ac:dyDescent="0.25">
      <c r="E90" s="405">
        <f>E86/E88</f>
        <v>0.87912404564372038</v>
      </c>
      <c r="F90" s="396"/>
      <c r="G90" s="397"/>
      <c r="H90" s="397"/>
    </row>
    <row r="91" spans="1:8" outlineLevel="1" x14ac:dyDescent="0.25">
      <c r="E91" s="405">
        <f>E87/E88</f>
        <v>0.12087595435627962</v>
      </c>
      <c r="F91" s="396"/>
      <c r="G91" s="397"/>
      <c r="H91" s="397"/>
    </row>
  </sheetData>
  <pageMargins left="0.7" right="0.7" top="0.75" bottom="0.75" header="0.3" footer="0.3"/>
  <pageSetup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14" sqref="E14"/>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9.5703125" bestFit="1" customWidth="1"/>
  </cols>
  <sheetData>
    <row r="1" spans="1:10" ht="15" x14ac:dyDescent="0.25">
      <c r="A1" s="168" t="s">
        <v>168</v>
      </c>
      <c r="B1" s="143"/>
      <c r="C1" s="143"/>
      <c r="D1" s="144" t="s">
        <v>148</v>
      </c>
      <c r="E1" s="145"/>
      <c r="F1" s="168" t="s">
        <v>168</v>
      </c>
      <c r="G1" s="143"/>
      <c r="H1" s="143"/>
      <c r="I1" s="144" t="s">
        <v>149</v>
      </c>
      <c r="J1" s="145"/>
    </row>
    <row r="2" spans="1:10" ht="15" x14ac:dyDescent="0.25">
      <c r="A2" s="146" t="s">
        <v>150</v>
      </c>
      <c r="B2" s="146"/>
      <c r="C2" s="146"/>
      <c r="D2" s="146"/>
      <c r="E2" s="146"/>
      <c r="F2" s="146" t="s">
        <v>150</v>
      </c>
      <c r="G2" s="146"/>
      <c r="H2" s="147"/>
      <c r="I2" s="147"/>
      <c r="J2" s="147"/>
    </row>
    <row r="3" spans="1:10" ht="15" x14ac:dyDescent="0.25">
      <c r="A3" s="146" t="s">
        <v>151</v>
      </c>
      <c r="B3" s="146"/>
      <c r="C3" s="146"/>
      <c r="D3" s="146"/>
      <c r="E3" s="146"/>
      <c r="F3" s="146" t="s">
        <v>151</v>
      </c>
      <c r="G3" s="146"/>
      <c r="H3" s="147"/>
      <c r="I3" s="147"/>
      <c r="J3" s="147"/>
    </row>
    <row r="4" spans="1:10" ht="15" x14ac:dyDescent="0.25">
      <c r="A4" s="146" t="s">
        <v>152</v>
      </c>
      <c r="B4" s="146"/>
      <c r="C4" s="146"/>
      <c r="D4" s="146"/>
      <c r="E4" s="146"/>
      <c r="F4" s="146" t="s">
        <v>152</v>
      </c>
      <c r="G4" s="146"/>
      <c r="H4" s="147"/>
      <c r="I4" s="147"/>
      <c r="J4" s="147"/>
    </row>
    <row r="5" spans="1:10" ht="15" x14ac:dyDescent="0.25">
      <c r="A5" s="146" t="s">
        <v>153</v>
      </c>
      <c r="B5" s="146"/>
      <c r="C5" s="146"/>
      <c r="D5" s="146"/>
      <c r="E5" s="146"/>
      <c r="F5" s="146" t="s">
        <v>153</v>
      </c>
      <c r="G5" s="146"/>
      <c r="H5" s="147"/>
      <c r="I5" s="147"/>
      <c r="J5" s="147"/>
    </row>
    <row r="6" spans="1:10" ht="14.25" x14ac:dyDescent="0.2">
      <c r="A6" s="146" t="s">
        <v>154</v>
      </c>
      <c r="B6" s="146"/>
      <c r="C6" s="146"/>
      <c r="D6" s="146"/>
      <c r="E6" s="146"/>
      <c r="F6" s="146" t="s">
        <v>155</v>
      </c>
      <c r="G6" s="146"/>
      <c r="H6" s="146"/>
      <c r="I6" s="146"/>
      <c r="J6" s="146"/>
    </row>
    <row r="7" spans="1:10" ht="15" x14ac:dyDescent="0.25">
      <c r="A7" s="143"/>
      <c r="B7" s="147"/>
      <c r="C7" s="147"/>
      <c r="D7" s="147"/>
      <c r="E7" s="147"/>
      <c r="F7" s="147"/>
      <c r="G7" s="147"/>
      <c r="H7" s="147"/>
      <c r="I7" s="147"/>
      <c r="J7" s="147"/>
    </row>
    <row r="8" spans="1:10" ht="15" x14ac:dyDescent="0.25">
      <c r="A8" s="143"/>
      <c r="B8" s="143"/>
      <c r="C8" s="143"/>
      <c r="D8" s="143"/>
      <c r="E8" s="143"/>
      <c r="F8" s="147"/>
      <c r="G8" s="147"/>
      <c r="H8" s="147"/>
      <c r="I8" s="147"/>
      <c r="J8" s="143"/>
    </row>
    <row r="9" spans="1:10" x14ac:dyDescent="0.2">
      <c r="A9" s="148" t="s">
        <v>91</v>
      </c>
      <c r="B9" s="148"/>
      <c r="C9" s="149" t="s">
        <v>132</v>
      </c>
      <c r="D9" s="150"/>
      <c r="E9" s="149" t="s">
        <v>156</v>
      </c>
      <c r="F9" s="148" t="s">
        <v>91</v>
      </c>
      <c r="G9" s="148"/>
      <c r="H9" s="148"/>
      <c r="I9" s="150"/>
      <c r="J9" s="150"/>
    </row>
    <row r="10" spans="1:10" x14ac:dyDescent="0.2">
      <c r="A10" s="151" t="s">
        <v>92</v>
      </c>
      <c r="B10" s="151" t="s">
        <v>93</v>
      </c>
      <c r="C10" s="152" t="s">
        <v>157</v>
      </c>
      <c r="D10" s="152" t="s">
        <v>158</v>
      </c>
      <c r="E10" s="152" t="s">
        <v>158</v>
      </c>
      <c r="F10" s="151" t="s">
        <v>92</v>
      </c>
      <c r="G10" s="151" t="s">
        <v>93</v>
      </c>
      <c r="H10" s="151"/>
      <c r="I10" s="153"/>
      <c r="J10" s="153"/>
    </row>
    <row r="11" spans="1:10" ht="15" x14ac:dyDescent="0.25">
      <c r="A11" s="143"/>
      <c r="B11" s="143"/>
      <c r="C11" s="143"/>
      <c r="D11" s="143"/>
      <c r="E11" s="143"/>
      <c r="F11" s="143"/>
      <c r="G11" s="143"/>
      <c r="H11" s="143"/>
      <c r="I11" s="143"/>
      <c r="J11" s="143"/>
    </row>
    <row r="12" spans="1:10" ht="15" x14ac:dyDescent="0.25">
      <c r="A12" s="154">
        <v>1</v>
      </c>
      <c r="B12" s="155" t="s">
        <v>159</v>
      </c>
      <c r="C12" s="156">
        <v>0.51500000000000001</v>
      </c>
      <c r="D12" s="156">
        <v>5.4951456310679617E-2</v>
      </c>
      <c r="E12" s="156">
        <v>2.8299999999999999E-2</v>
      </c>
      <c r="F12" s="154">
        <v>1</v>
      </c>
      <c r="G12" s="157" t="s">
        <v>95</v>
      </c>
      <c r="H12" s="155"/>
      <c r="I12" s="155"/>
      <c r="J12" s="158">
        <v>5.1240000000000001E-3</v>
      </c>
    </row>
    <row r="13" spans="1:10" ht="15" x14ac:dyDescent="0.25">
      <c r="A13" s="154">
        <v>2</v>
      </c>
      <c r="B13" s="155" t="s">
        <v>160</v>
      </c>
      <c r="C13" s="156">
        <v>0.48499999999999999</v>
      </c>
      <c r="D13" s="156">
        <v>9.4E-2</v>
      </c>
      <c r="E13" s="156">
        <v>4.5600000000000002E-2</v>
      </c>
      <c r="F13" s="154">
        <v>2</v>
      </c>
      <c r="G13" s="157" t="s">
        <v>96</v>
      </c>
      <c r="H13" s="155"/>
      <c r="I13" s="155"/>
      <c r="J13" s="158">
        <v>2E-3</v>
      </c>
    </row>
    <row r="14" spans="1:10" ht="15" x14ac:dyDescent="0.25">
      <c r="A14" s="154">
        <v>3</v>
      </c>
      <c r="B14" s="155" t="s">
        <v>161</v>
      </c>
      <c r="C14" s="159">
        <v>1</v>
      </c>
      <c r="D14" s="160"/>
      <c r="E14" s="170">
        <v>7.3899999999999993E-2</v>
      </c>
      <c r="F14" s="154">
        <v>3</v>
      </c>
      <c r="G14" s="157" t="s">
        <v>162</v>
      </c>
      <c r="H14" s="143"/>
      <c r="I14" s="161">
        <v>3.8519999999999999E-2</v>
      </c>
      <c r="J14" s="162">
        <v>3.8323000000000003E-2</v>
      </c>
    </row>
    <row r="15" spans="1:10" ht="15" x14ac:dyDescent="0.25">
      <c r="A15" s="154">
        <v>4</v>
      </c>
      <c r="B15" s="155"/>
      <c r="C15" s="143"/>
      <c r="D15" s="143"/>
      <c r="E15" s="143"/>
      <c r="F15" s="154">
        <v>4</v>
      </c>
      <c r="G15" s="157"/>
      <c r="H15" s="155"/>
      <c r="I15" s="155"/>
      <c r="J15" s="163"/>
    </row>
    <row r="16" spans="1:10" ht="15" x14ac:dyDescent="0.25">
      <c r="A16" s="154">
        <v>5</v>
      </c>
      <c r="B16" s="155" t="s">
        <v>163</v>
      </c>
      <c r="C16" s="156">
        <v>0.51500000000000001</v>
      </c>
      <c r="D16" s="156">
        <v>4.3411650485436902E-2</v>
      </c>
      <c r="E16" s="156">
        <v>2.24E-2</v>
      </c>
      <c r="F16" s="154">
        <v>5</v>
      </c>
      <c r="G16" s="157" t="s">
        <v>97</v>
      </c>
      <c r="H16" s="155"/>
      <c r="I16" s="155"/>
      <c r="J16" s="169">
        <v>4.5447000000000001E-2</v>
      </c>
    </row>
    <row r="17" spans="1:10" ht="15" x14ac:dyDescent="0.25">
      <c r="A17" s="154">
        <v>6</v>
      </c>
      <c r="B17" s="155" t="s">
        <v>160</v>
      </c>
      <c r="C17" s="156">
        <v>0.48499999999999999</v>
      </c>
      <c r="D17" s="156">
        <v>9.4E-2</v>
      </c>
      <c r="E17" s="156">
        <v>4.5600000000000002E-2</v>
      </c>
      <c r="F17" s="154">
        <v>6</v>
      </c>
      <c r="G17" s="155"/>
      <c r="H17" s="155"/>
      <c r="I17" s="155"/>
      <c r="J17" s="158"/>
    </row>
    <row r="18" spans="1:10" ht="15" x14ac:dyDescent="0.25">
      <c r="A18" s="154">
        <v>7</v>
      </c>
      <c r="B18" s="155" t="s">
        <v>164</v>
      </c>
      <c r="C18" s="159">
        <v>1</v>
      </c>
      <c r="D18" s="160"/>
      <c r="E18" s="159">
        <v>6.8000000000000005E-2</v>
      </c>
      <c r="F18" s="154">
        <v>7</v>
      </c>
      <c r="G18" s="155" t="s">
        <v>165</v>
      </c>
      <c r="H18" s="155"/>
      <c r="I18" s="155"/>
      <c r="J18" s="158">
        <v>0.95455299999999998</v>
      </c>
    </row>
    <row r="19" spans="1:10" ht="15" x14ac:dyDescent="0.25">
      <c r="A19" s="154"/>
      <c r="B19" s="143"/>
      <c r="C19" s="143"/>
      <c r="D19" s="143"/>
      <c r="E19" s="143"/>
      <c r="F19" s="154">
        <v>8</v>
      </c>
      <c r="G19" s="157" t="s">
        <v>166</v>
      </c>
      <c r="H19" s="155"/>
      <c r="I19" s="164">
        <v>0.21</v>
      </c>
      <c r="J19" s="158">
        <v>0.200456</v>
      </c>
    </row>
    <row r="20" spans="1:10" ht="15.75" thickBot="1" x14ac:dyDescent="0.3">
      <c r="A20" s="154"/>
      <c r="B20" s="143"/>
      <c r="C20" s="143"/>
      <c r="D20" s="143"/>
      <c r="E20" s="143"/>
      <c r="F20" s="154">
        <v>9</v>
      </c>
      <c r="G20" s="157" t="s">
        <v>167</v>
      </c>
      <c r="H20" s="155"/>
      <c r="I20" s="155"/>
      <c r="J20" s="165">
        <v>0.75409700000000002</v>
      </c>
    </row>
    <row r="21" spans="1:10" ht="15.75" thickTop="1" x14ac:dyDescent="0.25">
      <c r="A21" s="154"/>
      <c r="B21" s="166"/>
      <c r="C21" s="167"/>
      <c r="D21" s="143"/>
      <c r="E21" s="143"/>
      <c r="F21" s="154"/>
      <c r="G21" s="143"/>
      <c r="H21" s="155"/>
      <c r="I21" s="155"/>
      <c r="J21" s="155"/>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M31" sqref="M31"/>
    </sheetView>
  </sheetViews>
  <sheetFormatPr defaultColWidth="9.28515625" defaultRowHeight="12.75" x14ac:dyDescent="0.2"/>
  <cols>
    <col min="1" max="1" width="3.5703125" style="65" customWidth="1"/>
    <col min="2" max="2" width="8.7109375" style="65" customWidth="1"/>
    <col min="3" max="3" width="63" style="65" bestFit="1" customWidth="1"/>
    <col min="4" max="4" width="4.42578125" style="65" customWidth="1"/>
    <col min="5" max="16384" width="9.28515625" style="65"/>
  </cols>
  <sheetData>
    <row r="3" spans="2:6" ht="13.5" thickBot="1" x14ac:dyDescent="0.25"/>
    <row r="4" spans="2:6" ht="13.5" thickBot="1" x14ac:dyDescent="0.25">
      <c r="B4" s="63"/>
      <c r="C4" s="63"/>
      <c r="D4" s="63"/>
      <c r="E4" s="63"/>
      <c r="F4" s="66" t="s">
        <v>115</v>
      </c>
    </row>
    <row r="5" spans="2:6" x14ac:dyDescent="0.2">
      <c r="C5" s="448" t="s">
        <v>116</v>
      </c>
      <c r="D5" s="448"/>
      <c r="E5" s="448"/>
      <c r="F5" s="448"/>
    </row>
    <row r="6" spans="2:6" x14ac:dyDescent="0.2">
      <c r="B6" s="67"/>
      <c r="C6" s="449" t="s">
        <v>119</v>
      </c>
      <c r="D6" s="449"/>
      <c r="E6" s="449"/>
      <c r="F6" s="449"/>
    </row>
    <row r="7" spans="2:6" x14ac:dyDescent="0.2">
      <c r="B7" s="68"/>
      <c r="C7" s="450" t="s">
        <v>117</v>
      </c>
      <c r="D7" s="450"/>
      <c r="E7" s="450"/>
      <c r="F7" s="450"/>
    </row>
    <row r="8" spans="2:6" x14ac:dyDescent="0.2">
      <c r="B8" s="68"/>
      <c r="C8" s="450"/>
      <c r="D8" s="450"/>
      <c r="E8" s="450"/>
      <c r="F8" s="450"/>
    </row>
    <row r="9" spans="2:6" x14ac:dyDescent="0.2">
      <c r="B9" s="63"/>
      <c r="C9" s="63"/>
      <c r="D9" s="63"/>
      <c r="E9" s="63"/>
      <c r="F9" s="63"/>
    </row>
    <row r="10" spans="2:6" x14ac:dyDescent="0.2">
      <c r="B10" s="442" t="s">
        <v>91</v>
      </c>
      <c r="C10" s="63"/>
      <c r="D10" s="63"/>
      <c r="E10" s="63"/>
      <c r="F10" s="63"/>
    </row>
    <row r="11" spans="2:6" x14ac:dyDescent="0.2">
      <c r="B11" s="69" t="s">
        <v>92</v>
      </c>
      <c r="C11" s="70" t="s">
        <v>93</v>
      </c>
      <c r="D11" s="71"/>
      <c r="E11" s="71"/>
      <c r="F11" s="72" t="s">
        <v>94</v>
      </c>
    </row>
    <row r="12" spans="2:6" x14ac:dyDescent="0.2">
      <c r="B12" s="64"/>
      <c r="C12" s="64"/>
      <c r="D12" s="64"/>
      <c r="E12" s="64"/>
      <c r="F12" s="73"/>
    </row>
    <row r="13" spans="2:6" x14ac:dyDescent="0.2">
      <c r="B13" s="73">
        <v>1</v>
      </c>
      <c r="C13" s="74" t="s">
        <v>95</v>
      </c>
      <c r="D13" s="64"/>
      <c r="E13" s="64"/>
      <c r="F13" s="75">
        <v>5.1399999999999996E-3</v>
      </c>
    </row>
    <row r="14" spans="2:6" x14ac:dyDescent="0.2">
      <c r="B14" s="73">
        <v>2</v>
      </c>
      <c r="C14" s="74" t="s">
        <v>96</v>
      </c>
      <c r="D14" s="64"/>
      <c r="E14" s="64"/>
      <c r="F14" s="75">
        <v>2E-3</v>
      </c>
    </row>
    <row r="15" spans="2:6" x14ac:dyDescent="0.2">
      <c r="B15" s="73">
        <v>3</v>
      </c>
      <c r="C15" s="74" t="s">
        <v>118</v>
      </c>
      <c r="D15" s="64"/>
      <c r="E15" s="76">
        <v>3.8519999999999999E-2</v>
      </c>
      <c r="F15" s="77">
        <v>3.8322000000000002E-2</v>
      </c>
    </row>
    <row r="16" spans="2:6" x14ac:dyDescent="0.2">
      <c r="B16" s="73">
        <v>4</v>
      </c>
      <c r="C16" s="74"/>
      <c r="D16" s="64"/>
      <c r="E16" s="64"/>
      <c r="F16" s="78"/>
    </row>
    <row r="17" spans="1:6" x14ac:dyDescent="0.2">
      <c r="B17" s="73">
        <v>5</v>
      </c>
      <c r="C17" s="74" t="s">
        <v>97</v>
      </c>
      <c r="D17" s="64"/>
      <c r="E17" s="64"/>
      <c r="F17" s="75">
        <v>4.5462000000000002E-2</v>
      </c>
    </row>
    <row r="18" spans="1:6" x14ac:dyDescent="0.2">
      <c r="B18" s="73">
        <v>6</v>
      </c>
      <c r="C18" s="64"/>
      <c r="D18" s="64"/>
      <c r="E18" s="64"/>
      <c r="F18" s="75"/>
    </row>
    <row r="19" spans="1:6" x14ac:dyDescent="0.2">
      <c r="A19" s="79"/>
      <c r="B19" s="73">
        <v>7</v>
      </c>
      <c r="C19" s="64" t="s">
        <v>98</v>
      </c>
      <c r="D19" s="64"/>
      <c r="E19" s="64"/>
      <c r="F19" s="75">
        <v>0.954538</v>
      </c>
    </row>
    <row r="20" spans="1:6" x14ac:dyDescent="0.2">
      <c r="B20" s="73">
        <v>8</v>
      </c>
      <c r="C20" s="74" t="s">
        <v>99</v>
      </c>
      <c r="D20" s="64"/>
      <c r="E20" s="80">
        <v>0.35</v>
      </c>
      <c r="F20" s="75">
        <v>0.334088</v>
      </c>
    </row>
    <row r="21" spans="1:6" x14ac:dyDescent="0.2">
      <c r="B21" s="73">
        <v>9</v>
      </c>
      <c r="C21" s="74" t="s">
        <v>100</v>
      </c>
      <c r="D21" s="64"/>
      <c r="E21" s="64"/>
      <c r="F21" s="81">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topLeftCell="C1" workbookViewId="0">
      <selection activeCell="V5" sqref="V5"/>
    </sheetView>
  </sheetViews>
  <sheetFormatPr defaultColWidth="9.28515625" defaultRowHeight="15" x14ac:dyDescent="0.2"/>
  <cols>
    <col min="1" max="1" width="19.28515625" style="102" bestFit="1" customWidth="1"/>
    <col min="2" max="2" width="11.5703125" style="102" bestFit="1" customWidth="1"/>
    <col min="3" max="22" width="10.28515625" style="102" bestFit="1" customWidth="1"/>
    <col min="23" max="23" width="12.7109375" style="102" bestFit="1" customWidth="1"/>
    <col min="24" max="16384" width="9.28515625" style="102"/>
  </cols>
  <sheetData>
    <row r="2" spans="1:23" x14ac:dyDescent="0.2">
      <c r="B2" s="103"/>
    </row>
    <row r="4" spans="1:23" x14ac:dyDescent="0.2">
      <c r="A4" s="104" t="s">
        <v>86</v>
      </c>
      <c r="B4" s="105">
        <v>1</v>
      </c>
      <c r="C4" s="105">
        <v>2</v>
      </c>
      <c r="D4" s="105">
        <v>3</v>
      </c>
      <c r="E4" s="105">
        <v>4</v>
      </c>
      <c r="F4" s="105">
        <v>5</v>
      </c>
      <c r="G4" s="105">
        <v>6</v>
      </c>
      <c r="H4" s="105">
        <v>7</v>
      </c>
      <c r="I4" s="105">
        <v>8</v>
      </c>
      <c r="J4" s="105">
        <v>9</v>
      </c>
      <c r="K4" s="105">
        <v>10</v>
      </c>
      <c r="L4" s="105">
        <v>11</v>
      </c>
      <c r="M4" s="105">
        <v>12</v>
      </c>
      <c r="N4" s="105">
        <v>13</v>
      </c>
      <c r="O4" s="105">
        <v>14</v>
      </c>
      <c r="P4" s="105">
        <v>15</v>
      </c>
      <c r="Q4" s="105">
        <v>16</v>
      </c>
      <c r="R4" s="105">
        <v>17</v>
      </c>
      <c r="S4" s="105">
        <v>18</v>
      </c>
      <c r="T4" s="105">
        <v>19</v>
      </c>
      <c r="U4" s="105">
        <v>20</v>
      </c>
      <c r="V4" s="105">
        <v>21</v>
      </c>
      <c r="W4" s="105" t="s">
        <v>87</v>
      </c>
    </row>
    <row r="5" spans="1:23" x14ac:dyDescent="0.2">
      <c r="A5" s="106" t="s">
        <v>88</v>
      </c>
      <c r="B5" s="107">
        <v>3.7499999999999999E-2</v>
      </c>
      <c r="C5" s="107">
        <v>7.2190000000000004E-2</v>
      </c>
      <c r="D5" s="107">
        <v>6.6769999999999996E-2</v>
      </c>
      <c r="E5" s="107">
        <v>6.1769999999999999E-2</v>
      </c>
      <c r="F5" s="107">
        <v>5.713E-2</v>
      </c>
      <c r="G5" s="107">
        <v>5.2850000000000001E-2</v>
      </c>
      <c r="H5" s="107">
        <v>4.888E-2</v>
      </c>
      <c r="I5" s="107">
        <v>4.5220000000000003E-2</v>
      </c>
      <c r="J5" s="107">
        <v>4.462E-2</v>
      </c>
      <c r="K5" s="107">
        <v>4.4610000000000004E-2</v>
      </c>
      <c r="L5" s="107">
        <v>4.462E-2</v>
      </c>
      <c r="M5" s="107">
        <v>4.4610000000000004E-2</v>
      </c>
      <c r="N5" s="107">
        <v>4.462E-2</v>
      </c>
      <c r="O5" s="107">
        <v>4.4610000000000004E-2</v>
      </c>
      <c r="P5" s="107">
        <v>4.462E-2</v>
      </c>
      <c r="Q5" s="107">
        <v>4.4610000000000004E-2</v>
      </c>
      <c r="R5" s="107">
        <v>4.462E-2</v>
      </c>
      <c r="S5" s="107">
        <v>4.4610000000000004E-2</v>
      </c>
      <c r="T5" s="107">
        <v>4.462E-2</v>
      </c>
      <c r="U5" s="107">
        <v>4.4610000000000004E-2</v>
      </c>
      <c r="V5" s="107">
        <v>2.231E-2</v>
      </c>
      <c r="W5" s="107">
        <f>SUM(B5:V5)</f>
        <v>1.0000000000000002</v>
      </c>
    </row>
    <row r="6" spans="1:23" x14ac:dyDescent="0.2">
      <c r="A6" s="106" t="s">
        <v>89</v>
      </c>
      <c r="B6" s="107">
        <f>B5*0.5+0.5</f>
        <v>0.51875000000000004</v>
      </c>
      <c r="C6" s="107">
        <f>C5*0.5</f>
        <v>3.6095000000000002E-2</v>
      </c>
      <c r="D6" s="107">
        <f t="shared" ref="D6:V6" si="0">D5*0.5</f>
        <v>3.3384999999999998E-2</v>
      </c>
      <c r="E6" s="107">
        <f t="shared" si="0"/>
        <v>3.0884999999999999E-2</v>
      </c>
      <c r="F6" s="107">
        <f t="shared" si="0"/>
        <v>2.8565E-2</v>
      </c>
      <c r="G6" s="107">
        <f t="shared" si="0"/>
        <v>2.6425000000000001E-2</v>
      </c>
      <c r="H6" s="107">
        <f t="shared" si="0"/>
        <v>2.444E-2</v>
      </c>
      <c r="I6" s="107">
        <f t="shared" si="0"/>
        <v>2.2610000000000002E-2</v>
      </c>
      <c r="J6" s="107">
        <f t="shared" si="0"/>
        <v>2.231E-2</v>
      </c>
      <c r="K6" s="107">
        <f t="shared" si="0"/>
        <v>2.2305000000000002E-2</v>
      </c>
      <c r="L6" s="107">
        <f t="shared" si="0"/>
        <v>2.231E-2</v>
      </c>
      <c r="M6" s="107">
        <f t="shared" si="0"/>
        <v>2.2305000000000002E-2</v>
      </c>
      <c r="N6" s="107">
        <f t="shared" si="0"/>
        <v>2.231E-2</v>
      </c>
      <c r="O6" s="107">
        <f t="shared" si="0"/>
        <v>2.2305000000000002E-2</v>
      </c>
      <c r="P6" s="107">
        <f t="shared" si="0"/>
        <v>2.231E-2</v>
      </c>
      <c r="Q6" s="107">
        <f t="shared" si="0"/>
        <v>2.2305000000000002E-2</v>
      </c>
      <c r="R6" s="107">
        <f t="shared" si="0"/>
        <v>2.231E-2</v>
      </c>
      <c r="S6" s="107">
        <f t="shared" si="0"/>
        <v>2.2305000000000002E-2</v>
      </c>
      <c r="T6" s="107">
        <f t="shared" si="0"/>
        <v>2.231E-2</v>
      </c>
      <c r="U6" s="107">
        <f t="shared" si="0"/>
        <v>2.2305000000000002E-2</v>
      </c>
      <c r="V6" s="107">
        <f t="shared" si="0"/>
        <v>1.1155E-2</v>
      </c>
      <c r="W6" s="107">
        <f>SUM(B6:V6)</f>
        <v>1.0000000000000004</v>
      </c>
    </row>
    <row r="7" spans="1:23" x14ac:dyDescent="0.2">
      <c r="A7" s="106" t="s">
        <v>90</v>
      </c>
      <c r="B7" s="107">
        <f>B5*0.6+0.4</f>
        <v>0.42250000000000004</v>
      </c>
      <c r="C7" s="107">
        <f>C5*0.6</f>
        <v>4.3313999999999998E-2</v>
      </c>
      <c r="D7" s="107">
        <f t="shared" ref="D7:V7" si="1">D5*0.6</f>
        <v>4.0061999999999993E-2</v>
      </c>
      <c r="E7" s="107">
        <f t="shared" si="1"/>
        <v>3.7061999999999998E-2</v>
      </c>
      <c r="F7" s="107">
        <f t="shared" si="1"/>
        <v>3.4277999999999996E-2</v>
      </c>
      <c r="G7" s="107">
        <f t="shared" si="1"/>
        <v>3.1710000000000002E-2</v>
      </c>
      <c r="H7" s="107">
        <f t="shared" si="1"/>
        <v>2.9328E-2</v>
      </c>
      <c r="I7" s="107">
        <f t="shared" si="1"/>
        <v>2.7132E-2</v>
      </c>
      <c r="J7" s="107">
        <f t="shared" si="1"/>
        <v>2.6772000000000001E-2</v>
      </c>
      <c r="K7" s="107">
        <f t="shared" si="1"/>
        <v>2.6766000000000002E-2</v>
      </c>
      <c r="L7" s="107">
        <f t="shared" si="1"/>
        <v>2.6772000000000001E-2</v>
      </c>
      <c r="M7" s="107">
        <f t="shared" si="1"/>
        <v>2.6766000000000002E-2</v>
      </c>
      <c r="N7" s="107">
        <f t="shared" si="1"/>
        <v>2.6772000000000001E-2</v>
      </c>
      <c r="O7" s="107">
        <f t="shared" si="1"/>
        <v>2.6766000000000002E-2</v>
      </c>
      <c r="P7" s="107">
        <f t="shared" si="1"/>
        <v>2.6772000000000001E-2</v>
      </c>
      <c r="Q7" s="107">
        <f t="shared" si="1"/>
        <v>2.6766000000000002E-2</v>
      </c>
      <c r="R7" s="107">
        <f t="shared" si="1"/>
        <v>2.6772000000000001E-2</v>
      </c>
      <c r="S7" s="107">
        <f t="shared" si="1"/>
        <v>2.6766000000000002E-2</v>
      </c>
      <c r="T7" s="107">
        <f t="shared" si="1"/>
        <v>2.6772000000000001E-2</v>
      </c>
      <c r="U7" s="107">
        <f t="shared" si="1"/>
        <v>2.6766000000000002E-2</v>
      </c>
      <c r="V7" s="107">
        <f t="shared" si="1"/>
        <v>1.3386E-2</v>
      </c>
      <c r="W7" s="107">
        <f>SUM(B7:V7)</f>
        <v>1</v>
      </c>
    </row>
  </sheetData>
  <pageMargins left="0.7" right="0.7" top="0.75" bottom="0.75" header="0.3" footer="0.3"/>
  <pageSetup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9D59015D42AAE469D2BA8B2BC690981" ma:contentTypeVersion="44" ma:contentTypeDescription="" ma:contentTypeScope="" ma:versionID="212e360c22f1cfeff53a43c631330f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2021-08-31T07:00:00+00:00</OpenedDate>
    <SignificantOrder xmlns="dc463f71-b30c-4ab2-9473-d307f9d35888">false</SignificantOrder>
    <Date1 xmlns="dc463f71-b30c-4ab2-9473-d307f9d35888">2021-08-31T07:00:00+00:00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210678</DocketNumber>
    <DelegatedOrder xmlns="dc463f71-b30c-4ab2-9473-d307f9d35888">false</DelegatedOrder>
  </documentManagement>
</p:properties>
</file>

<file path=customXml/itemProps1.xml><?xml version="1.0" encoding="utf-8"?>
<ds:datastoreItem xmlns:ds="http://schemas.openxmlformats.org/officeDocument/2006/customXml" ds:itemID="{445E1B28-F2FD-4527-8BBB-825FD495BD02}"/>
</file>

<file path=customXml/itemProps2.xml><?xml version="1.0" encoding="utf-8"?>
<ds:datastoreItem xmlns:ds="http://schemas.openxmlformats.org/officeDocument/2006/customXml" ds:itemID="{2D04DD3C-B3FB-42F6-B4CB-BADC290D88BB}"/>
</file>

<file path=customXml/itemProps3.xml><?xml version="1.0" encoding="utf-8"?>
<ds:datastoreItem xmlns:ds="http://schemas.openxmlformats.org/officeDocument/2006/customXml" ds:itemID="{EB8AC19A-6A0F-42FE-8B41-531B81921ADC}"/>
</file>

<file path=customXml/itemProps4.xml><?xml version="1.0" encoding="utf-8"?>
<ds:datastoreItem xmlns:ds="http://schemas.openxmlformats.org/officeDocument/2006/customXml" ds:itemID="{9384C8AA-AC87-4D70-9A09-4DE71D4BDA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Work Papers--&gt;</vt:lpstr>
      <vt:lpstr>2021 CAP CRM</vt:lpstr>
      <vt:lpstr>2021 C&amp;OM</vt:lpstr>
      <vt:lpstr>Summary 2020</vt:lpstr>
      <vt:lpstr>2020 + true up CAP</vt:lpstr>
      <vt:lpstr>2020TrueUp</vt:lpstr>
      <vt:lpstr>2020 Filed Oct 16,20</vt:lpstr>
      <vt:lpstr>2019 CRM</vt:lpstr>
      <vt:lpstr>2019 CRM Final  </vt:lpstr>
      <vt:lpstr>2019 GRC</vt:lpstr>
      <vt:lpstr>2017 4.01 G</vt:lpstr>
      <vt:lpstr>MACRS 20</vt:lpstr>
      <vt:lpstr>'2017 4.01 G'!Print_Area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Puget Sound Energy</cp:lastModifiedBy>
  <cp:lastPrinted>2019-10-14T16:46:50Z</cp:lastPrinted>
  <dcterms:created xsi:type="dcterms:W3CDTF">2017-05-26T23:01:59Z</dcterms:created>
  <dcterms:modified xsi:type="dcterms:W3CDTF">2021-08-31T17:58:06Z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0x0101006E56B4D1795A2E4DB2F0B01679ED314A0069D59015D42AAE469D2BA8B2BC690981</vt:lpwstr>
  </property>
  <property fmtid="{D5CDD505-2E9C-101B-9397-08002B2CF9AE}" pid="3" name="_docset_NoMedatataSyncRequired">
    <vt:lpwstr>False</vt:lpwstr>
  </property>
  <property fmtid="{D5CDD505-2E9C-101B-9397-08002B2CF9AE}" pid="4" name="IsEFSEC">
    <vt:bool>false</vt:bool>
  </property>
</Properties>
</file>