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21\Submission\08-12-2021\"/>
    </mc:Choice>
  </mc:AlternateContent>
  <bookViews>
    <workbookView xWindow="-120" yWindow="-120" windowWidth="24240" windowHeight="13140" tabRatio="770" activeTab="3"/>
  </bookViews>
  <sheets>
    <sheet name="Analysis" sheetId="13" r:id="rId1"/>
    <sheet name="Aug 20 - Jul 21" sheetId="20" r:id="rId2"/>
    <sheet name="Commodity Debit" sheetId="19" r:id="rId3"/>
    <sheet name="Calcs revised method" sheetId="21" r:id="rId4"/>
  </sheet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Analysis!$A$1:$F$57</definedName>
    <definedName name="_xlnm.Print_Area" localSheetId="3">'Calcs revised method'!$A$1:$Q$60</definedName>
    <definedName name="_xlnm.Print_Area" localSheetId="2">'Commodity Debit'!#REF!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62913"/>
  <fileRecoveryPr autoRecover="0"/>
</workbook>
</file>

<file path=xl/calcChain.xml><?xml version="1.0" encoding="utf-8"?>
<calcChain xmlns="http://schemas.openxmlformats.org/spreadsheetml/2006/main">
  <c r="L26" i="20" l="1"/>
  <c r="L25" i="20"/>
  <c r="K25" i="20"/>
  <c r="H26" i="20"/>
  <c r="G25" i="20"/>
  <c r="R28" i="21" l="1"/>
  <c r="R56" i="21"/>
  <c r="H11" i="19"/>
  <c r="L25" i="13" l="1"/>
  <c r="L12" i="20"/>
  <c r="L13" i="20"/>
  <c r="L14" i="20"/>
  <c r="L15" i="20"/>
  <c r="L16" i="20"/>
  <c r="L17" i="20"/>
  <c r="L18" i="20"/>
  <c r="L19" i="20"/>
  <c r="L20" i="20"/>
  <c r="L21" i="20"/>
  <c r="L22" i="20"/>
  <c r="L11" i="20"/>
  <c r="K12" i="20"/>
  <c r="K13" i="20"/>
  <c r="K14" i="20"/>
  <c r="K15" i="20"/>
  <c r="K16" i="20"/>
  <c r="K17" i="20"/>
  <c r="K18" i="20"/>
  <c r="K19" i="20"/>
  <c r="K20" i="20"/>
  <c r="K21" i="20"/>
  <c r="K22" i="20"/>
  <c r="K11" i="20"/>
  <c r="H12" i="20"/>
  <c r="H13" i="20"/>
  <c r="H14" i="20"/>
  <c r="H15" i="20"/>
  <c r="H16" i="20"/>
  <c r="H17" i="20"/>
  <c r="H18" i="20"/>
  <c r="H19" i="20"/>
  <c r="H20" i="20"/>
  <c r="H21" i="20"/>
  <c r="H22" i="20"/>
  <c r="H11" i="20"/>
  <c r="G12" i="20"/>
  <c r="G13" i="20"/>
  <c r="G14" i="20"/>
  <c r="G15" i="20"/>
  <c r="G16" i="20"/>
  <c r="G17" i="20"/>
  <c r="G18" i="20"/>
  <c r="G19" i="20"/>
  <c r="G20" i="20"/>
  <c r="G21" i="20"/>
  <c r="G22" i="20"/>
  <c r="G11" i="20"/>
  <c r="L52" i="13" l="1"/>
  <c r="C27" i="19"/>
  <c r="C28" i="19"/>
  <c r="C29" i="19"/>
  <c r="C30" i="19"/>
  <c r="C31" i="19"/>
  <c r="C32" i="19"/>
  <c r="C33" i="19"/>
  <c r="C34" i="19"/>
  <c r="C35" i="19"/>
  <c r="C36" i="19"/>
  <c r="C37" i="19"/>
  <c r="C26" i="19"/>
  <c r="E12" i="19"/>
  <c r="E13" i="19"/>
  <c r="E14" i="19"/>
  <c r="E15" i="19"/>
  <c r="E16" i="19"/>
  <c r="E17" i="19"/>
  <c r="E18" i="19"/>
  <c r="E19" i="19"/>
  <c r="E20" i="19"/>
  <c r="E21" i="19"/>
  <c r="E22" i="19"/>
  <c r="E11" i="19"/>
  <c r="F23" i="19" l="1"/>
  <c r="D12" i="20"/>
  <c r="D13" i="20"/>
  <c r="D14" i="20"/>
  <c r="D15" i="20"/>
  <c r="D16" i="20"/>
  <c r="D17" i="20"/>
  <c r="D18" i="20"/>
  <c r="D19" i="20"/>
  <c r="D20" i="20"/>
  <c r="D21" i="20"/>
  <c r="D22" i="20"/>
  <c r="D11" i="20"/>
  <c r="G38" i="21" l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H32" i="19" l="1"/>
  <c r="H17" i="19"/>
  <c r="D38" i="21"/>
  <c r="H26" i="19"/>
  <c r="I38" i="21"/>
  <c r="H31" i="19"/>
  <c r="H16" i="19"/>
  <c r="H36" i="19"/>
  <c r="H21" i="19"/>
  <c r="H30" i="19"/>
  <c r="H15" i="19"/>
  <c r="M38" i="21"/>
  <c r="H35" i="19"/>
  <c r="H20" i="19"/>
  <c r="H29" i="19"/>
  <c r="H14" i="19"/>
  <c r="H34" i="19"/>
  <c r="H19" i="19"/>
  <c r="H28" i="19"/>
  <c r="H13" i="19"/>
  <c r="K38" i="21"/>
  <c r="H33" i="19"/>
  <c r="H18" i="19"/>
  <c r="E38" i="21"/>
  <c r="H27" i="19"/>
  <c r="H12" i="19"/>
  <c r="H37" i="19"/>
  <c r="H22" i="19"/>
  <c r="O38" i="21"/>
  <c r="F38" i="19"/>
  <c r="H38" i="21"/>
  <c r="L38" i="21"/>
  <c r="F38" i="21"/>
  <c r="J38" i="21"/>
  <c r="N38" i="21"/>
  <c r="E46" i="13" l="1"/>
  <c r="Q38" i="21"/>
  <c r="F11" i="20"/>
  <c r="F22" i="20"/>
  <c r="F21" i="20"/>
  <c r="F20" i="20"/>
  <c r="F19" i="20"/>
  <c r="F18" i="20"/>
  <c r="F17" i="20"/>
  <c r="F16" i="20"/>
  <c r="F15" i="20"/>
  <c r="F14" i="20"/>
  <c r="F13" i="20"/>
  <c r="F12" i="20"/>
  <c r="C39" i="13"/>
  <c r="O10" i="21"/>
  <c r="N10" i="21"/>
  <c r="M10" i="21"/>
  <c r="L10" i="21"/>
  <c r="K10" i="21"/>
  <c r="J10" i="21"/>
  <c r="I10" i="21"/>
  <c r="H10" i="21"/>
  <c r="G10" i="21"/>
  <c r="F10" i="21"/>
  <c r="E10" i="21"/>
  <c r="D10" i="21"/>
  <c r="E21" i="20" l="1"/>
  <c r="E13" i="20"/>
  <c r="E20" i="20"/>
  <c r="E16" i="20"/>
  <c r="E17" i="20"/>
  <c r="E11" i="20"/>
  <c r="D14" i="21" s="1"/>
  <c r="E19" i="20"/>
  <c r="E14" i="20"/>
  <c r="E15" i="20"/>
  <c r="E22" i="20"/>
  <c r="E12" i="20"/>
  <c r="E18" i="20"/>
  <c r="E19" i="13"/>
  <c r="Q10" i="21"/>
  <c r="C12" i="13"/>
  <c r="C11" i="13"/>
  <c r="E24" i="13"/>
  <c r="C38" i="13"/>
  <c r="E51" i="13"/>
  <c r="D42" i="21" l="1"/>
  <c r="C13" i="13"/>
  <c r="A50" i="13"/>
  <c r="A42" i="13"/>
  <c r="C40" i="13"/>
  <c r="A39" i="13"/>
  <c r="A38" i="13"/>
  <c r="A37" i="13"/>
  <c r="D40" i="19"/>
  <c r="G39" i="19" l="1"/>
  <c r="C25" i="20" l="1"/>
  <c r="D20" i="21" l="1"/>
  <c r="D48" i="21"/>
  <c r="O20" i="21"/>
  <c r="J11" i="13" l="1"/>
  <c r="P39" i="13" l="1"/>
  <c r="J38" i="13" s="1"/>
  <c r="P38" i="13"/>
  <c r="G39" i="13" l="1"/>
  <c r="G38" i="13"/>
  <c r="G50" i="13"/>
  <c r="G42" i="13"/>
  <c r="G37" i="13"/>
  <c r="L42" i="21"/>
  <c r="F25" i="20" l="1"/>
  <c r="K42" i="21"/>
  <c r="K14" i="21"/>
  <c r="J42" i="21"/>
  <c r="J14" i="21"/>
  <c r="N42" i="21"/>
  <c r="N14" i="21"/>
  <c r="L14" i="21"/>
  <c r="M42" i="13"/>
  <c r="M42" i="21" l="1"/>
  <c r="M14" i="21"/>
  <c r="O42" i="21"/>
  <c r="O14" i="21"/>
  <c r="K11" i="13" l="1"/>
  <c r="I13" i="13" l="1"/>
  <c r="M11" i="20"/>
  <c r="N11" i="20" s="1"/>
  <c r="I11" i="20" l="1"/>
  <c r="Q11" i="13"/>
  <c r="J11" i="20" l="1"/>
  <c r="K38" i="13"/>
  <c r="G48" i="21" l="1"/>
  <c r="M36" i="21"/>
  <c r="M40" i="21" s="1"/>
  <c r="M44" i="21" s="1"/>
  <c r="M8" i="21"/>
  <c r="M12" i="21" s="1"/>
  <c r="M16" i="21" s="1"/>
  <c r="K36" i="21"/>
  <c r="K40" i="21" s="1"/>
  <c r="K44" i="21" s="1"/>
  <c r="J8" i="21"/>
  <c r="J12" i="21" s="1"/>
  <c r="J16" i="21" s="1"/>
  <c r="L36" i="21"/>
  <c r="L40" i="21" s="1"/>
  <c r="L44" i="21" s="1"/>
  <c r="J36" i="21"/>
  <c r="J40" i="21" s="1"/>
  <c r="J44" i="21" s="1"/>
  <c r="N36" i="21"/>
  <c r="N40" i="21" s="1"/>
  <c r="N44" i="21" s="1"/>
  <c r="O36" i="21"/>
  <c r="O40" i="21" s="1"/>
  <c r="O44" i="21" s="1"/>
  <c r="O8" i="21"/>
  <c r="O12" i="21" s="1"/>
  <c r="O16" i="21" s="1"/>
  <c r="O48" i="21"/>
  <c r="N48" i="21"/>
  <c r="M20" i="21"/>
  <c r="L48" i="21"/>
  <c r="J48" i="21"/>
  <c r="N20" i="21"/>
  <c r="L20" i="21"/>
  <c r="M48" i="21"/>
  <c r="K48" i="21"/>
  <c r="F48" i="21"/>
  <c r="I20" i="21"/>
  <c r="H48" i="21"/>
  <c r="H20" i="21"/>
  <c r="I48" i="21"/>
  <c r="F20" i="21"/>
  <c r="E48" i="21" l="1"/>
  <c r="Q48" i="21" s="1"/>
  <c r="Q51" i="21" s="1"/>
  <c r="H25" i="20"/>
  <c r="E20" i="21"/>
  <c r="M18" i="20"/>
  <c r="N18" i="20" s="1"/>
  <c r="K8" i="21"/>
  <c r="K12" i="21" s="1"/>
  <c r="K16" i="21" s="1"/>
  <c r="M21" i="20"/>
  <c r="N21" i="20" s="1"/>
  <c r="N8" i="21"/>
  <c r="N12" i="21" s="1"/>
  <c r="N16" i="21" s="1"/>
  <c r="I22" i="20"/>
  <c r="M19" i="20"/>
  <c r="N19" i="20" s="1"/>
  <c r="L8" i="21"/>
  <c r="L12" i="21" s="1"/>
  <c r="L16" i="21" s="1"/>
  <c r="I14" i="20"/>
  <c r="G20" i="21"/>
  <c r="I17" i="20"/>
  <c r="J20" i="21"/>
  <c r="I18" i="20"/>
  <c r="K20" i="21"/>
  <c r="I19" i="20"/>
  <c r="M17" i="20"/>
  <c r="N17" i="20" s="1"/>
  <c r="I21" i="20"/>
  <c r="I20" i="20"/>
  <c r="M22" i="20"/>
  <c r="N22" i="20" s="1"/>
  <c r="M20" i="20"/>
  <c r="N20" i="20" s="1"/>
  <c r="I40" i="13"/>
  <c r="I13" i="20"/>
  <c r="I12" i="20"/>
  <c r="I16" i="20"/>
  <c r="I15" i="20"/>
  <c r="J14" i="20" l="1"/>
  <c r="J13" i="20"/>
  <c r="J19" i="20"/>
  <c r="J16" i="20"/>
  <c r="J20" i="20"/>
  <c r="J22" i="20"/>
  <c r="J15" i="20"/>
  <c r="J18" i="20"/>
  <c r="J12" i="20"/>
  <c r="J21" i="20"/>
  <c r="J17" i="20"/>
  <c r="E15" i="13"/>
  <c r="E23" i="13"/>
  <c r="F25" i="13" s="1"/>
  <c r="E50" i="13"/>
  <c r="F52" i="13" s="1"/>
  <c r="E42" i="13"/>
  <c r="D39" i="13"/>
  <c r="E39" i="13" s="1"/>
  <c r="Q20" i="21"/>
  <c r="Q23" i="21" s="1"/>
  <c r="Q50" i="13"/>
  <c r="I45" i="21" l="1"/>
  <c r="I47" i="21" s="1"/>
  <c r="I49" i="21" s="1"/>
  <c r="M45" i="21"/>
  <c r="M47" i="21" s="1"/>
  <c r="M49" i="21" s="1"/>
  <c r="K45" i="21"/>
  <c r="K47" i="21" s="1"/>
  <c r="K49" i="21" s="1"/>
  <c r="H45" i="21"/>
  <c r="H47" i="21" s="1"/>
  <c r="H49" i="21" s="1"/>
  <c r="L45" i="21"/>
  <c r="L47" i="21" s="1"/>
  <c r="L49" i="21" s="1"/>
  <c r="F45" i="21"/>
  <c r="F47" i="21" s="1"/>
  <c r="F49" i="21" s="1"/>
  <c r="J45" i="21"/>
  <c r="J47" i="21" s="1"/>
  <c r="J49" i="21" s="1"/>
  <c r="N45" i="21"/>
  <c r="N47" i="21" s="1"/>
  <c r="N49" i="21" s="1"/>
  <c r="G45" i="21"/>
  <c r="G47" i="21" s="1"/>
  <c r="G49" i="21" s="1"/>
  <c r="O45" i="21"/>
  <c r="O47" i="21" s="1"/>
  <c r="O49" i="21" s="1"/>
  <c r="D12" i="13"/>
  <c r="O17" i="21" s="1"/>
  <c r="O19" i="21" s="1"/>
  <c r="E12" i="13" l="1"/>
  <c r="K17" i="21"/>
  <c r="K19" i="21" s="1"/>
  <c r="K21" i="21" s="1"/>
  <c r="L17" i="21"/>
  <c r="L19" i="21" s="1"/>
  <c r="L21" i="21" s="1"/>
  <c r="G17" i="21"/>
  <c r="G19" i="21" s="1"/>
  <c r="G21" i="21" s="1"/>
  <c r="M17" i="21"/>
  <c r="M19" i="21" s="1"/>
  <c r="M21" i="21" s="1"/>
  <c r="J17" i="21"/>
  <c r="J19" i="21" s="1"/>
  <c r="J21" i="21" s="1"/>
  <c r="H17" i="21"/>
  <c r="H19" i="21" s="1"/>
  <c r="H21" i="21" s="1"/>
  <c r="N17" i="21"/>
  <c r="N19" i="21" s="1"/>
  <c r="N21" i="21" s="1"/>
  <c r="I17" i="21"/>
  <c r="I19" i="21" s="1"/>
  <c r="I21" i="21" s="1"/>
  <c r="O21" i="21"/>
  <c r="F17" i="21"/>
  <c r="F19" i="21" s="1"/>
  <c r="F21" i="21" s="1"/>
  <c r="M50" i="13"/>
  <c r="O40" i="13"/>
  <c r="Q46" i="13" s="1"/>
  <c r="Q51" i="13" s="1"/>
  <c r="R52" i="13" s="1"/>
  <c r="M37" i="13"/>
  <c r="J39" i="13" l="1"/>
  <c r="D38" i="13" s="1"/>
  <c r="E38" i="13" s="1"/>
  <c r="E40" i="13" s="1"/>
  <c r="E44" i="13" s="1"/>
  <c r="F48" i="13" s="1"/>
  <c r="D25" i="20"/>
  <c r="G36" i="21"/>
  <c r="G40" i="21" s="1"/>
  <c r="H36" i="21"/>
  <c r="H40" i="21" s="1"/>
  <c r="D36" i="21"/>
  <c r="I36" i="21"/>
  <c r="I40" i="21" s="1"/>
  <c r="E36" i="21"/>
  <c r="E40" i="21" s="1"/>
  <c r="F36" i="21"/>
  <c r="F40" i="21" s="1"/>
  <c r="Q36" i="21" l="1"/>
  <c r="D40" i="21"/>
  <c r="F54" i="13"/>
  <c r="E45" i="21"/>
  <c r="E47" i="21" s="1"/>
  <c r="E49" i="21" s="1"/>
  <c r="D45" i="21"/>
  <c r="D47" i="21" s="1"/>
  <c r="K39" i="13"/>
  <c r="K40" i="13" s="1"/>
  <c r="K44" i="13" s="1"/>
  <c r="L48" i="13" s="1"/>
  <c r="L54" i="13" s="1"/>
  <c r="Q56" i="21" s="1"/>
  <c r="H8" i="21"/>
  <c r="H12" i="21" s="1"/>
  <c r="M15" i="20"/>
  <c r="N15" i="20" s="1"/>
  <c r="F42" i="21"/>
  <c r="F44" i="21" s="1"/>
  <c r="F14" i="21"/>
  <c r="G42" i="21"/>
  <c r="G44" i="21" s="1"/>
  <c r="G14" i="21"/>
  <c r="M16" i="20"/>
  <c r="N16" i="20" s="1"/>
  <c r="I8" i="21"/>
  <c r="I12" i="21" s="1"/>
  <c r="I16" i="21" s="1"/>
  <c r="M14" i="20"/>
  <c r="N14" i="20" s="1"/>
  <c r="G8" i="21"/>
  <c r="G12" i="21" s="1"/>
  <c r="E42" i="21"/>
  <c r="E44" i="21" s="1"/>
  <c r="E14" i="21"/>
  <c r="M12" i="20"/>
  <c r="N12" i="20" s="1"/>
  <c r="E8" i="21"/>
  <c r="E12" i="21" s="1"/>
  <c r="E16" i="21" s="1"/>
  <c r="H42" i="21"/>
  <c r="H44" i="21" s="1"/>
  <c r="H14" i="21"/>
  <c r="I42" i="21"/>
  <c r="I44" i="21" s="1"/>
  <c r="I14" i="21"/>
  <c r="M13" i="20"/>
  <c r="N13" i="20" s="1"/>
  <c r="F8" i="21"/>
  <c r="F12" i="21" s="1"/>
  <c r="D8" i="21"/>
  <c r="H16" i="21" l="1"/>
  <c r="F16" i="21"/>
  <c r="D49" i="21"/>
  <c r="Q49" i="21" s="1"/>
  <c r="Q52" i="21" s="1"/>
  <c r="Q54" i="21" s="1"/>
  <c r="Q47" i="21"/>
  <c r="G16" i="21"/>
  <c r="D44" i="21"/>
  <c r="Q40" i="21"/>
  <c r="D12" i="21"/>
  <c r="D16" i="21" s="1"/>
  <c r="Q8" i="21"/>
  <c r="S50" i="13"/>
  <c r="U40" i="13"/>
  <c r="W46" i="13" s="1"/>
  <c r="W51" i="13" s="1"/>
  <c r="X52" i="13" s="1"/>
  <c r="W39" i="13"/>
  <c r="W38" i="13"/>
  <c r="S38" i="13"/>
  <c r="S37" i="13"/>
  <c r="W40" i="13" l="1"/>
  <c r="W44" i="13" s="1"/>
  <c r="X48" i="13" s="1"/>
  <c r="X54" i="13" s="1"/>
  <c r="AE50" i="13" l="1"/>
  <c r="AG40" i="13"/>
  <c r="AI46" i="13" s="1"/>
  <c r="AI51" i="13" s="1"/>
  <c r="AJ52" i="13" s="1"/>
  <c r="AI39" i="13"/>
  <c r="AI38" i="13"/>
  <c r="AE38" i="13"/>
  <c r="AE37" i="13"/>
  <c r="AI12" i="13"/>
  <c r="AG13" i="13"/>
  <c r="AI19" i="13" s="1"/>
  <c r="AI40" i="13" l="1"/>
  <c r="AI44" i="13" s="1"/>
  <c r="AJ48" i="13" s="1"/>
  <c r="AJ54" i="13" s="1"/>
  <c r="AJ25" i="13"/>
  <c r="AJ27" i="13" s="1"/>
  <c r="AI11" i="13"/>
  <c r="AI13" i="13" s="1"/>
  <c r="AI17" i="13" s="1"/>
  <c r="AJ21" i="13" s="1"/>
  <c r="AB11" i="13" l="1"/>
  <c r="V11" i="13"/>
  <c r="AB12" i="13"/>
  <c r="AC39" i="13" l="1"/>
  <c r="U13" i="13" l="1"/>
  <c r="W19" i="13" s="1"/>
  <c r="AD25" i="13"/>
  <c r="X25" i="13"/>
  <c r="AC12" i="13"/>
  <c r="Q12" i="21" l="1"/>
  <c r="Q39" i="13"/>
  <c r="V12" i="13"/>
  <c r="Q12" i="13"/>
  <c r="O13" i="13"/>
  <c r="Q24" i="13" s="1"/>
  <c r="R25" i="13" s="1"/>
  <c r="J12" i="13" s="1"/>
  <c r="AA40" i="13"/>
  <c r="AC46" i="13" s="1"/>
  <c r="AC51" i="13" s="1"/>
  <c r="Y50" i="13"/>
  <c r="Y38" i="13"/>
  <c r="Y37" i="13"/>
  <c r="K12" i="13" l="1"/>
  <c r="K13" i="13" s="1"/>
  <c r="K17" i="13" s="1"/>
  <c r="L21" i="13" s="1"/>
  <c r="L27" i="13" s="1"/>
  <c r="Q28" i="21" s="1"/>
  <c r="D11" i="13"/>
  <c r="Q38" i="13"/>
  <c r="Q19" i="13"/>
  <c r="AA13" i="13"/>
  <c r="AC19" i="13" s="1"/>
  <c r="D17" i="21" l="1"/>
  <c r="D19" i="21" s="1"/>
  <c r="E17" i="21"/>
  <c r="E19" i="21" s="1"/>
  <c r="E21" i="21" s="1"/>
  <c r="E11" i="13"/>
  <c r="E13" i="13" s="1"/>
  <c r="E17" i="13" s="1"/>
  <c r="F21" i="13" s="1"/>
  <c r="F27" i="13" s="1"/>
  <c r="Q40" i="13"/>
  <c r="Q44" i="13" s="1"/>
  <c r="R48" i="13" s="1"/>
  <c r="R54" i="13" s="1"/>
  <c r="AD52" i="13"/>
  <c r="Q19" i="21" l="1"/>
  <c r="D21" i="21"/>
  <c r="Q21" i="21" s="1"/>
  <c r="Q24" i="21" s="1"/>
  <c r="Q26" i="21" s="1"/>
  <c r="AC38" i="13"/>
  <c r="AC40" i="13" s="1"/>
  <c r="AC44" i="13" s="1"/>
  <c r="AD48" i="13" s="1"/>
  <c r="AD54" i="13" s="1"/>
  <c r="AC11" i="13"/>
  <c r="AC13" i="13" s="1"/>
  <c r="AC17" i="13" l="1"/>
  <c r="AD21" i="13" l="1"/>
  <c r="AD27" i="13" l="1"/>
  <c r="Q13" i="13" s="1"/>
  <c r="Q17" i="13" s="1"/>
  <c r="R21" i="13" s="1"/>
  <c r="R27" i="13" l="1"/>
  <c r="W11" i="13"/>
  <c r="W12" i="13"/>
  <c r="W13" i="13" l="1"/>
  <c r="W17" i="13" s="1"/>
  <c r="X21" i="13" l="1"/>
  <c r="X27" i="13" l="1"/>
</calcChain>
</file>

<file path=xl/comments1.xml><?xml version="1.0" encoding="utf-8"?>
<comments xmlns="http://schemas.openxmlformats.org/spreadsheetml/2006/main">
  <authors>
    <author>Sharbono, Benjamin (UTC)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determine undercollection.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12-months total customers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customer count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6-month actual revenue to calculate undercollected revenue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pickup count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Use 12-month actual revenue to calculate projected period revenue.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12-month total pickups</t>
        </r>
      </text>
    </comment>
  </commentList>
</comments>
</file>

<file path=xl/sharedStrings.xml><?xml version="1.0" encoding="utf-8"?>
<sst xmlns="http://schemas.openxmlformats.org/spreadsheetml/2006/main" count="313" uniqueCount="104">
  <si>
    <t xml:space="preserve"> </t>
  </si>
  <si>
    <t>MO/YR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</si>
  <si>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</si>
  <si>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</si>
  <si>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</si>
  <si>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</si>
  <si>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</si>
  <si>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</si>
  <si>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</si>
  <si>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</si>
  <si>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</si>
  <si>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</si>
  <si>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</si>
  <si>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</si>
  <si>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</si>
  <si>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</si>
  <si>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</si>
  <si>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</si>
  <si>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</si>
  <si>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</si>
  <si>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</si>
  <si>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</si>
  <si>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</si>
  <si>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</si>
  <si>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</si>
  <si>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</si>
  <si>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</si>
  <si>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</si>
  <si>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</si>
  <si>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</si>
  <si>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Tonnage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</si>
  <si>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</si>
  <si>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</si>
  <si>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</si>
  <si>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</si>
  <si>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</si>
  <si>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</si>
  <si>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</si>
  <si>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</si>
  <si>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</si>
  <si>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</si>
  <si>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</si>
  <si>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</si>
  <si>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</si>
  <si>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</si>
  <si>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</si>
  <si>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</si>
  <si>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</si>
  <si>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</si>
  <si>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</si>
  <si>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</si>
  <si>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</si>
  <si>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</si>
  <si>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</si>
  <si>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</si>
  <si>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</si>
  <si>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</si>
  <si>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</si>
  <si>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</si>
  <si>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</si>
  <si>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</si>
  <si>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</si>
  <si>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</si>
  <si>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</si>
  <si>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</si>
  <si>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</si>
  <si>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</si>
  <si>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</si>
  <si>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</si>
  <si>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February - March 2020 with adjustment factor</t>
  </si>
  <si>
    <t>April - July 2020 with adjustment factor</t>
  </si>
  <si>
    <t>Actual Commodity Revenue February 2020 - July 2020</t>
  </si>
  <si>
    <t>Projected Revenue October 2020 - September 2021</t>
  </si>
  <si>
    <t xml:space="preserve">Residential </t>
  </si>
  <si>
    <t>Tons per Service</t>
  </si>
  <si>
    <t>Tons/Customer</t>
  </si>
  <si>
    <t>Multi-Family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</si>
  <si>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</si>
  <si>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</si>
  <si>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</si>
  <si>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</si>
  <si>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</si>
  <si>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</si>
  <si>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</si>
  <si>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</si>
  <si>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</si>
  <si>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</si>
  <si>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 21</t>
  </si>
  <si>
    <t>Jul 21</t>
  </si>
  <si>
    <t>Month</t>
  </si>
  <si>
    <t>Customers/</t>
  </si>
  <si>
    <t>No. of Toters</t>
  </si>
  <si>
    <t>Pullman Disposal Services Customers and Pick-Ups</t>
  </si>
  <si>
    <t>Pullman Disposal Services Recycling Invoices</t>
  </si>
  <si>
    <t>Actual Commodity Revenue August 2020 -July 2021</t>
  </si>
  <si>
    <t>August - September 2020 with adjustment factor</t>
  </si>
  <si>
    <t>October 2020 - July 2021 with adjustment factor</t>
  </si>
  <si>
    <t>Projected Revenue October 2021 - September 2022</t>
  </si>
  <si>
    <t>Tons/Pickup</t>
  </si>
  <si>
    <t>$/Pickup</t>
  </si>
  <si>
    <t>Baseline $/Pickup</t>
  </si>
  <si>
    <t>Per Month</t>
  </si>
  <si>
    <t>Dollars per Service</t>
  </si>
  <si>
    <t>August 2020 -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</si>
</sst>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  <numFmt numFmtId="170" formatCode="_(* #,##0.000000_);_(* \(#,##0.000000\);_(* &quot;-&quot;??_);_(@_)"/>
    <numFmt numFmtId="171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3" fillId="0" borderId="0" applyNumberFormat="0" applyBorder="0" applyAlignment="0"/>
    <xf numFmtId="0" fontId="25" fillId="0" borderId="0"/>
    <xf numFmtId="0" fontId="25" fillId="0" borderId="0"/>
    <xf numFmtId="43" fontId="25" fillId="0" borderId="0" applyFont="0" applyFill="0" applyBorder="0" applyAlignment="0" applyProtection="0"/>
  </cellStyleXfs>
  <cellXfs count="163">
    <xf numFmtId="0" fontId="0" fillId="0" borderId="0" xfId="0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43" fontId="9" fillId="0" borderId="1" xfId="3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/>
    <xf numFmtId="3" fontId="9" fillId="0" borderId="0" xfId="0" applyNumberFormat="1" applyFont="1" applyAlignment="1">
      <alignment horizontal="right"/>
    </xf>
    <xf numFmtId="0" fontId="11" fillId="2" borderId="3" xfId="23" applyFont="1" applyFill="1" applyBorder="1"/>
    <xf numFmtId="0" fontId="11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 applyBorder="1"/>
    <xf numFmtId="0" fontId="12" fillId="2" borderId="0" xfId="23" applyFont="1" applyFill="1" applyBorder="1"/>
    <xf numFmtId="0" fontId="2" fillId="2" borderId="0" xfId="23" applyFill="1" applyBorder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 applyBorder="1"/>
    <xf numFmtId="0" fontId="2" fillId="2" borderId="6" xfId="23" applyFill="1" applyBorder="1"/>
    <xf numFmtId="0" fontId="8" fillId="2" borderId="0" xfId="23" applyFont="1" applyFill="1" applyBorder="1" applyAlignment="1">
      <alignment horizontal="center"/>
    </xf>
    <xf numFmtId="0" fontId="15" fillId="2" borderId="0" xfId="23" applyFont="1" applyFill="1" applyBorder="1" applyAlignment="1">
      <alignment horizontal="center"/>
    </xf>
    <xf numFmtId="0" fontId="16" fillId="2" borderId="8" xfId="23" applyFont="1" applyFill="1" applyBorder="1"/>
    <xf numFmtId="0" fontId="16" fillId="2" borderId="0" xfId="23" applyFont="1" applyFill="1" applyBorder="1"/>
    <xf numFmtId="0" fontId="2" fillId="2" borderId="0" xfId="23" applyFill="1" applyBorder="1" applyAlignment="1">
      <alignment horizontal="center"/>
    </xf>
    <xf numFmtId="41" fontId="2" fillId="2" borderId="0" xfId="23" applyNumberFormat="1" applyFill="1" applyBorder="1"/>
    <xf numFmtId="44" fontId="17" fillId="2" borderId="0" xfId="14" applyFont="1" applyFill="1" applyBorder="1"/>
    <xf numFmtId="0" fontId="2" fillId="2" borderId="6" xfId="23" applyFont="1" applyFill="1" applyBorder="1"/>
    <xf numFmtId="0" fontId="6" fillId="2" borderId="0" xfId="23" applyFont="1" applyFill="1" applyBorder="1"/>
    <xf numFmtId="44" fontId="2" fillId="2" borderId="7" xfId="14" applyFont="1" applyFill="1" applyBorder="1"/>
    <xf numFmtId="44" fontId="18" fillId="2" borderId="7" xfId="14" applyNumberFormat="1" applyFont="1" applyFill="1" applyBorder="1"/>
    <xf numFmtId="44" fontId="19" fillId="2" borderId="9" xfId="14" applyNumberFormat="1" applyFont="1" applyFill="1" applyBorder="1"/>
    <xf numFmtId="44" fontId="19" fillId="2" borderId="9" xfId="14" applyFont="1" applyFill="1" applyBorder="1"/>
    <xf numFmtId="44" fontId="2" fillId="2" borderId="0" xfId="23" applyNumberFormat="1" applyFill="1" applyBorder="1"/>
    <xf numFmtId="44" fontId="20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4" fontId="2" fillId="2" borderId="7" xfId="14" applyNumberFormat="1" applyFont="1" applyFill="1" applyBorder="1"/>
    <xf numFmtId="43" fontId="18" fillId="2" borderId="7" xfId="23" applyNumberFormat="1" applyFont="1" applyFill="1" applyBorder="1"/>
    <xf numFmtId="44" fontId="19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1" fillId="0" borderId="0" xfId="23" applyFont="1" applyFill="1" applyBorder="1" applyAlignment="1"/>
    <xf numFmtId="0" fontId="2" fillId="0" borderId="0" xfId="23" applyFill="1" applyBorder="1" applyAlignment="1"/>
    <xf numFmtId="0" fontId="8" fillId="0" borderId="0" xfId="23" applyFont="1" applyFill="1" applyBorder="1" applyAlignment="1"/>
    <xf numFmtId="0" fontId="12" fillId="0" borderId="0" xfId="23" applyFont="1" applyFill="1" applyBorder="1" applyAlignment="1"/>
    <xf numFmtId="15" fontId="8" fillId="0" borderId="0" xfId="23" applyNumberFormat="1" applyFont="1" applyFill="1" applyBorder="1" applyAlignment="1"/>
    <xf numFmtId="0" fontId="13" fillId="0" borderId="0" xfId="23" applyFont="1" applyFill="1" applyBorder="1" applyAlignment="1">
      <alignment horizontal="center"/>
    </xf>
    <xf numFmtId="0" fontId="14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center"/>
    </xf>
    <xf numFmtId="0" fontId="15" fillId="0" borderId="0" xfId="23" applyFont="1" applyFill="1" applyBorder="1" applyAlignment="1">
      <alignment horizontal="center"/>
    </xf>
    <xf numFmtId="0" fontId="16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17" fillId="0" borderId="0" xfId="14" applyFont="1" applyFill="1" applyBorder="1" applyAlignment="1"/>
    <xf numFmtId="0" fontId="2" fillId="0" borderId="0" xfId="23" applyFont="1" applyFill="1" applyBorder="1" applyAlignment="1"/>
    <xf numFmtId="0" fontId="6" fillId="0" borderId="0" xfId="23" applyFont="1" applyFill="1" applyBorder="1" applyAlignment="1"/>
    <xf numFmtId="41" fontId="18" fillId="0" borderId="0" xfId="23" applyNumberFormat="1" applyFont="1" applyFill="1" applyBorder="1" applyAlignme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8" fillId="0" borderId="0" xfId="14" applyFont="1" applyFill="1" applyBorder="1" applyAlignment="1"/>
    <xf numFmtId="44" fontId="19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8" fillId="0" borderId="0" xfId="23" applyNumberFormat="1" applyFont="1" applyFill="1" applyBorder="1" applyAlignment="1"/>
    <xf numFmtId="165" fontId="9" fillId="0" borderId="0" xfId="11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1" fontId="2" fillId="0" borderId="0" xfId="23" applyNumberFormat="1" applyFill="1" applyBorder="1"/>
    <xf numFmtId="41" fontId="18" fillId="0" borderId="0" xfId="23" applyNumberFormat="1" applyFont="1" applyFill="1" applyBorder="1"/>
    <xf numFmtId="166" fontId="2" fillId="3" borderId="0" xfId="14" applyNumberFormat="1" applyFont="1" applyFill="1" applyBorder="1"/>
    <xf numFmtId="0" fontId="16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3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4" fontId="9" fillId="0" borderId="0" xfId="3" applyNumberFormat="1" applyFont="1" applyFill="1" applyAlignment="1">
      <alignment horizontal="right"/>
    </xf>
    <xf numFmtId="44" fontId="17" fillId="4" borderId="0" xfId="14" applyFont="1" applyFill="1" applyBorder="1"/>
    <xf numFmtId="164" fontId="2" fillId="2" borderId="0" xfId="3" applyNumberFormat="1" applyFont="1" applyFill="1" applyBorder="1"/>
    <xf numFmtId="164" fontId="2" fillId="0" borderId="0" xfId="3" applyNumberFormat="1" applyFont="1" applyFill="1" applyAlignment="1">
      <alignment horizontal="center"/>
    </xf>
    <xf numFmtId="43" fontId="2" fillId="0" borderId="0" xfId="23" applyNumberFormat="1" applyFill="1" applyBorder="1"/>
    <xf numFmtId="0" fontId="16" fillId="4" borderId="8" xfId="23" applyFont="1" applyFill="1" applyBorder="1"/>
    <xf numFmtId="166" fontId="2" fillId="4" borderId="0" xfId="14" applyNumberFormat="1" applyFont="1" applyFill="1" applyBorder="1"/>
    <xf numFmtId="2" fontId="9" fillId="0" borderId="0" xfId="11" applyNumberFormat="1" applyFont="1" applyFill="1" applyBorder="1" applyAlignment="1">
      <alignment horizontal="right"/>
    </xf>
    <xf numFmtId="0" fontId="8" fillId="2" borderId="2" xfId="23" applyFont="1" applyFill="1" applyBorder="1" applyAlignment="1">
      <alignment horizontal="center" wrapText="1"/>
    </xf>
    <xf numFmtId="166" fontId="2" fillId="0" borderId="0" xfId="14" applyNumberFormat="1" applyFont="1" applyFill="1" applyBorder="1"/>
    <xf numFmtId="0" fontId="9" fillId="0" borderId="1" xfId="0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/>
    <xf numFmtId="3" fontId="2" fillId="2" borderId="0" xfId="23" applyNumberFormat="1" applyFill="1" applyBorder="1"/>
    <xf numFmtId="43" fontId="9" fillId="0" borderId="2" xfId="3" applyFont="1" applyFill="1" applyBorder="1" applyAlignment="1">
      <alignment horizontal="right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167" fontId="30" fillId="0" borderId="0" xfId="29" applyNumberFormat="1" applyFont="1" applyFill="1" applyAlignment="1">
      <alignment horizontal="center"/>
    </xf>
    <xf numFmtId="168" fontId="30" fillId="0" borderId="0" xfId="29" applyNumberFormat="1" applyFont="1" applyFill="1" applyAlignment="1">
      <alignment horizontal="center"/>
    </xf>
    <xf numFmtId="0" fontId="29" fillId="0" borderId="0" xfId="29" applyFont="1" applyFill="1" applyAlignment="1">
      <alignment horizontal="center"/>
    </xf>
    <xf numFmtId="0" fontId="28" fillId="0" borderId="0" xfId="29" applyFont="1" applyFill="1"/>
    <xf numFmtId="0" fontId="29" fillId="0" borderId="0" xfId="29" applyFont="1" applyFill="1"/>
    <xf numFmtId="43" fontId="28" fillId="0" borderId="0" xfId="31" applyFont="1" applyFill="1"/>
    <xf numFmtId="3" fontId="28" fillId="0" borderId="0" xfId="29" applyNumberFormat="1" applyFont="1" applyFill="1"/>
    <xf numFmtId="169" fontId="28" fillId="0" borderId="0" xfId="31" applyNumberFormat="1" applyFont="1" applyFill="1"/>
    <xf numFmtId="170" fontId="28" fillId="0" borderId="0" xfId="29" applyNumberFormat="1" applyFont="1" applyFill="1"/>
    <xf numFmtId="164" fontId="28" fillId="0" borderId="0" xfId="31" applyNumberFormat="1" applyFont="1" applyFill="1"/>
    <xf numFmtId="164" fontId="28" fillId="0" borderId="0" xfId="29" applyNumberFormat="1" applyFont="1" applyFill="1"/>
    <xf numFmtId="164" fontId="28" fillId="0" borderId="0" xfId="0" applyNumberFormat="1" applyFont="1" applyFill="1"/>
    <xf numFmtId="43" fontId="28" fillId="0" borderId="0" xfId="31" applyNumberFormat="1" applyFont="1" applyFill="1"/>
    <xf numFmtId="43" fontId="28" fillId="0" borderId="0" xfId="3" applyFont="1" applyFill="1"/>
    <xf numFmtId="43" fontId="28" fillId="0" borderId="0" xfId="29" applyNumberFormat="1" applyFont="1" applyFill="1"/>
    <xf numFmtId="43" fontId="28" fillId="0" borderId="0" xfId="0" applyNumberFormat="1" applyFont="1" applyFill="1"/>
    <xf numFmtId="164" fontId="28" fillId="0" borderId="0" xfId="4" applyNumberFormat="1" applyFont="1" applyFill="1"/>
    <xf numFmtId="0" fontId="28" fillId="0" borderId="0" xfId="30" applyFont="1" applyFill="1"/>
    <xf numFmtId="3" fontId="29" fillId="0" borderId="0" xfId="29" applyNumberFormat="1" applyFont="1" applyFill="1"/>
    <xf numFmtId="169" fontId="28" fillId="0" borderId="0" xfId="29" applyNumberFormat="1" applyFont="1" applyFill="1"/>
    <xf numFmtId="171" fontId="29" fillId="0" borderId="0" xfId="29" applyNumberFormat="1" applyFont="1" applyFill="1"/>
    <xf numFmtId="43" fontId="29" fillId="0" borderId="0" xfId="29" applyNumberFormat="1" applyFont="1" applyFill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/>
    <xf numFmtId="0" fontId="28" fillId="0" borderId="0" xfId="0" applyFont="1" applyFill="1" applyAlignme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0" xfId="0" quotePrefix="1" applyFont="1" applyAlignment="1">
      <alignment horizontal="center"/>
    </xf>
    <xf numFmtId="0" fontId="9" fillId="0" borderId="0" xfId="0" quotePrefix="1" applyFont="1" applyFill="1" applyAlignment="1">
      <alignment horizontal="center"/>
    </xf>
    <xf numFmtId="4" fontId="28" fillId="0" borderId="0" xfId="0" applyNumberFormat="1" applyFont="1"/>
    <xf numFmtId="16" fontId="9" fillId="0" borderId="0" xfId="0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8" fillId="0" borderId="0" xfId="0" applyFont="1" applyFill="1" applyBorder="1"/>
    <xf numFmtId="3" fontId="28" fillId="0" borderId="0" xfId="0" applyNumberFormat="1" applyFont="1" applyFill="1" applyBorder="1"/>
    <xf numFmtId="3" fontId="9" fillId="0" borderId="0" xfId="0" applyNumberFormat="1" applyFont="1" applyFill="1" applyAlignment="1"/>
    <xf numFmtId="3" fontId="9" fillId="0" borderId="2" xfId="0" applyNumberFormat="1" applyFont="1" applyFill="1" applyBorder="1" applyAlignment="1"/>
    <xf numFmtId="3" fontId="9" fillId="0" borderId="0" xfId="0" applyNumberFormat="1" applyFont="1" applyAlignment="1"/>
    <xf numFmtId="0" fontId="9" fillId="0" borderId="0" xfId="0" applyFont="1" applyFill="1" applyAlignment="1"/>
    <xf numFmtId="165" fontId="28" fillId="0" borderId="0" xfId="0" applyNumberFormat="1" applyFont="1" applyFill="1"/>
    <xf numFmtId="2" fontId="28" fillId="0" borderId="0" xfId="0" applyNumberFormat="1" applyFont="1" applyFill="1"/>
    <xf numFmtId="39" fontId="28" fillId="0" borderId="0" xfId="0" applyNumberFormat="1" applyFont="1" applyFill="1"/>
    <xf numFmtId="0" fontId="13" fillId="2" borderId="6" xfId="23" applyFont="1" applyFill="1" applyBorder="1" applyAlignment="1">
      <alignment horizontal="center"/>
    </xf>
    <xf numFmtId="0" fontId="13" fillId="2" borderId="0" xfId="23" applyFont="1" applyFill="1" applyBorder="1" applyAlignment="1">
      <alignment horizontal="center"/>
    </xf>
    <xf numFmtId="0" fontId="13" fillId="2" borderId="7" xfId="23" applyFont="1" applyFill="1" applyBorder="1" applyAlignment="1">
      <alignment horizontal="center"/>
    </xf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Border="1" applyAlignment="1">
      <alignment horizontal="center"/>
    </xf>
    <xf numFmtId="0" fontId="14" fillId="2" borderId="7" xfId="23" applyFont="1" applyFill="1" applyBorder="1" applyAlignment="1">
      <alignment horizontal="center"/>
    </xf>
    <xf numFmtId="43" fontId="3" fillId="0" borderId="0" xfId="3" applyFont="1" applyFill="1" applyAlignment="1">
      <alignment horizontal="center"/>
    </xf>
    <xf numFmtId="43" fontId="4" fillId="0" borderId="0" xfId="3" applyFont="1" applyFill="1" applyAlignment="1">
      <alignment horizontal="center"/>
    </xf>
    <xf numFmtId="43" fontId="5" fillId="0" borderId="0" xfId="8" applyFont="1" applyFill="1" applyAlignment="1">
      <alignment horizontal="center"/>
      <protection locked="0"/>
    </xf>
    <xf numFmtId="0" fontId="28" fillId="0" borderId="0" xfId="0" applyFont="1" applyFill="1" applyAlignment="1">
      <alignment horizontal="center"/>
    </xf>
    <xf numFmtId="43" fontId="3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9" fillId="0" borderId="0" xfId="0" applyFont="1" applyFill="1" applyAlignment="1">
      <alignment horizontal="center"/>
    </xf>
    <xf numFmtId="0" fontId="28" fillId="0" borderId="11" xfId="0" applyFont="1" applyFill="1" applyBorder="1"/>
    <xf numFmtId="165" fontId="28" fillId="0" borderId="11" xfId="0" applyNumberFormat="1" applyFont="1" applyFill="1" applyBorder="1"/>
    <xf numFmtId="3" fontId="9" fillId="0" borderId="11" xfId="3" applyNumberFormat="1" applyFont="1" applyFill="1" applyBorder="1" applyAlignment="1">
      <alignment horizontal="right"/>
    </xf>
    <xf numFmtId="2" fontId="9" fillId="0" borderId="11" xfId="3" applyNumberFormat="1" applyFont="1" applyFill="1" applyBorder="1" applyAlignment="1">
      <alignment horizontal="right"/>
    </xf>
    <xf numFmtId="165" fontId="9" fillId="0" borderId="11" xfId="11" applyNumberFormat="1" applyFont="1" applyFill="1" applyBorder="1" applyAlignment="1">
      <alignment horizontal="right"/>
    </xf>
  </cellXfs>
  <cellStyles count="32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 9 3" xfId="31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13 3" xfId="29"/>
    <cellStyle name="Normal 2" xfId="21"/>
    <cellStyle name="Normal 2 2" xfId="22"/>
    <cellStyle name="Normal 2 3" xfId="23"/>
    <cellStyle name="Normal 3" xfId="24"/>
    <cellStyle name="Normal 4" xfId="30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zoomScale="85" zoomScaleNormal="85" workbookViewId="0"/>
  </sheetViews>
  <sheetFormatPr defaultColWidth="8.88671875" defaultRowHeight="13.2" x14ac:dyDescent="0.25"/>
  <cols>
    <col min="1" max="1" width="40.33203125" style="14" customWidth="1"/>
    <col min="2" max="2" width="6.33203125" style="14" customWidth="1"/>
    <col min="3" max="3" width="12.44140625" style="14" customWidth="1"/>
    <col min="4" max="4" width="14.88671875" style="14" bestFit="1" customWidth="1"/>
    <col min="5" max="5" width="11.109375" style="14" bestFit="1" customWidth="1"/>
    <col min="6" max="6" width="14.44140625" style="14" customWidth="1"/>
    <col min="7" max="7" width="40.33203125" style="14" customWidth="1"/>
    <col min="8" max="8" width="6.33203125" style="14" customWidth="1"/>
    <col min="9" max="9" width="12.44140625" style="14" customWidth="1"/>
    <col min="10" max="10" width="14.88671875" style="14" bestFit="1" customWidth="1"/>
    <col min="11" max="11" width="11.109375" style="14" bestFit="1" customWidth="1"/>
    <col min="12" max="12" width="14.44140625" style="14" customWidth="1"/>
    <col min="13" max="13" width="40.33203125" style="14" customWidth="1"/>
    <col min="14" max="14" width="6.33203125" style="14" customWidth="1"/>
    <col min="15" max="15" width="12.44140625" style="14" customWidth="1"/>
    <col min="16" max="16" width="14.88671875" style="14" bestFit="1" customWidth="1"/>
    <col min="17" max="17" width="11.109375" style="14" bestFit="1" customWidth="1"/>
    <col min="18" max="18" width="14.44140625" style="14" customWidth="1"/>
    <col min="19" max="19" width="40.33203125" style="14" customWidth="1"/>
    <col min="20" max="20" width="6.33203125" style="14" customWidth="1"/>
    <col min="21" max="21" width="12.44140625" style="14" customWidth="1"/>
    <col min="22" max="22" width="14.88671875" style="14" bestFit="1" customWidth="1"/>
    <col min="23" max="23" width="12.6640625" style="14" customWidth="1"/>
    <col min="24" max="24" width="10.5546875" style="14" bestFit="1" customWidth="1"/>
    <col min="25" max="25" width="40.33203125" style="14" customWidth="1"/>
    <col min="26" max="26" width="6.33203125" style="14" customWidth="1"/>
    <col min="27" max="27" width="12.44140625" style="14" customWidth="1"/>
    <col min="28" max="28" width="14.88671875" style="14" bestFit="1" customWidth="1"/>
    <col min="29" max="29" width="12.6640625" style="14" customWidth="1"/>
    <col min="30" max="30" width="12.6640625" style="14" bestFit="1" customWidth="1"/>
    <col min="31" max="31" width="40.33203125" style="14" customWidth="1"/>
    <col min="32" max="32" width="6.33203125" style="14" customWidth="1"/>
    <col min="33" max="33" width="12.44140625" style="14" customWidth="1"/>
    <col min="34" max="34" width="14.88671875" style="14" bestFit="1" customWidth="1"/>
    <col min="35" max="35" width="12.6640625" style="14" customWidth="1"/>
    <col min="36" max="36" width="10.5546875" style="14" bestFit="1" customWidth="1"/>
    <col min="37" max="37" width="11" style="46" customWidth="1"/>
    <col min="38" max="38" width="41.5546875" style="46" customWidth="1"/>
    <col min="39" max="39" width="10.44140625" style="46" bestFit="1" customWidth="1"/>
    <col min="40" max="40" width="13.44140625" style="46" customWidth="1"/>
    <col min="41" max="41" width="11" style="46" customWidth="1"/>
    <col min="42" max="42" width="11.88671875" style="46" customWidth="1"/>
    <col min="43" max="43" width="35.88671875" style="46" customWidth="1"/>
    <col min="44" max="44" width="8.88671875" style="46"/>
    <col min="45" max="45" width="24.109375" style="46" customWidth="1"/>
    <col min="46" max="46" width="11" style="46" bestFit="1" customWidth="1"/>
    <col min="47" max="47" width="10.5546875" style="46" bestFit="1" customWidth="1"/>
    <col min="48" max="48" width="10.44140625" style="46" customWidth="1"/>
    <col min="49" max="16384" width="8.88671875" style="14"/>
  </cols>
  <sheetData>
    <row r="1" spans="1:48" ht="19.5" customHeight="1" x14ac:dyDescent="0.45">
      <c r="A1" s="10" t="s">
        <v>20</v>
      </c>
      <c r="B1" s="11"/>
      <c r="C1" s="12"/>
      <c r="D1" s="12"/>
      <c r="E1" s="12"/>
      <c r="F1" s="13"/>
      <c r="G1" s="10" t="s">
        <v>20</v>
      </c>
      <c r="H1" s="11"/>
      <c r="I1" s="12"/>
      <c r="J1" s="12"/>
      <c r="K1" s="12"/>
      <c r="L1" s="13"/>
      <c r="M1" s="10" t="s">
        <v>20</v>
      </c>
      <c r="N1" s="11"/>
      <c r="O1" s="12"/>
      <c r="P1" s="12"/>
      <c r="Q1" s="12"/>
      <c r="R1" s="13"/>
      <c r="S1" s="10" t="s">
        <v>20</v>
      </c>
      <c r="T1" s="11"/>
      <c r="U1" s="12"/>
      <c r="V1" s="12"/>
      <c r="W1" s="12"/>
      <c r="X1" s="13"/>
      <c r="Y1" s="10" t="s">
        <v>20</v>
      </c>
      <c r="Z1" s="11"/>
      <c r="AA1" s="12"/>
      <c r="AB1" s="12"/>
      <c r="AC1" s="12"/>
      <c r="AD1" s="13"/>
      <c r="AE1" s="10" t="s">
        <v>20</v>
      </c>
      <c r="AF1" s="11"/>
      <c r="AG1" s="12"/>
      <c r="AH1" s="12"/>
      <c r="AI1" s="12"/>
      <c r="AJ1" s="13"/>
      <c r="AK1" s="45"/>
      <c r="AL1" s="45"/>
      <c r="AQ1" s="45"/>
      <c r="AR1" s="45"/>
    </row>
    <row r="2" spans="1:48" ht="16.2" x14ac:dyDescent="0.4">
      <c r="A2" s="15"/>
      <c r="B2" s="16"/>
      <c r="C2" s="17"/>
      <c r="D2" s="18"/>
      <c r="E2" s="18"/>
      <c r="F2" s="19"/>
      <c r="G2" s="15"/>
      <c r="H2" s="16"/>
      <c r="I2" s="17"/>
      <c r="J2" s="18"/>
      <c r="K2" s="18"/>
      <c r="L2" s="19"/>
      <c r="M2" s="15"/>
      <c r="N2" s="16"/>
      <c r="O2" s="17"/>
      <c r="P2" s="18"/>
      <c r="Q2" s="18"/>
      <c r="R2" s="19"/>
      <c r="S2" s="15"/>
      <c r="T2" s="16"/>
      <c r="U2" s="17"/>
      <c r="V2" s="18"/>
      <c r="W2" s="18"/>
      <c r="X2" s="19"/>
      <c r="Y2" s="15"/>
      <c r="Z2" s="16"/>
      <c r="AA2" s="17"/>
      <c r="AB2" s="18"/>
      <c r="AC2" s="18"/>
      <c r="AD2" s="19"/>
      <c r="AE2" s="15"/>
      <c r="AF2" s="16"/>
      <c r="AG2" s="17"/>
      <c r="AH2" s="18"/>
      <c r="AI2" s="18"/>
      <c r="AJ2" s="19"/>
      <c r="AK2" s="47"/>
      <c r="AL2" s="47"/>
      <c r="AM2" s="48"/>
      <c r="AQ2" s="47"/>
      <c r="AR2" s="47"/>
      <c r="AS2" s="48"/>
    </row>
    <row r="3" spans="1:48" x14ac:dyDescent="0.25">
      <c r="A3" s="20"/>
      <c r="B3" s="21"/>
      <c r="C3" s="18"/>
      <c r="D3" s="18"/>
      <c r="E3" s="18"/>
      <c r="F3" s="19"/>
      <c r="G3" s="20"/>
      <c r="H3" s="21"/>
      <c r="I3" s="18"/>
      <c r="J3" s="18"/>
      <c r="K3" s="18"/>
      <c r="L3" s="19"/>
      <c r="M3" s="20"/>
      <c r="N3" s="21"/>
      <c r="O3" s="18"/>
      <c r="P3" s="18"/>
      <c r="Q3" s="18"/>
      <c r="R3" s="19"/>
      <c r="S3" s="20"/>
      <c r="T3" s="21"/>
      <c r="U3" s="18"/>
      <c r="V3" s="18"/>
      <c r="W3" s="18"/>
      <c r="X3" s="19"/>
      <c r="Y3" s="20"/>
      <c r="Z3" s="21"/>
      <c r="AA3" s="18"/>
      <c r="AB3" s="18"/>
      <c r="AC3" s="18"/>
      <c r="AD3" s="19"/>
      <c r="AE3" s="20"/>
      <c r="AF3" s="21"/>
      <c r="AG3" s="18"/>
      <c r="AH3" s="18"/>
      <c r="AI3" s="18"/>
      <c r="AJ3" s="19"/>
      <c r="AK3" s="49"/>
      <c r="AL3" s="49"/>
      <c r="AQ3" s="49"/>
      <c r="AR3" s="49"/>
    </row>
    <row r="4" spans="1:48" ht="21" x14ac:dyDescent="0.4">
      <c r="A4" s="145">
        <v>2021</v>
      </c>
      <c r="B4" s="146"/>
      <c r="C4" s="146"/>
      <c r="D4" s="146"/>
      <c r="E4" s="146"/>
      <c r="F4" s="147"/>
      <c r="G4" s="145">
        <v>2020</v>
      </c>
      <c r="H4" s="146"/>
      <c r="I4" s="146"/>
      <c r="J4" s="146"/>
      <c r="K4" s="146"/>
      <c r="L4" s="147"/>
      <c r="M4" s="145">
        <v>2020</v>
      </c>
      <c r="N4" s="146"/>
      <c r="O4" s="146"/>
      <c r="P4" s="146"/>
      <c r="Q4" s="146"/>
      <c r="R4" s="147"/>
      <c r="S4" s="145">
        <v>2019</v>
      </c>
      <c r="T4" s="146"/>
      <c r="U4" s="146"/>
      <c r="V4" s="146"/>
      <c r="W4" s="146"/>
      <c r="X4" s="147"/>
      <c r="Y4" s="145">
        <v>2019</v>
      </c>
      <c r="Z4" s="146"/>
      <c r="AA4" s="146"/>
      <c r="AB4" s="146"/>
      <c r="AC4" s="146"/>
      <c r="AD4" s="147"/>
      <c r="AE4" s="145" t="s">
        <v>19</v>
      </c>
      <c r="AF4" s="146"/>
      <c r="AG4" s="146"/>
      <c r="AH4" s="146"/>
      <c r="AI4" s="146"/>
      <c r="AJ4" s="147"/>
      <c r="AL4" s="50"/>
      <c r="AM4" s="50"/>
      <c r="AN4" s="50"/>
      <c r="AO4" s="50"/>
      <c r="AR4" s="50"/>
      <c r="AS4" s="50"/>
      <c r="AT4" s="50"/>
      <c r="AU4" s="50"/>
    </row>
    <row r="5" spans="1:48" x14ac:dyDescent="0.25">
      <c r="A5" s="22"/>
      <c r="B5" s="18"/>
      <c r="C5" s="18"/>
      <c r="D5" s="18"/>
      <c r="E5" s="18"/>
      <c r="F5" s="19"/>
      <c r="G5" s="22"/>
      <c r="H5" s="18"/>
      <c r="I5" s="18"/>
      <c r="J5" s="18"/>
      <c r="K5" s="18"/>
      <c r="L5" s="19"/>
      <c r="M5" s="22"/>
      <c r="N5" s="18"/>
      <c r="O5" s="18"/>
      <c r="P5" s="18"/>
      <c r="Q5" s="18"/>
      <c r="R5" s="19"/>
      <c r="S5" s="22"/>
      <c r="T5" s="18"/>
      <c r="U5" s="18"/>
      <c r="V5" s="18"/>
      <c r="W5" s="18"/>
      <c r="X5" s="19"/>
      <c r="Y5" s="22"/>
      <c r="Z5" s="18"/>
      <c r="AA5" s="18"/>
      <c r="AB5" s="18"/>
      <c r="AC5" s="18"/>
      <c r="AD5" s="19"/>
      <c r="AE5" s="22"/>
      <c r="AF5" s="18"/>
      <c r="AG5" s="18"/>
      <c r="AH5" s="18"/>
      <c r="AI5" s="18"/>
      <c r="AJ5" s="19"/>
    </row>
    <row r="6" spans="1:48" ht="19.8" x14ac:dyDescent="0.5">
      <c r="A6" s="148" t="s">
        <v>73</v>
      </c>
      <c r="B6" s="149"/>
      <c r="C6" s="149"/>
      <c r="D6" s="149"/>
      <c r="E6" s="149"/>
      <c r="F6" s="150"/>
      <c r="G6" s="148" t="s">
        <v>73</v>
      </c>
      <c r="H6" s="149"/>
      <c r="I6" s="149"/>
      <c r="J6" s="149"/>
      <c r="K6" s="149"/>
      <c r="L6" s="150"/>
      <c r="M6" s="148" t="s">
        <v>25</v>
      </c>
      <c r="N6" s="149"/>
      <c r="O6" s="149"/>
      <c r="P6" s="149"/>
      <c r="Q6" s="149"/>
      <c r="R6" s="150"/>
      <c r="S6" s="148" t="s">
        <v>25</v>
      </c>
      <c r="T6" s="149"/>
      <c r="U6" s="149"/>
      <c r="V6" s="149"/>
      <c r="W6" s="149"/>
      <c r="X6" s="150"/>
      <c r="Y6" s="148" t="s">
        <v>25</v>
      </c>
      <c r="Z6" s="149"/>
      <c r="AA6" s="149"/>
      <c r="AB6" s="149"/>
      <c r="AC6" s="149"/>
      <c r="AD6" s="150"/>
      <c r="AE6" s="148" t="s">
        <v>25</v>
      </c>
      <c r="AF6" s="149"/>
      <c r="AG6" s="149"/>
      <c r="AH6" s="149"/>
      <c r="AI6" s="149"/>
      <c r="AJ6" s="150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x14ac:dyDescent="0.25">
      <c r="A7" s="22"/>
      <c r="B7" s="18"/>
      <c r="C7" s="18"/>
      <c r="D7" s="18"/>
      <c r="E7" s="18"/>
      <c r="F7" s="19"/>
      <c r="G7" s="22"/>
      <c r="H7" s="18"/>
      <c r="I7" s="18"/>
      <c r="J7" s="18"/>
      <c r="K7" s="18"/>
      <c r="L7" s="19"/>
      <c r="M7" s="22"/>
      <c r="N7" s="18"/>
      <c r="O7" s="18"/>
      <c r="P7" s="18"/>
      <c r="Q7" s="18"/>
      <c r="R7" s="19"/>
      <c r="S7" s="22"/>
      <c r="T7" s="18"/>
      <c r="U7" s="18"/>
      <c r="V7" s="18"/>
      <c r="W7" s="18"/>
      <c r="X7" s="19"/>
      <c r="Y7" s="22"/>
      <c r="Z7" s="18"/>
      <c r="AA7" s="18"/>
      <c r="AB7" s="18"/>
      <c r="AC7" s="18"/>
      <c r="AD7" s="19"/>
      <c r="AE7" s="22"/>
      <c r="AF7" s="18"/>
      <c r="AG7" s="18"/>
      <c r="AH7" s="18"/>
      <c r="AI7" s="18"/>
      <c r="AJ7" s="19"/>
    </row>
    <row r="8" spans="1:48" x14ac:dyDescent="0.25">
      <c r="A8" s="22"/>
      <c r="B8" s="18"/>
      <c r="C8" s="23"/>
      <c r="D8" s="23" t="s">
        <v>9</v>
      </c>
      <c r="E8" s="23" t="s">
        <v>10</v>
      </c>
      <c r="F8" s="19"/>
      <c r="G8" s="22"/>
      <c r="H8" s="18"/>
      <c r="I8" s="23"/>
      <c r="J8" s="23" t="s">
        <v>9</v>
      </c>
      <c r="K8" s="23" t="s">
        <v>10</v>
      </c>
      <c r="L8" s="19"/>
      <c r="M8" s="22"/>
      <c r="N8" s="18"/>
      <c r="O8" s="23"/>
      <c r="P8" s="23" t="s">
        <v>9</v>
      </c>
      <c r="Q8" s="23" t="s">
        <v>10</v>
      </c>
      <c r="R8" s="19"/>
      <c r="S8" s="22"/>
      <c r="T8" s="18"/>
      <c r="U8" s="23"/>
      <c r="V8" s="23" t="s">
        <v>9</v>
      </c>
      <c r="W8" s="23" t="s">
        <v>10</v>
      </c>
      <c r="X8" s="19"/>
      <c r="Y8" s="22"/>
      <c r="Z8" s="18"/>
      <c r="AA8" s="23"/>
      <c r="AB8" s="23" t="s">
        <v>9</v>
      </c>
      <c r="AC8" s="23" t="s">
        <v>10</v>
      </c>
      <c r="AD8" s="19"/>
      <c r="AE8" s="22"/>
      <c r="AF8" s="18"/>
      <c r="AG8" s="23"/>
      <c r="AH8" s="23" t="s">
        <v>9</v>
      </c>
      <c r="AI8" s="23" t="s">
        <v>10</v>
      </c>
      <c r="AJ8" s="19"/>
      <c r="AM8" s="52"/>
      <c r="AN8" s="52"/>
      <c r="AO8" s="52"/>
      <c r="AS8" s="52"/>
      <c r="AT8" s="52"/>
      <c r="AU8" s="52"/>
    </row>
    <row r="9" spans="1:48" x14ac:dyDescent="0.25">
      <c r="A9" s="22"/>
      <c r="B9" s="18"/>
      <c r="C9" s="24" t="s">
        <v>6</v>
      </c>
      <c r="D9" s="24" t="s">
        <v>11</v>
      </c>
      <c r="E9" s="24" t="s">
        <v>12</v>
      </c>
      <c r="F9" s="19"/>
      <c r="G9" s="22"/>
      <c r="H9" s="18"/>
      <c r="I9" s="24" t="s">
        <v>6</v>
      </c>
      <c r="J9" s="24" t="s">
        <v>11</v>
      </c>
      <c r="K9" s="24" t="s">
        <v>12</v>
      </c>
      <c r="L9" s="19"/>
      <c r="M9" s="22"/>
      <c r="N9" s="18"/>
      <c r="O9" s="24" t="s">
        <v>6</v>
      </c>
      <c r="P9" s="24" t="s">
        <v>11</v>
      </c>
      <c r="Q9" s="24" t="s">
        <v>12</v>
      </c>
      <c r="R9" s="19"/>
      <c r="S9" s="22"/>
      <c r="T9" s="18"/>
      <c r="U9" s="24" t="s">
        <v>6</v>
      </c>
      <c r="V9" s="24" t="s">
        <v>11</v>
      </c>
      <c r="W9" s="24" t="s">
        <v>12</v>
      </c>
      <c r="X9" s="19"/>
      <c r="Y9" s="22"/>
      <c r="Z9" s="18"/>
      <c r="AA9" s="24" t="s">
        <v>6</v>
      </c>
      <c r="AB9" s="24" t="s">
        <v>11</v>
      </c>
      <c r="AC9" s="24" t="s">
        <v>12</v>
      </c>
      <c r="AD9" s="19"/>
      <c r="AE9" s="22"/>
      <c r="AF9" s="18"/>
      <c r="AG9" s="24" t="s">
        <v>6</v>
      </c>
      <c r="AH9" s="24" t="s">
        <v>11</v>
      </c>
      <c r="AI9" s="24" t="s">
        <v>12</v>
      </c>
      <c r="AJ9" s="19"/>
      <c r="AM9" s="53"/>
      <c r="AN9" s="53"/>
      <c r="AO9" s="53"/>
      <c r="AS9" s="53"/>
      <c r="AT9" s="53"/>
      <c r="AU9" s="53"/>
    </row>
    <row r="10" spans="1:48" ht="16.8" x14ac:dyDescent="0.45">
      <c r="A10" s="25" t="s">
        <v>54</v>
      </c>
      <c r="B10" s="26"/>
      <c r="C10" s="27"/>
      <c r="D10" s="27"/>
      <c r="E10" s="27"/>
      <c r="F10" s="19"/>
      <c r="G10" s="25" t="s">
        <v>54</v>
      </c>
      <c r="H10" s="26"/>
      <c r="I10" s="27"/>
      <c r="J10" s="27"/>
      <c r="K10" s="27"/>
      <c r="L10" s="19"/>
      <c r="M10" s="25" t="s">
        <v>54</v>
      </c>
      <c r="N10" s="26"/>
      <c r="O10" s="27"/>
      <c r="P10" s="27"/>
      <c r="Q10" s="27"/>
      <c r="R10" s="19"/>
      <c r="S10" s="25" t="s">
        <v>22</v>
      </c>
      <c r="T10" s="26"/>
      <c r="U10" s="27"/>
      <c r="V10" s="27"/>
      <c r="W10" s="27"/>
      <c r="X10" s="19"/>
      <c r="Y10" s="25" t="s">
        <v>22</v>
      </c>
      <c r="Z10" s="26"/>
      <c r="AA10" s="27"/>
      <c r="AB10" s="27"/>
      <c r="AC10" s="27"/>
      <c r="AD10" s="19"/>
      <c r="AE10" s="25" t="s">
        <v>22</v>
      </c>
      <c r="AF10" s="26"/>
      <c r="AG10" s="27"/>
      <c r="AH10" s="27"/>
      <c r="AI10" s="27"/>
      <c r="AJ10" s="19"/>
      <c r="AK10" s="54"/>
      <c r="AL10" s="54"/>
      <c r="AM10" s="55"/>
      <c r="AN10" s="55"/>
      <c r="AO10" s="55"/>
      <c r="AQ10" s="54"/>
      <c r="AR10" s="54"/>
      <c r="AS10" s="55"/>
      <c r="AT10" s="55"/>
      <c r="AU10" s="55"/>
    </row>
    <row r="11" spans="1:48" x14ac:dyDescent="0.25">
      <c r="A11" s="22" t="s">
        <v>95</v>
      </c>
      <c r="B11" s="18"/>
      <c r="C11" s="73">
        <f>SUM('Calcs revised method'!D10:E10)</f>
        <v>10752</v>
      </c>
      <c r="D11" s="29">
        <f>+J12</f>
        <v>-1.9008299293263309</v>
      </c>
      <c r="E11" s="28">
        <f>C11*D11</f>
        <v>-20437.723400116709</v>
      </c>
      <c r="F11" s="19"/>
      <c r="G11" s="22" t="s">
        <v>69</v>
      </c>
      <c r="H11" s="18"/>
      <c r="I11" s="73">
        <v>10594</v>
      </c>
      <c r="J11" s="82">
        <f>+P12</f>
        <v>-1.68</v>
      </c>
      <c r="K11" s="28">
        <f>I11*J11</f>
        <v>-17797.919999999998</v>
      </c>
      <c r="L11" s="19"/>
      <c r="M11" s="22" t="s">
        <v>55</v>
      </c>
      <c r="N11" s="18"/>
      <c r="O11" s="73">
        <v>10282</v>
      </c>
      <c r="P11" s="82">
        <v>-1.47</v>
      </c>
      <c r="Q11" s="28">
        <f>O11*P11</f>
        <v>-15114.539999999999</v>
      </c>
      <c r="R11" s="19"/>
      <c r="S11" s="22" t="s">
        <v>48</v>
      </c>
      <c r="T11" s="18"/>
      <c r="U11" s="73">
        <v>15485</v>
      </c>
      <c r="V11" s="82">
        <f>ROUND(AJ27,2)</f>
        <v>-1.59</v>
      </c>
      <c r="W11" s="28">
        <f>U11*V11</f>
        <v>-24621.15</v>
      </c>
      <c r="X11" s="19"/>
      <c r="Y11" s="22" t="s">
        <v>42</v>
      </c>
      <c r="Z11" s="18"/>
      <c r="AA11" s="73">
        <v>23216</v>
      </c>
      <c r="AB11" s="82">
        <f>+AJ27</f>
        <v>-1.59</v>
      </c>
      <c r="AC11" s="28">
        <f>AA11*AB11</f>
        <v>-36913.440000000002</v>
      </c>
      <c r="AD11" s="19"/>
      <c r="AE11" s="22" t="s">
        <v>43</v>
      </c>
      <c r="AF11" s="18"/>
      <c r="AG11" s="73">
        <v>0</v>
      </c>
      <c r="AH11" s="29">
        <v>0</v>
      </c>
      <c r="AI11" s="28">
        <f>AG11*AH11</f>
        <v>0</v>
      </c>
      <c r="AJ11" s="19"/>
      <c r="AM11" s="56"/>
      <c r="AN11" s="57"/>
      <c r="AO11" s="56"/>
      <c r="AS11" s="56"/>
      <c r="AT11" s="57"/>
      <c r="AU11" s="56"/>
    </row>
    <row r="12" spans="1:48" ht="15" x14ac:dyDescent="0.4">
      <c r="A12" s="30" t="s">
        <v>96</v>
      </c>
      <c r="B12" s="31"/>
      <c r="C12" s="74">
        <f>SUM('Calcs revised method'!F10:O10)</f>
        <v>52814</v>
      </c>
      <c r="D12" s="29">
        <f>+L25</f>
        <v>-1.82</v>
      </c>
      <c r="E12" s="28">
        <f>C12*D12</f>
        <v>-96121.48000000001</v>
      </c>
      <c r="F12" s="19"/>
      <c r="G12" s="30" t="s">
        <v>70</v>
      </c>
      <c r="H12" s="31"/>
      <c r="I12" s="74">
        <v>20656</v>
      </c>
      <c r="J12" s="29">
        <f>+R25</f>
        <v>-1.9008299293263309</v>
      </c>
      <c r="K12" s="28">
        <f>I12*J12</f>
        <v>-39263.543020164689</v>
      </c>
      <c r="L12" s="19"/>
      <c r="M12" s="30" t="s">
        <v>56</v>
      </c>
      <c r="N12" s="31"/>
      <c r="O12" s="74">
        <v>20564</v>
      </c>
      <c r="P12" s="29">
        <v>-1.68</v>
      </c>
      <c r="Q12" s="28">
        <f>O12*P12</f>
        <v>-34547.519999999997</v>
      </c>
      <c r="R12" s="19"/>
      <c r="S12" s="30" t="s">
        <v>49</v>
      </c>
      <c r="T12" s="31"/>
      <c r="U12" s="74">
        <v>30971</v>
      </c>
      <c r="V12" s="29">
        <f>+ROUND(AD25,2)</f>
        <v>-1.47</v>
      </c>
      <c r="W12" s="28">
        <f>U12*V12</f>
        <v>-45527.37</v>
      </c>
      <c r="X12" s="19"/>
      <c r="Y12" s="30" t="s">
        <v>46</v>
      </c>
      <c r="Z12" s="31"/>
      <c r="AA12" s="74">
        <v>23216</v>
      </c>
      <c r="AB12" s="29">
        <f>+AJ27</f>
        <v>-1.59</v>
      </c>
      <c r="AC12" s="28">
        <f>AA12*AB12</f>
        <v>-36913.440000000002</v>
      </c>
      <c r="AD12" s="19"/>
      <c r="AE12" s="30"/>
      <c r="AF12" s="31"/>
      <c r="AG12" s="74">
        <v>0</v>
      </c>
      <c r="AH12" s="29">
        <v>0</v>
      </c>
      <c r="AI12" s="28">
        <f>AG12*AH12</f>
        <v>0</v>
      </c>
      <c r="AJ12" s="19"/>
      <c r="AK12" s="58"/>
      <c r="AL12" s="59"/>
      <c r="AM12" s="60"/>
      <c r="AN12" s="57"/>
      <c r="AO12" s="60"/>
      <c r="AQ12" s="58"/>
      <c r="AR12" s="59"/>
      <c r="AS12" s="60"/>
      <c r="AT12" s="57"/>
      <c r="AU12" s="60"/>
    </row>
    <row r="13" spans="1:48" x14ac:dyDescent="0.25">
      <c r="A13" s="22" t="s">
        <v>10</v>
      </c>
      <c r="B13" s="18"/>
      <c r="C13" s="28">
        <f>SUM(C11:C12)</f>
        <v>63566</v>
      </c>
      <c r="D13" s="28"/>
      <c r="E13" s="28">
        <f>SUM(E11:E12)</f>
        <v>-116559.20340011672</v>
      </c>
      <c r="F13" s="19"/>
      <c r="G13" s="22" t="s">
        <v>10</v>
      </c>
      <c r="H13" s="18"/>
      <c r="I13" s="28">
        <f>SUM(I11:I12)</f>
        <v>31250</v>
      </c>
      <c r="J13" s="28"/>
      <c r="K13" s="28">
        <f>SUM(K11:K12)</f>
        <v>-57061.463020164687</v>
      </c>
      <c r="L13" s="19"/>
      <c r="M13" s="22" t="s">
        <v>10</v>
      </c>
      <c r="N13" s="18"/>
      <c r="O13" s="28">
        <f>SUM(O11:O12)</f>
        <v>30846</v>
      </c>
      <c r="P13" s="28"/>
      <c r="Q13" s="28">
        <f>SUM(Q11:Q12)</f>
        <v>-49662.06</v>
      </c>
      <c r="R13" s="19"/>
      <c r="S13" s="22" t="s">
        <v>10</v>
      </c>
      <c r="T13" s="18"/>
      <c r="U13" s="28">
        <f>SUM(U11:U12)</f>
        <v>46456</v>
      </c>
      <c r="V13" s="28"/>
      <c r="W13" s="28">
        <f>SUM(W11:W12)</f>
        <v>-70148.52</v>
      </c>
      <c r="X13" s="19"/>
      <c r="Y13" s="22" t="s">
        <v>10</v>
      </c>
      <c r="Z13" s="18"/>
      <c r="AA13" s="28">
        <f>SUM(AA11:AA12)</f>
        <v>46432</v>
      </c>
      <c r="AB13" s="28"/>
      <c r="AC13" s="28">
        <f>SUM(AC11:AC12)</f>
        <v>-73826.880000000005</v>
      </c>
      <c r="AD13" s="19"/>
      <c r="AE13" s="22" t="s">
        <v>10</v>
      </c>
      <c r="AF13" s="18"/>
      <c r="AG13" s="28">
        <f>SUM(AG11:AG12)</f>
        <v>0</v>
      </c>
      <c r="AH13" s="28"/>
      <c r="AI13" s="28">
        <f>SUM(AI11:AI12)</f>
        <v>0</v>
      </c>
      <c r="AJ13" s="19"/>
      <c r="AM13" s="56"/>
      <c r="AO13" s="56"/>
      <c r="AS13" s="56"/>
      <c r="AU13" s="56"/>
    </row>
    <row r="14" spans="1:48" x14ac:dyDescent="0.25">
      <c r="A14" s="22"/>
      <c r="B14" s="18"/>
      <c r="C14" s="18"/>
      <c r="D14" s="18"/>
      <c r="E14" s="18"/>
      <c r="F14" s="19"/>
      <c r="G14" s="22"/>
      <c r="H14" s="18"/>
      <c r="I14" s="18"/>
      <c r="J14" s="18"/>
      <c r="K14" s="18"/>
      <c r="L14" s="19"/>
      <c r="M14" s="22"/>
      <c r="N14" s="18"/>
      <c r="O14" s="18"/>
      <c r="P14" s="18"/>
      <c r="Q14" s="18"/>
      <c r="R14" s="19"/>
      <c r="S14" s="22"/>
      <c r="T14" s="18"/>
      <c r="U14" s="18"/>
      <c r="V14" s="18"/>
      <c r="W14" s="18"/>
      <c r="X14" s="19"/>
      <c r="Y14" s="22"/>
      <c r="Z14" s="18"/>
      <c r="AA14" s="18"/>
      <c r="AB14" s="18"/>
      <c r="AC14" s="18"/>
      <c r="AD14" s="19"/>
      <c r="AE14" s="22"/>
      <c r="AF14" s="18"/>
      <c r="AG14" s="18"/>
      <c r="AH14" s="18"/>
      <c r="AI14" s="18"/>
      <c r="AJ14" s="19"/>
    </row>
    <row r="15" spans="1:48" x14ac:dyDescent="0.25">
      <c r="A15" s="22" t="s">
        <v>94</v>
      </c>
      <c r="B15" s="18"/>
      <c r="C15" s="18"/>
      <c r="D15" s="18"/>
      <c r="E15" s="73">
        <f>SUM('Calcs revised method'!D20:O20)</f>
        <v>-91283.18</v>
      </c>
      <c r="F15" s="19"/>
      <c r="G15" s="22" t="s">
        <v>71</v>
      </c>
      <c r="H15" s="18"/>
      <c r="I15" s="18"/>
      <c r="J15" s="18"/>
      <c r="K15" s="73">
        <v>-54916</v>
      </c>
      <c r="L15" s="19"/>
      <c r="M15" s="22" t="s">
        <v>53</v>
      </c>
      <c r="N15" s="18"/>
      <c r="O15" s="18"/>
      <c r="P15" s="18"/>
      <c r="Q15" s="73">
        <v>-58633</v>
      </c>
      <c r="R15" s="19"/>
      <c r="S15" s="22" t="s">
        <v>51</v>
      </c>
      <c r="T15" s="18"/>
      <c r="U15" s="18"/>
      <c r="V15" s="18"/>
      <c r="W15" s="73">
        <v>-78148</v>
      </c>
      <c r="X15" s="19"/>
      <c r="Y15" s="22" t="s">
        <v>47</v>
      </c>
      <c r="Z15" s="18"/>
      <c r="AA15" s="18"/>
      <c r="AB15" s="18"/>
      <c r="AC15" s="73">
        <v>-68442</v>
      </c>
      <c r="AD15" s="19"/>
      <c r="AE15" s="22" t="s">
        <v>13</v>
      </c>
      <c r="AF15" s="18"/>
      <c r="AG15" s="18"/>
      <c r="AH15" s="18"/>
      <c r="AI15" s="73">
        <v>-122720</v>
      </c>
      <c r="AJ15" s="19"/>
      <c r="AK15" s="47"/>
      <c r="AO15" s="56"/>
      <c r="AQ15" s="47"/>
      <c r="AU15" s="56"/>
    </row>
    <row r="16" spans="1:48" x14ac:dyDescent="0.25">
      <c r="A16" s="22"/>
      <c r="B16" s="18"/>
      <c r="C16" s="18"/>
      <c r="D16" s="18"/>
      <c r="E16" s="83"/>
      <c r="F16" s="19"/>
      <c r="G16" s="22"/>
      <c r="H16" s="18"/>
      <c r="I16" s="18"/>
      <c r="J16" s="18"/>
      <c r="K16" s="83"/>
      <c r="L16" s="19"/>
      <c r="M16" s="22"/>
      <c r="N16" s="18"/>
      <c r="O16" s="18"/>
      <c r="P16" s="18"/>
      <c r="Q16" s="83"/>
      <c r="R16" s="19"/>
      <c r="S16" s="22"/>
      <c r="T16" s="18"/>
      <c r="U16" s="18"/>
      <c r="V16" s="18"/>
      <c r="W16" s="83"/>
      <c r="X16" s="19"/>
      <c r="Y16" s="22" t="s">
        <v>45</v>
      </c>
      <c r="Z16" s="18"/>
      <c r="AA16" s="18"/>
      <c r="AB16" s="18"/>
      <c r="AC16" s="83">
        <v>2688</v>
      </c>
      <c r="AD16" s="19"/>
      <c r="AE16" s="22"/>
      <c r="AF16" s="18"/>
      <c r="AG16" s="18"/>
      <c r="AH16" s="18"/>
      <c r="AI16" s="18"/>
      <c r="AJ16" s="19"/>
    </row>
    <row r="17" spans="1:48" x14ac:dyDescent="0.25">
      <c r="A17" s="22" t="s">
        <v>14</v>
      </c>
      <c r="B17" s="18"/>
      <c r="C17" s="18"/>
      <c r="D17" s="18"/>
      <c r="E17" s="28">
        <f>-E13+E15-E16</f>
        <v>25276.023400116726</v>
      </c>
      <c r="F17" s="19"/>
      <c r="G17" s="22" t="s">
        <v>14</v>
      </c>
      <c r="H17" s="18"/>
      <c r="I17" s="18"/>
      <c r="J17" s="18"/>
      <c r="K17" s="28">
        <f>-K13+K15-K16</f>
        <v>2145.4630201646869</v>
      </c>
      <c r="L17" s="19"/>
      <c r="M17" s="22" t="s">
        <v>14</v>
      </c>
      <c r="N17" s="18"/>
      <c r="O17" s="18"/>
      <c r="P17" s="18"/>
      <c r="Q17" s="28">
        <f>-Q13+Q15-Q16</f>
        <v>-8970.9400000000023</v>
      </c>
      <c r="R17" s="19"/>
      <c r="S17" s="22" t="s">
        <v>14</v>
      </c>
      <c r="T17" s="18"/>
      <c r="U17" s="18"/>
      <c r="V17" s="18"/>
      <c r="W17" s="28">
        <f>-W13+W15-W16</f>
        <v>-7999.4799999999959</v>
      </c>
      <c r="X17" s="19"/>
      <c r="Y17" s="22" t="s">
        <v>14</v>
      </c>
      <c r="Z17" s="18"/>
      <c r="AA17" s="18"/>
      <c r="AB17" s="18"/>
      <c r="AC17" s="28">
        <f>-AC13+AC15-AC16</f>
        <v>2696.8800000000047</v>
      </c>
      <c r="AD17" s="19"/>
      <c r="AE17" s="22" t="s">
        <v>14</v>
      </c>
      <c r="AF17" s="18"/>
      <c r="AG17" s="18"/>
      <c r="AH17" s="18"/>
      <c r="AI17" s="28">
        <f>AI15-AI13</f>
        <v>-122720</v>
      </c>
      <c r="AJ17" s="19"/>
      <c r="AO17" s="56"/>
      <c r="AU17" s="56"/>
    </row>
    <row r="18" spans="1:48" x14ac:dyDescent="0.25">
      <c r="A18" s="22"/>
      <c r="B18" s="18"/>
      <c r="C18" s="18"/>
      <c r="D18" s="18"/>
      <c r="E18" s="18"/>
      <c r="F18" s="19"/>
      <c r="G18" s="22"/>
      <c r="H18" s="18"/>
      <c r="I18" s="18"/>
      <c r="J18" s="18"/>
      <c r="K18" s="18"/>
      <c r="L18" s="19"/>
      <c r="M18" s="22"/>
      <c r="N18" s="18"/>
      <c r="O18" s="18"/>
      <c r="P18" s="18"/>
      <c r="Q18" s="18"/>
      <c r="R18" s="19"/>
      <c r="S18" s="22"/>
      <c r="T18" s="18"/>
      <c r="U18" s="18"/>
      <c r="V18" s="18"/>
      <c r="W18" s="18"/>
      <c r="X18" s="19"/>
      <c r="Y18" s="22"/>
      <c r="Z18" s="18"/>
      <c r="AA18" s="18"/>
      <c r="AB18" s="18"/>
      <c r="AC18" s="18"/>
      <c r="AD18" s="19"/>
      <c r="AE18" s="22"/>
      <c r="AF18" s="18"/>
      <c r="AG18" s="18"/>
      <c r="AH18" s="18"/>
      <c r="AI18" s="18"/>
      <c r="AJ18" s="19"/>
    </row>
    <row r="19" spans="1:48" x14ac:dyDescent="0.25">
      <c r="A19" s="22" t="s">
        <v>15</v>
      </c>
      <c r="B19" s="18"/>
      <c r="C19" s="18"/>
      <c r="D19" s="18"/>
      <c r="E19" s="28">
        <f>SUM('Calcs revised method'!D10:O10)</f>
        <v>63566</v>
      </c>
      <c r="F19" s="19"/>
      <c r="G19" s="22" t="s">
        <v>15</v>
      </c>
      <c r="H19" s="18"/>
      <c r="I19" s="18"/>
      <c r="J19" s="18"/>
      <c r="K19" s="28">
        <v>62510</v>
      </c>
      <c r="L19" s="19"/>
      <c r="M19" s="22" t="s">
        <v>15</v>
      </c>
      <c r="N19" s="18"/>
      <c r="O19" s="18"/>
      <c r="P19" s="18"/>
      <c r="Q19" s="28">
        <f>+O13</f>
        <v>30846</v>
      </c>
      <c r="R19" s="19"/>
      <c r="S19" s="22" t="s">
        <v>15</v>
      </c>
      <c r="T19" s="18"/>
      <c r="U19" s="18"/>
      <c r="V19" s="18"/>
      <c r="W19" s="28">
        <f>+U13</f>
        <v>46456</v>
      </c>
      <c r="X19" s="19"/>
      <c r="Y19" s="22" t="s">
        <v>15</v>
      </c>
      <c r="Z19" s="18"/>
      <c r="AA19" s="18"/>
      <c r="AB19" s="18"/>
      <c r="AC19" s="28">
        <f>+AA13</f>
        <v>46432</v>
      </c>
      <c r="AD19" s="19"/>
      <c r="AE19" s="22" t="s">
        <v>15</v>
      </c>
      <c r="AF19" s="18"/>
      <c r="AG19" s="18"/>
      <c r="AH19" s="18"/>
      <c r="AI19" s="28">
        <f>+AG13</f>
        <v>0</v>
      </c>
      <c r="AJ19" s="19"/>
      <c r="AK19" s="58"/>
      <c r="AO19" s="56"/>
      <c r="AQ19" s="58"/>
      <c r="AU19" s="56"/>
    </row>
    <row r="20" spans="1:48" x14ac:dyDescent="0.25">
      <c r="A20" s="22"/>
      <c r="B20" s="18"/>
      <c r="C20" s="18"/>
      <c r="D20" s="18"/>
      <c r="E20" s="18"/>
      <c r="F20" s="19"/>
      <c r="G20" s="22"/>
      <c r="H20" s="18"/>
      <c r="I20" s="18"/>
      <c r="J20" s="18"/>
      <c r="K20" s="18"/>
      <c r="L20" s="19"/>
      <c r="M20" s="22"/>
      <c r="N20" s="18"/>
      <c r="O20" s="18"/>
      <c r="P20" s="18"/>
      <c r="Q20" s="18"/>
      <c r="R20" s="19"/>
      <c r="S20" s="22"/>
      <c r="T20" s="18"/>
      <c r="U20" s="18"/>
      <c r="V20" s="18"/>
      <c r="W20" s="18"/>
      <c r="X20" s="19"/>
      <c r="Y20" s="22"/>
      <c r="Z20" s="18"/>
      <c r="AA20" s="18"/>
      <c r="AB20" s="18"/>
      <c r="AC20" s="18"/>
      <c r="AD20" s="19"/>
      <c r="AE20" s="22"/>
      <c r="AF20" s="18"/>
      <c r="AG20" s="18"/>
      <c r="AH20" s="18"/>
      <c r="AI20" s="18"/>
      <c r="AJ20" s="19"/>
    </row>
    <row r="21" spans="1:48" x14ac:dyDescent="0.25">
      <c r="A21" s="22" t="s">
        <v>16</v>
      </c>
      <c r="B21" s="18"/>
      <c r="C21" s="18"/>
      <c r="D21" s="18"/>
      <c r="E21" s="18"/>
      <c r="F21" s="32">
        <f>ROUND((E17/E19),2)</f>
        <v>0.4</v>
      </c>
      <c r="G21" s="22" t="s">
        <v>16</v>
      </c>
      <c r="H21" s="18"/>
      <c r="I21" s="18"/>
      <c r="J21" s="18"/>
      <c r="K21" s="18"/>
      <c r="L21" s="32">
        <f>ROUND((K17/K19),2)</f>
        <v>0.03</v>
      </c>
      <c r="M21" s="22" t="s">
        <v>16</v>
      </c>
      <c r="N21" s="18"/>
      <c r="O21" s="18"/>
      <c r="P21" s="18"/>
      <c r="Q21" s="18"/>
      <c r="R21" s="32">
        <f>ROUND((Q17/Q19),2)</f>
        <v>-0.28999999999999998</v>
      </c>
      <c r="S21" s="22" t="s">
        <v>16</v>
      </c>
      <c r="T21" s="18"/>
      <c r="U21" s="18"/>
      <c r="V21" s="18"/>
      <c r="W21" s="18"/>
      <c r="X21" s="32">
        <f>ROUND((W17/W19),2)</f>
        <v>-0.17</v>
      </c>
      <c r="Y21" s="22" t="s">
        <v>16</v>
      </c>
      <c r="Z21" s="18"/>
      <c r="AA21" s="18"/>
      <c r="AB21" s="18"/>
      <c r="AC21" s="18"/>
      <c r="AD21" s="32">
        <f>ROUND((AC17/AC19),2)</f>
        <v>0.06</v>
      </c>
      <c r="AE21" s="22" t="s">
        <v>16</v>
      </c>
      <c r="AF21" s="18"/>
      <c r="AG21" s="18"/>
      <c r="AH21" s="18"/>
      <c r="AI21" s="18"/>
      <c r="AJ21" s="32" t="e">
        <f>ROUND((AI17/AI19),2)</f>
        <v>#DIV/0!</v>
      </c>
      <c r="AP21" s="61"/>
      <c r="AV21" s="61"/>
    </row>
    <row r="22" spans="1:48" x14ac:dyDescent="0.25">
      <c r="A22" s="22"/>
      <c r="B22" s="18"/>
      <c r="C22" s="18"/>
      <c r="D22" s="18"/>
      <c r="E22" s="18"/>
      <c r="F22" s="32"/>
      <c r="G22" s="22"/>
      <c r="H22" s="18"/>
      <c r="I22" s="18"/>
      <c r="J22" s="18"/>
      <c r="K22" s="18"/>
      <c r="L22" s="32"/>
      <c r="M22" s="22"/>
      <c r="N22" s="18"/>
      <c r="O22" s="18"/>
      <c r="P22" s="18"/>
      <c r="Q22" s="18"/>
      <c r="R22" s="32"/>
      <c r="S22" s="22"/>
      <c r="T22" s="18"/>
      <c r="U22" s="18"/>
      <c r="V22" s="18"/>
      <c r="W22" s="18"/>
      <c r="X22" s="32"/>
      <c r="Y22" s="22"/>
      <c r="Z22" s="18"/>
      <c r="AA22" s="18"/>
      <c r="AB22" s="18"/>
      <c r="AC22" s="18"/>
      <c r="AD22" s="32"/>
      <c r="AE22" s="22"/>
      <c r="AF22" s="18"/>
      <c r="AG22" s="18"/>
      <c r="AH22" s="18"/>
      <c r="AI22" s="18"/>
      <c r="AJ22" s="32"/>
      <c r="AP22" s="61"/>
      <c r="AV22" s="61"/>
    </row>
    <row r="23" spans="1:48" ht="16.8" x14ac:dyDescent="0.45">
      <c r="A23" s="25" t="s">
        <v>97</v>
      </c>
      <c r="B23" s="26"/>
      <c r="C23" s="18"/>
      <c r="D23" s="18"/>
      <c r="E23" s="73">
        <f>SUM('Calcs revised method'!D20:O20)</f>
        <v>-91283.18</v>
      </c>
      <c r="F23" s="32"/>
      <c r="G23" s="25" t="s">
        <v>72</v>
      </c>
      <c r="H23" s="26"/>
      <c r="I23" s="18"/>
      <c r="J23" s="18"/>
      <c r="K23" s="73">
        <v>-113549</v>
      </c>
      <c r="L23" s="32"/>
      <c r="M23" s="25" t="s">
        <v>60</v>
      </c>
      <c r="N23" s="26"/>
      <c r="O23" s="18"/>
      <c r="P23" s="18"/>
      <c r="Q23" s="73">
        <v>-58633</v>
      </c>
      <c r="R23" s="32"/>
      <c r="S23" s="25" t="s">
        <v>50</v>
      </c>
      <c r="T23" s="26"/>
      <c r="U23" s="18"/>
      <c r="V23" s="18"/>
      <c r="W23" s="73">
        <v>-78148</v>
      </c>
      <c r="X23" s="32"/>
      <c r="Y23" s="25" t="s">
        <v>26</v>
      </c>
      <c r="Z23" s="26"/>
      <c r="AA23" s="18"/>
      <c r="AB23" s="18"/>
      <c r="AC23" s="73">
        <v>-68442</v>
      </c>
      <c r="AD23" s="32"/>
      <c r="AE23" s="76" t="s">
        <v>44</v>
      </c>
      <c r="AF23" s="26"/>
      <c r="AG23" s="18"/>
      <c r="AH23" s="18"/>
      <c r="AI23" s="75">
        <v>-73974</v>
      </c>
      <c r="AJ23" s="32"/>
      <c r="AK23" s="54"/>
      <c r="AL23" s="54"/>
      <c r="AO23" s="62"/>
      <c r="AP23" s="61"/>
      <c r="AQ23" s="54"/>
      <c r="AR23" s="54"/>
      <c r="AU23" s="63"/>
      <c r="AV23" s="61"/>
    </row>
    <row r="24" spans="1:48" x14ac:dyDescent="0.25">
      <c r="A24" s="22" t="s">
        <v>15</v>
      </c>
      <c r="B24" s="18"/>
      <c r="C24" s="18"/>
      <c r="D24" s="18"/>
      <c r="E24" s="85">
        <f>SUM('Calcs revised method'!D10:O10)</f>
        <v>63566</v>
      </c>
      <c r="F24" s="32"/>
      <c r="G24" s="22" t="s">
        <v>15</v>
      </c>
      <c r="H24" s="18"/>
      <c r="I24" s="18"/>
      <c r="J24" s="18"/>
      <c r="K24" s="85">
        <v>62510</v>
      </c>
      <c r="L24" s="32"/>
      <c r="M24" s="22" t="s">
        <v>15</v>
      </c>
      <c r="N24" s="18"/>
      <c r="O24" s="18"/>
      <c r="P24" s="18"/>
      <c r="Q24" s="85">
        <f>+O13</f>
        <v>30846</v>
      </c>
      <c r="R24" s="32"/>
      <c r="S24" s="22" t="s">
        <v>15</v>
      </c>
      <c r="T24" s="18"/>
      <c r="U24" s="18"/>
      <c r="V24" s="18"/>
      <c r="W24" s="73">
        <v>46456</v>
      </c>
      <c r="X24" s="32"/>
      <c r="Y24" s="22" t="s">
        <v>15</v>
      </c>
      <c r="Z24" s="18"/>
      <c r="AA24" s="18"/>
      <c r="AB24" s="18"/>
      <c r="AC24" s="73">
        <v>46432</v>
      </c>
      <c r="AD24" s="32"/>
      <c r="AE24" s="22" t="s">
        <v>15</v>
      </c>
      <c r="AF24" s="18"/>
      <c r="AG24" s="18"/>
      <c r="AH24" s="18"/>
      <c r="AI24" s="28">
        <v>46432</v>
      </c>
      <c r="AJ24" s="32"/>
      <c r="AO24" s="56"/>
      <c r="AP24" s="61"/>
      <c r="AU24" s="56"/>
      <c r="AV24" s="61"/>
    </row>
    <row r="25" spans="1:48" ht="15" x14ac:dyDescent="0.4">
      <c r="A25" s="22" t="s">
        <v>17</v>
      </c>
      <c r="B25" s="18"/>
      <c r="C25" s="18"/>
      <c r="D25" s="18"/>
      <c r="E25" s="18"/>
      <c r="F25" s="33">
        <f>ROUND((E23/E24),2)</f>
        <v>-1.44</v>
      </c>
      <c r="G25" s="22" t="s">
        <v>17</v>
      </c>
      <c r="H25" s="18"/>
      <c r="I25" s="18"/>
      <c r="J25" s="18"/>
      <c r="K25" s="18"/>
      <c r="L25" s="33">
        <f>ROUND((K23/K24),2)</f>
        <v>-1.82</v>
      </c>
      <c r="M25" s="22" t="s">
        <v>17</v>
      </c>
      <c r="N25" s="18"/>
      <c r="O25" s="18"/>
      <c r="P25" s="18"/>
      <c r="Q25" s="18"/>
      <c r="R25" s="33">
        <f>(Q23/Q24)</f>
        <v>-1.9008299293263309</v>
      </c>
      <c r="S25" s="22" t="s">
        <v>17</v>
      </c>
      <c r="T25" s="18"/>
      <c r="U25" s="18"/>
      <c r="V25" s="18"/>
      <c r="W25" s="18"/>
      <c r="X25" s="33">
        <f>(W23/W24)</f>
        <v>-1.6821939039090752</v>
      </c>
      <c r="Y25" s="22" t="s">
        <v>17</v>
      </c>
      <c r="Z25" s="18"/>
      <c r="AA25" s="18"/>
      <c r="AB25" s="18"/>
      <c r="AC25" s="18"/>
      <c r="AD25" s="33">
        <f>(AC23/AC24)</f>
        <v>-1.4740265334252241</v>
      </c>
      <c r="AE25" s="22" t="s">
        <v>17</v>
      </c>
      <c r="AF25" s="18"/>
      <c r="AG25" s="18"/>
      <c r="AH25" s="18"/>
      <c r="AI25" s="18"/>
      <c r="AJ25" s="33">
        <f>(AI23/AI24)</f>
        <v>-1.5931685044796693</v>
      </c>
      <c r="AP25" s="64"/>
      <c r="AV25" s="64"/>
    </row>
    <row r="26" spans="1:48" x14ac:dyDescent="0.25">
      <c r="A26" s="22"/>
      <c r="B26" s="18"/>
      <c r="C26" s="18"/>
      <c r="D26" s="18"/>
      <c r="E26" s="18"/>
      <c r="F26" s="32"/>
      <c r="G26" s="22"/>
      <c r="H26" s="18"/>
      <c r="I26" s="18"/>
      <c r="J26" s="18"/>
      <c r="K26" s="18"/>
      <c r="L26" s="32"/>
      <c r="M26" s="22"/>
      <c r="N26" s="18"/>
      <c r="O26" s="18"/>
      <c r="P26" s="18"/>
      <c r="Q26" s="18"/>
      <c r="R26" s="32"/>
      <c r="S26" s="22"/>
      <c r="T26" s="18"/>
      <c r="U26" s="18"/>
      <c r="V26" s="18"/>
      <c r="W26" s="18"/>
      <c r="X26" s="32"/>
      <c r="Y26" s="22"/>
      <c r="Z26" s="18"/>
      <c r="AA26" s="18"/>
      <c r="AB26" s="18"/>
      <c r="AC26" s="18"/>
      <c r="AD26" s="32"/>
      <c r="AE26" s="22"/>
      <c r="AF26" s="18"/>
      <c r="AG26" s="18"/>
      <c r="AH26" s="18"/>
      <c r="AI26" s="18"/>
      <c r="AJ26" s="32"/>
      <c r="AP26" s="61"/>
      <c r="AV26" s="61"/>
    </row>
    <row r="27" spans="1:48" ht="16.8" thickBot="1" x14ac:dyDescent="0.45">
      <c r="A27" s="15" t="s">
        <v>61</v>
      </c>
      <c r="B27" s="16"/>
      <c r="C27" s="18"/>
      <c r="D27" s="18"/>
      <c r="E27" s="18"/>
      <c r="F27" s="34">
        <f>+F21+F25</f>
        <v>-1.04</v>
      </c>
      <c r="G27" s="15" t="s">
        <v>61</v>
      </c>
      <c r="H27" s="16"/>
      <c r="I27" s="18"/>
      <c r="J27" s="18"/>
      <c r="K27" s="18"/>
      <c r="L27" s="34">
        <f>+L21+L25</f>
        <v>-1.79</v>
      </c>
      <c r="M27" s="15" t="s">
        <v>61</v>
      </c>
      <c r="N27" s="16"/>
      <c r="O27" s="18"/>
      <c r="P27" s="18"/>
      <c r="Q27" s="18"/>
      <c r="R27" s="34">
        <f>+R21+R25</f>
        <v>-2.1908299293263309</v>
      </c>
      <c r="S27" s="15" t="s">
        <v>24</v>
      </c>
      <c r="T27" s="16"/>
      <c r="U27" s="18"/>
      <c r="V27" s="18"/>
      <c r="W27" s="18"/>
      <c r="X27" s="34">
        <f>+X21+X25</f>
        <v>-1.8521939039090751</v>
      </c>
      <c r="Y27" s="15" t="s">
        <v>24</v>
      </c>
      <c r="Z27" s="16"/>
      <c r="AA27" s="18"/>
      <c r="AB27" s="18"/>
      <c r="AC27" s="18"/>
      <c r="AD27" s="34">
        <f>+AD21+AD25</f>
        <v>-1.414026533425224</v>
      </c>
      <c r="AE27" s="15" t="s">
        <v>24</v>
      </c>
      <c r="AF27" s="16"/>
      <c r="AG27" s="18"/>
      <c r="AH27" s="18"/>
      <c r="AI27" s="18"/>
      <c r="AJ27" s="34">
        <f>+ROUND(AJ25,2)</f>
        <v>-1.59</v>
      </c>
      <c r="AK27" s="47"/>
      <c r="AL27" s="47"/>
      <c r="AP27" s="65"/>
      <c r="AQ27" s="47"/>
      <c r="AR27" s="47"/>
      <c r="AV27" s="65"/>
    </row>
    <row r="28" spans="1:48" ht="13.8" thickTop="1" x14ac:dyDescent="0.25">
      <c r="A28" s="22"/>
      <c r="B28" s="18"/>
      <c r="C28" s="18"/>
      <c r="D28" s="18"/>
      <c r="E28" s="18"/>
      <c r="F28" s="32"/>
      <c r="G28" s="22"/>
      <c r="H28" s="18"/>
      <c r="I28" s="18"/>
      <c r="J28" s="18"/>
      <c r="K28" s="18"/>
      <c r="L28" s="32"/>
      <c r="M28" s="22"/>
      <c r="N28" s="18"/>
      <c r="O28" s="18"/>
      <c r="P28" s="18"/>
      <c r="Q28" s="18"/>
      <c r="R28" s="32"/>
      <c r="S28" s="22"/>
      <c r="T28" s="18"/>
      <c r="U28" s="18"/>
      <c r="V28" s="18"/>
      <c r="W28" s="18"/>
      <c r="X28" s="32"/>
      <c r="Y28" s="22"/>
      <c r="Z28" s="18"/>
      <c r="AA28" s="18"/>
      <c r="AB28" s="18"/>
      <c r="AC28" s="18"/>
      <c r="AD28" s="32"/>
      <c r="AE28" s="22"/>
      <c r="AF28" s="18"/>
      <c r="AG28" s="18"/>
      <c r="AH28" s="18"/>
      <c r="AI28" s="18"/>
      <c r="AJ28" s="32"/>
      <c r="AP28" s="61"/>
      <c r="AV28" s="61"/>
    </row>
    <row r="29" spans="1:48" x14ac:dyDescent="0.25">
      <c r="A29" s="22"/>
      <c r="B29" s="18"/>
      <c r="C29" s="18"/>
      <c r="D29" s="18"/>
      <c r="E29" s="18"/>
      <c r="F29" s="19"/>
      <c r="G29" s="22"/>
      <c r="H29" s="18"/>
      <c r="I29" s="18"/>
      <c r="J29" s="18"/>
      <c r="K29" s="18"/>
      <c r="L29" s="19"/>
      <c r="M29" s="22"/>
      <c r="N29" s="18"/>
      <c r="O29" s="18"/>
      <c r="P29" s="18"/>
      <c r="Q29" s="18"/>
      <c r="R29" s="19"/>
      <c r="S29" s="22"/>
      <c r="T29" s="18"/>
      <c r="U29" s="18"/>
      <c r="V29" s="18"/>
      <c r="W29" s="18"/>
      <c r="X29" s="19"/>
      <c r="Y29" s="22"/>
      <c r="Z29" s="18"/>
      <c r="AA29" s="18"/>
      <c r="AB29" s="18"/>
      <c r="AC29" s="18"/>
      <c r="AD29" s="19"/>
      <c r="AE29" s="22"/>
      <c r="AF29" s="18"/>
      <c r="AG29" s="18"/>
      <c r="AH29" s="18"/>
      <c r="AI29" s="18"/>
      <c r="AJ29" s="19"/>
      <c r="AU29" s="66"/>
    </row>
    <row r="30" spans="1:48" ht="15" x14ac:dyDescent="0.4">
      <c r="A30" s="30"/>
      <c r="B30" s="18"/>
      <c r="C30" s="18"/>
      <c r="D30" s="36"/>
      <c r="E30" s="18"/>
      <c r="F30" s="37"/>
      <c r="G30" s="30"/>
      <c r="H30" s="18"/>
      <c r="I30" s="18"/>
      <c r="J30" s="36"/>
      <c r="K30" s="18"/>
      <c r="L30" s="37"/>
      <c r="M30" s="30"/>
      <c r="N30" s="18"/>
      <c r="O30" s="18"/>
      <c r="P30" s="36"/>
      <c r="Q30" s="18"/>
      <c r="R30" s="37"/>
      <c r="S30" s="30"/>
      <c r="T30" s="18"/>
      <c r="U30" s="18"/>
      <c r="V30" s="36"/>
      <c r="W30" s="18"/>
      <c r="X30" s="37"/>
      <c r="Y30" s="30"/>
      <c r="Z30" s="18"/>
      <c r="AA30" s="18"/>
      <c r="AB30" s="36"/>
      <c r="AC30" s="18"/>
      <c r="AD30" s="37"/>
      <c r="AE30" s="30"/>
      <c r="AF30" s="18"/>
      <c r="AG30" s="18"/>
      <c r="AH30" s="36"/>
      <c r="AI30" s="18"/>
      <c r="AJ30" s="37"/>
    </row>
    <row r="31" spans="1:48" x14ac:dyDescent="0.25">
      <c r="A31" s="22"/>
      <c r="B31" s="18"/>
      <c r="C31" s="18"/>
      <c r="D31" s="36"/>
      <c r="E31" s="18"/>
      <c r="F31" s="19"/>
      <c r="G31" s="22"/>
      <c r="H31" s="18"/>
      <c r="I31" s="18"/>
      <c r="J31" s="36"/>
      <c r="K31" s="18"/>
      <c r="L31" s="19"/>
      <c r="M31" s="22"/>
      <c r="N31" s="18"/>
      <c r="O31" s="18"/>
      <c r="P31" s="36"/>
      <c r="Q31" s="18"/>
      <c r="R31" s="19"/>
      <c r="S31" s="22"/>
      <c r="T31" s="18"/>
      <c r="U31" s="18"/>
      <c r="V31" s="36"/>
      <c r="W31" s="18"/>
      <c r="X31" s="19"/>
      <c r="Y31" s="22"/>
      <c r="Z31" s="18"/>
      <c r="AA31" s="18"/>
      <c r="AB31" s="36"/>
      <c r="AC31" s="18"/>
      <c r="AD31" s="19"/>
      <c r="AE31" s="22"/>
      <c r="AF31" s="18"/>
      <c r="AG31" s="18"/>
      <c r="AH31" s="36"/>
      <c r="AI31" s="18"/>
      <c r="AJ31" s="19"/>
      <c r="AO31" s="58"/>
      <c r="AU31" s="66"/>
      <c r="AV31" s="67"/>
    </row>
    <row r="32" spans="1:48" x14ac:dyDescent="0.25">
      <c r="A32" s="22"/>
      <c r="B32" s="18"/>
      <c r="C32" s="18"/>
      <c r="D32" s="18"/>
      <c r="E32" s="18"/>
      <c r="F32" s="19"/>
      <c r="G32" s="22"/>
      <c r="H32" s="18"/>
      <c r="I32" s="18"/>
      <c r="J32" s="18"/>
      <c r="K32" s="18"/>
      <c r="L32" s="19"/>
      <c r="M32" s="22"/>
      <c r="N32" s="18"/>
      <c r="O32" s="18"/>
      <c r="P32" s="18"/>
      <c r="Q32" s="18"/>
      <c r="R32" s="19"/>
      <c r="S32" s="22"/>
      <c r="T32" s="18"/>
      <c r="U32" s="18"/>
      <c r="V32" s="18"/>
      <c r="W32" s="18"/>
      <c r="X32" s="19"/>
      <c r="Y32" s="22"/>
      <c r="Z32" s="18"/>
      <c r="AA32" s="18"/>
      <c r="AB32" s="18"/>
      <c r="AC32" s="18"/>
      <c r="AD32" s="19"/>
      <c r="AE32" s="22"/>
      <c r="AF32" s="18"/>
      <c r="AG32" s="18"/>
      <c r="AH32" s="18"/>
      <c r="AI32" s="18"/>
      <c r="AJ32" s="19"/>
    </row>
    <row r="33" spans="1:48" ht="19.8" x14ac:dyDescent="0.5">
      <c r="A33" s="148" t="s">
        <v>59</v>
      </c>
      <c r="B33" s="149"/>
      <c r="C33" s="149"/>
      <c r="D33" s="149"/>
      <c r="E33" s="149"/>
      <c r="F33" s="150"/>
      <c r="G33" s="148" t="s">
        <v>59</v>
      </c>
      <c r="H33" s="149"/>
      <c r="I33" s="149"/>
      <c r="J33" s="149"/>
      <c r="K33" s="149"/>
      <c r="L33" s="150"/>
      <c r="M33" s="148" t="s">
        <v>59</v>
      </c>
      <c r="N33" s="149"/>
      <c r="O33" s="149"/>
      <c r="P33" s="149"/>
      <c r="Q33" s="149"/>
      <c r="R33" s="150"/>
      <c r="S33" s="148" t="s">
        <v>27</v>
      </c>
      <c r="T33" s="149"/>
      <c r="U33" s="149"/>
      <c r="V33" s="149"/>
      <c r="W33" s="149"/>
      <c r="X33" s="150"/>
      <c r="Y33" s="148" t="s">
        <v>27</v>
      </c>
      <c r="Z33" s="149"/>
      <c r="AA33" s="149"/>
      <c r="AB33" s="149"/>
      <c r="AC33" s="149"/>
      <c r="AD33" s="150"/>
      <c r="AE33" s="148" t="s">
        <v>27</v>
      </c>
      <c r="AF33" s="149"/>
      <c r="AG33" s="149"/>
      <c r="AH33" s="149"/>
      <c r="AI33" s="149"/>
      <c r="AJ33" s="150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</row>
    <row r="34" spans="1:48" x14ac:dyDescent="0.25">
      <c r="A34" s="15"/>
      <c r="B34" s="18"/>
      <c r="C34" s="18"/>
      <c r="D34" s="18"/>
      <c r="E34" s="18"/>
      <c r="F34" s="19"/>
      <c r="G34" s="15"/>
      <c r="H34" s="18"/>
      <c r="I34" s="18"/>
      <c r="J34" s="18"/>
      <c r="K34" s="18"/>
      <c r="L34" s="19"/>
      <c r="M34" s="15"/>
      <c r="N34" s="18"/>
      <c r="O34" s="18"/>
      <c r="P34" s="18"/>
      <c r="Q34" s="18"/>
      <c r="R34" s="19"/>
      <c r="S34" s="15"/>
      <c r="T34" s="18"/>
      <c r="U34" s="18"/>
      <c r="V34" s="18"/>
      <c r="W34" s="18"/>
      <c r="X34" s="19"/>
      <c r="Y34" s="15"/>
      <c r="Z34" s="18"/>
      <c r="AA34" s="18"/>
      <c r="AB34" s="18"/>
      <c r="AC34" s="18"/>
      <c r="AD34" s="19"/>
      <c r="AE34" s="15"/>
      <c r="AF34" s="18"/>
      <c r="AG34" s="18"/>
      <c r="AH34" s="18"/>
      <c r="AI34" s="18"/>
      <c r="AJ34" s="19"/>
    </row>
    <row r="35" spans="1:48" x14ac:dyDescent="0.25">
      <c r="A35" s="20"/>
      <c r="B35" s="18"/>
      <c r="C35" s="23"/>
      <c r="D35" s="23" t="s">
        <v>9</v>
      </c>
      <c r="E35" s="23" t="s">
        <v>10</v>
      </c>
      <c r="F35" s="19"/>
      <c r="G35" s="20"/>
      <c r="H35" s="18"/>
      <c r="I35" s="23"/>
      <c r="J35" s="23" t="s">
        <v>9</v>
      </c>
      <c r="K35" s="23" t="s">
        <v>10</v>
      </c>
      <c r="L35" s="19"/>
      <c r="M35" s="20"/>
      <c r="N35" s="18"/>
      <c r="O35" s="23"/>
      <c r="P35" s="23" t="s">
        <v>9</v>
      </c>
      <c r="Q35" s="23" t="s">
        <v>10</v>
      </c>
      <c r="R35" s="19"/>
      <c r="S35" s="20"/>
      <c r="T35" s="18"/>
      <c r="U35" s="23"/>
      <c r="V35" s="23" t="s">
        <v>9</v>
      </c>
      <c r="W35" s="23" t="s">
        <v>10</v>
      </c>
      <c r="X35" s="19"/>
      <c r="Y35" s="20"/>
      <c r="Z35" s="18"/>
      <c r="AA35" s="23"/>
      <c r="AB35" s="23" t="s">
        <v>9</v>
      </c>
      <c r="AC35" s="23" t="s">
        <v>10</v>
      </c>
      <c r="AD35" s="19"/>
      <c r="AE35" s="20"/>
      <c r="AF35" s="18"/>
      <c r="AG35" s="23"/>
      <c r="AH35" s="23" t="s">
        <v>9</v>
      </c>
      <c r="AI35" s="23" t="s">
        <v>10</v>
      </c>
      <c r="AJ35" s="19"/>
      <c r="AM35" s="52"/>
      <c r="AN35" s="52"/>
      <c r="AO35" s="52"/>
      <c r="AS35" s="52"/>
      <c r="AT35" s="52"/>
      <c r="AU35" s="52"/>
    </row>
    <row r="36" spans="1:48" x14ac:dyDescent="0.25">
      <c r="A36" s="22"/>
      <c r="B36" s="18"/>
      <c r="C36" s="89" t="s">
        <v>63</v>
      </c>
      <c r="D36" s="38" t="s">
        <v>11</v>
      </c>
      <c r="E36" s="38" t="s">
        <v>12</v>
      </c>
      <c r="F36" s="19"/>
      <c r="G36" s="22"/>
      <c r="H36" s="18"/>
      <c r="I36" s="89" t="s">
        <v>63</v>
      </c>
      <c r="J36" s="38" t="s">
        <v>11</v>
      </c>
      <c r="K36" s="38" t="s">
        <v>12</v>
      </c>
      <c r="L36" s="19"/>
      <c r="M36" s="22"/>
      <c r="N36" s="18"/>
      <c r="O36" s="38" t="s">
        <v>63</v>
      </c>
      <c r="P36" s="38" t="s">
        <v>11</v>
      </c>
      <c r="Q36" s="38" t="s">
        <v>12</v>
      </c>
      <c r="R36" s="19"/>
      <c r="S36" s="22"/>
      <c r="T36" s="18"/>
      <c r="U36" s="38" t="s">
        <v>6</v>
      </c>
      <c r="V36" s="38" t="s">
        <v>11</v>
      </c>
      <c r="W36" s="38" t="s">
        <v>12</v>
      </c>
      <c r="X36" s="19"/>
      <c r="Y36" s="22"/>
      <c r="Z36" s="18"/>
      <c r="AA36" s="38" t="s">
        <v>6</v>
      </c>
      <c r="AB36" s="38" t="s">
        <v>11</v>
      </c>
      <c r="AC36" s="38" t="s">
        <v>12</v>
      </c>
      <c r="AD36" s="19"/>
      <c r="AE36" s="22"/>
      <c r="AF36" s="18"/>
      <c r="AG36" s="38" t="s">
        <v>6</v>
      </c>
      <c r="AH36" s="38" t="s">
        <v>11</v>
      </c>
      <c r="AI36" s="38" t="s">
        <v>12</v>
      </c>
      <c r="AJ36" s="19"/>
      <c r="AM36" s="52"/>
      <c r="AN36" s="52"/>
      <c r="AO36" s="52"/>
      <c r="AS36" s="52"/>
      <c r="AT36" s="52"/>
      <c r="AU36" s="52"/>
    </row>
    <row r="37" spans="1:48" ht="16.8" x14ac:dyDescent="0.45">
      <c r="A37" s="25" t="str">
        <f>A10</f>
        <v xml:space="preserve">Projected Revenue </v>
      </c>
      <c r="B37" s="26"/>
      <c r="C37" s="27"/>
      <c r="D37" s="27"/>
      <c r="E37" s="27"/>
      <c r="F37" s="19"/>
      <c r="G37" s="25" t="str">
        <f>G10</f>
        <v xml:space="preserve">Projected Revenue </v>
      </c>
      <c r="H37" s="26"/>
      <c r="I37" s="27"/>
      <c r="J37" s="27"/>
      <c r="K37" s="27"/>
      <c r="L37" s="19"/>
      <c r="M37" s="25" t="str">
        <f>M10</f>
        <v xml:space="preserve">Projected Revenue </v>
      </c>
      <c r="N37" s="26"/>
      <c r="O37" s="27"/>
      <c r="P37" s="27"/>
      <c r="Q37" s="27"/>
      <c r="R37" s="19"/>
      <c r="S37" s="25" t="str">
        <f>S10</f>
        <v>Projected Revenue - NA</v>
      </c>
      <c r="T37" s="26"/>
      <c r="U37" s="27"/>
      <c r="V37" s="27"/>
      <c r="W37" s="27"/>
      <c r="X37" s="19"/>
      <c r="Y37" s="25" t="str">
        <f>Y10</f>
        <v>Projected Revenue - NA</v>
      </c>
      <c r="Z37" s="26"/>
      <c r="AA37" s="27"/>
      <c r="AB37" s="27"/>
      <c r="AC37" s="27"/>
      <c r="AD37" s="19"/>
      <c r="AE37" s="25" t="str">
        <f>AE10</f>
        <v>Projected Revenue - NA</v>
      </c>
      <c r="AF37" s="26"/>
      <c r="AG37" s="27"/>
      <c r="AH37" s="27"/>
      <c r="AI37" s="27"/>
      <c r="AJ37" s="19"/>
      <c r="AK37" s="54"/>
      <c r="AL37" s="54"/>
      <c r="AM37" s="55"/>
      <c r="AN37" s="55"/>
      <c r="AO37" s="55"/>
      <c r="AQ37" s="54"/>
      <c r="AR37" s="54"/>
      <c r="AS37" s="55"/>
      <c r="AT37" s="55"/>
      <c r="AU37" s="55"/>
    </row>
    <row r="38" spans="1:48" x14ac:dyDescent="0.25">
      <c r="A38" s="22" t="str">
        <f>+A11</f>
        <v>August - September 2020 with adjustment factor</v>
      </c>
      <c r="B38" s="31"/>
      <c r="C38" s="73">
        <f>SUM('Calcs revised method'!D38:E38)</f>
        <v>6910.68</v>
      </c>
      <c r="D38" s="29">
        <f>+J39</f>
        <v>-0.88</v>
      </c>
      <c r="E38" s="28">
        <f>D38*C38</f>
        <v>-6081.3984</v>
      </c>
      <c r="F38" s="19"/>
      <c r="G38" s="22" t="str">
        <f>+G11</f>
        <v>February - March 2020 with adjustment factor</v>
      </c>
      <c r="H38" s="31"/>
      <c r="I38" s="73">
        <v>7098</v>
      </c>
      <c r="J38" s="29">
        <f>+P39</f>
        <v>-0.38799076212471129</v>
      </c>
      <c r="K38" s="28">
        <f>J38*I38</f>
        <v>-2753.9584295612008</v>
      </c>
      <c r="L38" s="19"/>
      <c r="M38" s="22" t="s">
        <v>55</v>
      </c>
      <c r="N38" s="31"/>
      <c r="O38" s="73">
        <v>6651</v>
      </c>
      <c r="P38" s="29">
        <f>+P11/4.33</f>
        <v>-0.33949191685912239</v>
      </c>
      <c r="Q38" s="28">
        <f>P38*O38</f>
        <v>-2257.960739030023</v>
      </c>
      <c r="R38" s="19"/>
      <c r="S38" s="22" t="str">
        <f>S11</f>
        <v>Feb - Mar 2019 with adjustment factor</v>
      </c>
      <c r="T38" s="31"/>
      <c r="U38" s="73"/>
      <c r="V38" s="29">
        <v>0</v>
      </c>
      <c r="W38" s="28">
        <f>V38*U38</f>
        <v>0</v>
      </c>
      <c r="X38" s="19"/>
      <c r="Y38" s="22" t="str">
        <f>Y11</f>
        <v>Oct - Dec 2018 with adjustment factor</v>
      </c>
      <c r="Z38" s="31"/>
      <c r="AA38" s="73"/>
      <c r="AB38" s="29">
        <v>0</v>
      </c>
      <c r="AC38" s="28">
        <f>AB38*AA38</f>
        <v>0</v>
      </c>
      <c r="AD38" s="19"/>
      <c r="AE38" s="22" t="str">
        <f>AE11</f>
        <v>Jul-Jun projected value without adjustment factor</v>
      </c>
      <c r="AF38" s="31"/>
      <c r="AG38" s="73"/>
      <c r="AH38" s="29">
        <v>0</v>
      </c>
      <c r="AI38" s="28">
        <f>AH38*AG38</f>
        <v>0</v>
      </c>
      <c r="AJ38" s="19"/>
      <c r="AL38" s="59"/>
      <c r="AM38" s="56"/>
      <c r="AN38" s="57"/>
      <c r="AO38" s="56"/>
      <c r="AR38" s="59"/>
      <c r="AS38" s="56"/>
      <c r="AT38" s="57"/>
      <c r="AU38" s="56"/>
    </row>
    <row r="39" spans="1:48" ht="15" x14ac:dyDescent="0.4">
      <c r="A39" s="30" t="str">
        <f>+A12</f>
        <v>October 2020 - July 2021 with adjustment factor</v>
      </c>
      <c r="B39" s="31"/>
      <c r="C39" s="74">
        <f>SUM('Calcs revised method'!F38:O38)</f>
        <v>33830.29</v>
      </c>
      <c r="D39" s="29">
        <f>+L52</f>
        <v>-0.81</v>
      </c>
      <c r="E39" s="28">
        <f>D39*C39</f>
        <v>-27402.534900000002</v>
      </c>
      <c r="F39" s="19"/>
      <c r="G39" s="30" t="str">
        <f>+G12</f>
        <v>April - July 2020 with adjustment factor</v>
      </c>
      <c r="H39" s="31"/>
      <c r="I39" s="74">
        <v>13732</v>
      </c>
      <c r="J39" s="29">
        <f>+R52</f>
        <v>-0.88</v>
      </c>
      <c r="K39" s="28">
        <f>J39*I39</f>
        <v>-12084.16</v>
      </c>
      <c r="L39" s="19"/>
      <c r="M39" s="30" t="s">
        <v>56</v>
      </c>
      <c r="N39" s="31"/>
      <c r="O39" s="74">
        <v>13302</v>
      </c>
      <c r="P39" s="29">
        <f>+P12/4.33</f>
        <v>-0.38799076212471129</v>
      </c>
      <c r="Q39" s="28">
        <f>P39*O39</f>
        <v>-5161.0531177829098</v>
      </c>
      <c r="R39" s="19"/>
      <c r="S39" s="30"/>
      <c r="T39" s="31"/>
      <c r="U39" s="74">
        <v>0</v>
      </c>
      <c r="V39" s="29">
        <v>0</v>
      </c>
      <c r="W39" s="28">
        <f>V39*U39</f>
        <v>0</v>
      </c>
      <c r="X39" s="19"/>
      <c r="Y39" s="30"/>
      <c r="Z39" s="31"/>
      <c r="AA39" s="74">
        <v>0</v>
      </c>
      <c r="AB39" s="29">
        <v>0</v>
      </c>
      <c r="AC39" s="28">
        <f>AB39*AA39</f>
        <v>0</v>
      </c>
      <c r="AD39" s="19"/>
      <c r="AE39" s="30"/>
      <c r="AF39" s="31"/>
      <c r="AG39" s="74">
        <v>0</v>
      </c>
      <c r="AH39" s="29">
        <v>0</v>
      </c>
      <c r="AI39" s="28">
        <f>AH39*AG39</f>
        <v>0</v>
      </c>
      <c r="AJ39" s="19"/>
      <c r="AK39" s="58"/>
      <c r="AL39" s="59"/>
      <c r="AM39" s="60"/>
      <c r="AN39" s="57"/>
      <c r="AO39" s="60"/>
      <c r="AQ39" s="58"/>
      <c r="AR39" s="59"/>
      <c r="AS39" s="60"/>
      <c r="AT39" s="57"/>
      <c r="AU39" s="60"/>
    </row>
    <row r="40" spans="1:48" x14ac:dyDescent="0.25">
      <c r="A40" s="22" t="s">
        <v>10</v>
      </c>
      <c r="B40" s="18"/>
      <c r="C40" s="28">
        <f>SUM(C38:C39)</f>
        <v>40740.97</v>
      </c>
      <c r="D40" s="28"/>
      <c r="E40" s="28">
        <f>SUM(E38:E39)</f>
        <v>-33483.933300000004</v>
      </c>
      <c r="F40" s="19"/>
      <c r="G40" s="22" t="s">
        <v>10</v>
      </c>
      <c r="H40" s="18"/>
      <c r="I40" s="28">
        <f>SUM(I38:I39)</f>
        <v>20830</v>
      </c>
      <c r="J40" s="28"/>
      <c r="K40" s="28">
        <f>SUM(K38:K39)</f>
        <v>-14838.1184295612</v>
      </c>
      <c r="L40" s="19"/>
      <c r="M40" s="22" t="s">
        <v>10</v>
      </c>
      <c r="N40" s="18"/>
      <c r="O40" s="28">
        <f>SUM(O38:O39)</f>
        <v>19953</v>
      </c>
      <c r="P40" s="28"/>
      <c r="Q40" s="28">
        <f>SUM(Q38:Q39)</f>
        <v>-7419.0138568129332</v>
      </c>
      <c r="R40" s="19"/>
      <c r="S40" s="22" t="s">
        <v>10</v>
      </c>
      <c r="T40" s="18"/>
      <c r="U40" s="28">
        <f>SUM(U38:U39)</f>
        <v>0</v>
      </c>
      <c r="V40" s="28"/>
      <c r="W40" s="28">
        <f>SUM(W38:W39)</f>
        <v>0</v>
      </c>
      <c r="X40" s="19"/>
      <c r="Y40" s="22" t="s">
        <v>10</v>
      </c>
      <c r="Z40" s="18"/>
      <c r="AA40" s="28">
        <f>SUM(AA38:AA39)</f>
        <v>0</v>
      </c>
      <c r="AB40" s="28"/>
      <c r="AC40" s="28">
        <f>SUM(AC38:AC39)</f>
        <v>0</v>
      </c>
      <c r="AD40" s="19"/>
      <c r="AE40" s="22" t="s">
        <v>10</v>
      </c>
      <c r="AF40" s="18"/>
      <c r="AG40" s="28">
        <f>SUM(AG38:AG39)</f>
        <v>0</v>
      </c>
      <c r="AH40" s="28"/>
      <c r="AI40" s="28">
        <f>SUM(AI38:AI39)</f>
        <v>0</v>
      </c>
      <c r="AJ40" s="19"/>
      <c r="AM40" s="56"/>
      <c r="AO40" s="56"/>
      <c r="AS40" s="56"/>
      <c r="AU40" s="56"/>
    </row>
    <row r="41" spans="1:48" x14ac:dyDescent="0.25">
      <c r="A41" s="22"/>
      <c r="B41" s="18"/>
      <c r="C41" s="28"/>
      <c r="D41" s="18"/>
      <c r="E41" s="18"/>
      <c r="F41" s="19"/>
      <c r="G41" s="22"/>
      <c r="H41" s="18"/>
      <c r="I41" s="28"/>
      <c r="J41" s="18"/>
      <c r="K41" s="18"/>
      <c r="L41" s="19"/>
      <c r="M41" s="22"/>
      <c r="N41" s="18"/>
      <c r="O41" s="18"/>
      <c r="P41" s="18"/>
      <c r="Q41" s="18"/>
      <c r="R41" s="19"/>
      <c r="S41" s="22"/>
      <c r="T41" s="18"/>
      <c r="U41" s="18"/>
      <c r="V41" s="18"/>
      <c r="W41" s="18"/>
      <c r="X41" s="19"/>
      <c r="Y41" s="22"/>
      <c r="Z41" s="18"/>
      <c r="AA41" s="18"/>
      <c r="AB41" s="18"/>
      <c r="AC41" s="18"/>
      <c r="AD41" s="19"/>
      <c r="AE41" s="22"/>
      <c r="AF41" s="18"/>
      <c r="AG41" s="18"/>
      <c r="AH41" s="18"/>
      <c r="AI41" s="18"/>
      <c r="AJ41" s="19"/>
    </row>
    <row r="42" spans="1:48" x14ac:dyDescent="0.25">
      <c r="A42" s="22" t="str">
        <f>+A15</f>
        <v>Actual Commodity Revenue August 2020 -July 2021</v>
      </c>
      <c r="B42" s="18"/>
      <c r="C42" s="18"/>
      <c r="D42" s="18"/>
      <c r="E42" s="73">
        <f>SUM('Calcs revised method'!D48:O48)</f>
        <v>-26908.079999999998</v>
      </c>
      <c r="F42" s="19"/>
      <c r="G42" s="22" t="str">
        <f>+G15</f>
        <v>Actual Commodity Revenue February 2020 - July 2020</v>
      </c>
      <c r="H42" s="18"/>
      <c r="I42" s="18"/>
      <c r="J42" s="18"/>
      <c r="K42" s="73">
        <v>-16370</v>
      </c>
      <c r="L42" s="19"/>
      <c r="M42" s="22" t="str">
        <f>+M15</f>
        <v>Actual Commodity Revenue August 2019-February 2020</v>
      </c>
      <c r="N42" s="18"/>
      <c r="O42" s="18"/>
      <c r="P42" s="18"/>
      <c r="Q42" s="73">
        <v>-17478</v>
      </c>
      <c r="R42" s="19"/>
      <c r="S42" s="22" t="s">
        <v>13</v>
      </c>
      <c r="T42" s="18"/>
      <c r="U42" s="18"/>
      <c r="V42" s="18"/>
      <c r="W42" s="73"/>
      <c r="X42" s="19"/>
      <c r="Y42" s="22" t="s">
        <v>13</v>
      </c>
      <c r="Z42" s="18"/>
      <c r="AA42" s="18"/>
      <c r="AB42" s="18"/>
      <c r="AC42" s="73"/>
      <c r="AD42" s="19"/>
      <c r="AE42" s="22" t="s">
        <v>13</v>
      </c>
      <c r="AF42" s="18"/>
      <c r="AG42" s="18"/>
      <c r="AH42" s="18"/>
      <c r="AI42" s="73"/>
      <c r="AJ42" s="19"/>
      <c r="AO42" s="56"/>
      <c r="AU42" s="56"/>
    </row>
    <row r="43" spans="1:48" x14ac:dyDescent="0.25">
      <c r="A43" s="22"/>
      <c r="B43" s="18"/>
      <c r="C43" s="18"/>
      <c r="D43" s="18"/>
      <c r="E43" s="18"/>
      <c r="F43" s="19"/>
      <c r="G43" s="22"/>
      <c r="H43" s="18"/>
      <c r="I43" s="18"/>
      <c r="J43" s="18"/>
      <c r="K43" s="18"/>
      <c r="L43" s="19"/>
      <c r="M43" s="22"/>
      <c r="N43" s="18"/>
      <c r="O43" s="18"/>
      <c r="P43" s="18"/>
      <c r="Q43" s="18"/>
      <c r="R43" s="19"/>
      <c r="S43" s="22"/>
      <c r="T43" s="18"/>
      <c r="U43" s="18"/>
      <c r="V43" s="18"/>
      <c r="W43" s="18"/>
      <c r="X43" s="19"/>
      <c r="Y43" s="22"/>
      <c r="Z43" s="18"/>
      <c r="AA43" s="18"/>
      <c r="AB43" s="18"/>
      <c r="AC43" s="18"/>
      <c r="AD43" s="19"/>
      <c r="AE43" s="22"/>
      <c r="AF43" s="18"/>
      <c r="AG43" s="18"/>
      <c r="AH43" s="18"/>
      <c r="AI43" s="18"/>
      <c r="AJ43" s="19"/>
    </row>
    <row r="44" spans="1:48" x14ac:dyDescent="0.25">
      <c r="A44" s="22" t="s">
        <v>14</v>
      </c>
      <c r="B44" s="18"/>
      <c r="C44" s="18"/>
      <c r="D44" s="18"/>
      <c r="E44" s="28">
        <f>E42-E40</f>
        <v>6575.8533000000061</v>
      </c>
      <c r="F44" s="19"/>
      <c r="G44" s="22" t="s">
        <v>14</v>
      </c>
      <c r="H44" s="18"/>
      <c r="I44" s="18"/>
      <c r="J44" s="18"/>
      <c r="K44" s="28">
        <f>K42-K40</f>
        <v>-1531.8815704387998</v>
      </c>
      <c r="L44" s="19"/>
      <c r="M44" s="22" t="s">
        <v>14</v>
      </c>
      <c r="N44" s="18"/>
      <c r="O44" s="18"/>
      <c r="P44" s="18"/>
      <c r="Q44" s="28">
        <f>Q42-Q40</f>
        <v>-10058.986143187067</v>
      </c>
      <c r="R44" s="19"/>
      <c r="S44" s="22" t="s">
        <v>14</v>
      </c>
      <c r="T44" s="18"/>
      <c r="U44" s="18"/>
      <c r="V44" s="18"/>
      <c r="W44" s="28">
        <f>W42-W40</f>
        <v>0</v>
      </c>
      <c r="X44" s="19"/>
      <c r="Y44" s="22" t="s">
        <v>14</v>
      </c>
      <c r="Z44" s="18"/>
      <c r="AA44" s="18"/>
      <c r="AB44" s="18"/>
      <c r="AC44" s="28">
        <f>AC42-AC40</f>
        <v>0</v>
      </c>
      <c r="AD44" s="19"/>
      <c r="AE44" s="22" t="s">
        <v>14</v>
      </c>
      <c r="AF44" s="18"/>
      <c r="AG44" s="18"/>
      <c r="AH44" s="18"/>
      <c r="AI44" s="28">
        <f>AI42-AI40</f>
        <v>0</v>
      </c>
      <c r="AJ44" s="19"/>
      <c r="AO44" s="56"/>
      <c r="AU44" s="56"/>
    </row>
    <row r="45" spans="1:48" x14ac:dyDescent="0.25">
      <c r="A45" s="22"/>
      <c r="B45" s="18"/>
      <c r="C45" s="18"/>
      <c r="D45" s="18"/>
      <c r="E45" s="18"/>
      <c r="F45" s="19"/>
      <c r="G45" s="22"/>
      <c r="H45" s="18"/>
      <c r="I45" s="18"/>
      <c r="J45" s="18"/>
      <c r="K45" s="18"/>
      <c r="L45" s="19"/>
      <c r="M45" s="22"/>
      <c r="N45" s="18"/>
      <c r="O45" s="18"/>
      <c r="P45" s="18"/>
      <c r="Q45" s="18"/>
      <c r="R45" s="19"/>
      <c r="S45" s="22"/>
      <c r="T45" s="18"/>
      <c r="U45" s="18"/>
      <c r="V45" s="18"/>
      <c r="W45" s="18"/>
      <c r="X45" s="19"/>
      <c r="Y45" s="22"/>
      <c r="Z45" s="18"/>
      <c r="AA45" s="18"/>
      <c r="AB45" s="18"/>
      <c r="AC45" s="18"/>
      <c r="AD45" s="19"/>
      <c r="AE45" s="22"/>
      <c r="AF45" s="18"/>
      <c r="AG45" s="18"/>
      <c r="AH45" s="18"/>
      <c r="AI45" s="18"/>
      <c r="AJ45" s="19"/>
    </row>
    <row r="46" spans="1:48" x14ac:dyDescent="0.25">
      <c r="A46" s="22" t="s">
        <v>68</v>
      </c>
      <c r="B46" s="18"/>
      <c r="C46" s="18"/>
      <c r="D46" s="18"/>
      <c r="E46" s="28">
        <f>SUM('Calcs revised method'!D38:O38)</f>
        <v>40740.970000000008</v>
      </c>
      <c r="F46" s="19"/>
      <c r="G46" s="22" t="s">
        <v>68</v>
      </c>
      <c r="H46" s="18"/>
      <c r="I46" s="18"/>
      <c r="J46" s="18"/>
      <c r="K46" s="28">
        <v>41661</v>
      </c>
      <c r="L46" s="19"/>
      <c r="M46" s="22" t="s">
        <v>68</v>
      </c>
      <c r="N46" s="18"/>
      <c r="O46" s="18"/>
      <c r="P46" s="18"/>
      <c r="Q46" s="28">
        <f>+O40</f>
        <v>19953</v>
      </c>
      <c r="R46" s="19"/>
      <c r="S46" s="22" t="s">
        <v>15</v>
      </c>
      <c r="T46" s="18"/>
      <c r="U46" s="18"/>
      <c r="V46" s="18"/>
      <c r="W46" s="28">
        <f>+U40</f>
        <v>0</v>
      </c>
      <c r="X46" s="19"/>
      <c r="Y46" s="22" t="s">
        <v>15</v>
      </c>
      <c r="Z46" s="18"/>
      <c r="AA46" s="18"/>
      <c r="AB46" s="18"/>
      <c r="AC46" s="28">
        <f>+AA40</f>
        <v>0</v>
      </c>
      <c r="AD46" s="19"/>
      <c r="AE46" s="22" t="s">
        <v>15</v>
      </c>
      <c r="AF46" s="18"/>
      <c r="AG46" s="18"/>
      <c r="AH46" s="18"/>
      <c r="AI46" s="28">
        <f>+AG40</f>
        <v>0</v>
      </c>
      <c r="AJ46" s="19"/>
      <c r="AO46" s="56"/>
      <c r="AU46" s="56"/>
    </row>
    <row r="47" spans="1:48" x14ac:dyDescent="0.25">
      <c r="A47" s="22"/>
      <c r="B47" s="18"/>
      <c r="C47" s="18"/>
      <c r="D47" s="18"/>
      <c r="E47" s="18"/>
      <c r="F47" s="19"/>
      <c r="G47" s="22"/>
      <c r="H47" s="18"/>
      <c r="I47" s="18"/>
      <c r="J47" s="18"/>
      <c r="K47" s="18"/>
      <c r="L47" s="19"/>
      <c r="M47" s="22"/>
      <c r="N47" s="18"/>
      <c r="O47" s="18"/>
      <c r="P47" s="18"/>
      <c r="Q47" s="18"/>
      <c r="R47" s="19"/>
      <c r="S47" s="22"/>
      <c r="T47" s="18"/>
      <c r="U47" s="18"/>
      <c r="V47" s="18"/>
      <c r="W47" s="18"/>
      <c r="X47" s="19"/>
      <c r="Y47" s="22"/>
      <c r="Z47" s="18"/>
      <c r="AA47" s="18"/>
      <c r="AB47" s="18"/>
      <c r="AC47" s="18"/>
      <c r="AD47" s="19"/>
      <c r="AE47" s="22"/>
      <c r="AF47" s="18"/>
      <c r="AG47" s="18"/>
      <c r="AH47" s="18"/>
      <c r="AI47" s="18"/>
      <c r="AJ47" s="19"/>
    </row>
    <row r="48" spans="1:48" x14ac:dyDescent="0.25">
      <c r="A48" s="22" t="s">
        <v>16</v>
      </c>
      <c r="B48" s="18"/>
      <c r="C48" s="18"/>
      <c r="D48" s="18"/>
      <c r="E48" s="18"/>
      <c r="F48" s="39">
        <f>ROUND((E44/E46),2)</f>
        <v>0.16</v>
      </c>
      <c r="G48" s="22" t="s">
        <v>16</v>
      </c>
      <c r="H48" s="18"/>
      <c r="I48" s="18"/>
      <c r="J48" s="18"/>
      <c r="K48" s="18"/>
      <c r="L48" s="39">
        <f>ROUND((K44/K46),2)</f>
        <v>-0.04</v>
      </c>
      <c r="M48" s="22" t="s">
        <v>16</v>
      </c>
      <c r="N48" s="18"/>
      <c r="O48" s="18"/>
      <c r="P48" s="18"/>
      <c r="Q48" s="18"/>
      <c r="R48" s="39">
        <f>ROUND((Q44/Q46),2)</f>
        <v>-0.5</v>
      </c>
      <c r="S48" s="22" t="s">
        <v>16</v>
      </c>
      <c r="T48" s="18"/>
      <c r="U48" s="18"/>
      <c r="V48" s="18"/>
      <c r="W48" s="18"/>
      <c r="X48" s="39" t="e">
        <f>ROUND((W44/W46),2)</f>
        <v>#DIV/0!</v>
      </c>
      <c r="Y48" s="22" t="s">
        <v>16</v>
      </c>
      <c r="Z48" s="18"/>
      <c r="AA48" s="18"/>
      <c r="AB48" s="18"/>
      <c r="AC48" s="18"/>
      <c r="AD48" s="39" t="e">
        <f>ROUND((AC44/AC46),2)</f>
        <v>#DIV/0!</v>
      </c>
      <c r="AE48" s="22" t="s">
        <v>16</v>
      </c>
      <c r="AF48" s="18"/>
      <c r="AG48" s="18"/>
      <c r="AH48" s="18"/>
      <c r="AI48" s="18"/>
      <c r="AJ48" s="39" t="e">
        <f>ROUND((AI44/AI46),2)</f>
        <v>#DIV/0!</v>
      </c>
      <c r="AP48" s="68"/>
      <c r="AV48" s="68"/>
    </row>
    <row r="49" spans="1:48" x14ac:dyDescent="0.25">
      <c r="A49" s="22"/>
      <c r="B49" s="18"/>
      <c r="C49" s="18"/>
      <c r="D49" s="18"/>
      <c r="E49" s="28"/>
      <c r="F49" s="19"/>
      <c r="G49" s="22"/>
      <c r="H49" s="18"/>
      <c r="I49" s="18"/>
      <c r="J49" s="18"/>
      <c r="K49" s="28"/>
      <c r="L49" s="19"/>
      <c r="M49" s="22"/>
      <c r="N49" s="18"/>
      <c r="O49" s="18"/>
      <c r="P49" s="18"/>
      <c r="Q49" s="28"/>
      <c r="R49" s="19"/>
      <c r="S49" s="22"/>
      <c r="T49" s="18"/>
      <c r="U49" s="18"/>
      <c r="V49" s="18"/>
      <c r="W49" s="28"/>
      <c r="X49" s="19"/>
      <c r="Y49" s="22"/>
      <c r="Z49" s="18"/>
      <c r="AA49" s="18"/>
      <c r="AB49" s="18"/>
      <c r="AC49" s="28"/>
      <c r="AD49" s="19"/>
      <c r="AE49" s="22"/>
      <c r="AF49" s="18"/>
      <c r="AG49" s="18"/>
      <c r="AH49" s="18"/>
      <c r="AI49" s="28"/>
      <c r="AJ49" s="19"/>
      <c r="AO49" s="56"/>
      <c r="AU49" s="56"/>
    </row>
    <row r="50" spans="1:48" ht="16.8" x14ac:dyDescent="0.45">
      <c r="A50" s="86" t="str">
        <f>A23</f>
        <v>Projected Revenue October 2021 - September 2022</v>
      </c>
      <c r="B50" s="26"/>
      <c r="C50" s="18"/>
      <c r="D50" s="18"/>
      <c r="E50" s="87">
        <f>SUM('Calcs revised method'!D48:O48)</f>
        <v>-26908.079999999998</v>
      </c>
      <c r="F50" s="19"/>
      <c r="G50" s="86" t="str">
        <f>G23</f>
        <v>Projected Revenue October 2020 - September 2021</v>
      </c>
      <c r="H50" s="26"/>
      <c r="I50" s="18"/>
      <c r="J50" s="18"/>
      <c r="K50" s="87">
        <v>-33848</v>
      </c>
      <c r="L50" s="19"/>
      <c r="M50" s="86" t="str">
        <f>M23</f>
        <v>Projected Revenue April - September 2020</v>
      </c>
      <c r="N50" s="26"/>
      <c r="O50" s="18"/>
      <c r="P50" s="18"/>
      <c r="Q50" s="87">
        <f>+Q42</f>
        <v>-17478</v>
      </c>
      <c r="R50" s="19"/>
      <c r="S50" s="86" t="str">
        <f>S23</f>
        <v>Projected Revenue Oct 2019 - Mar 2020</v>
      </c>
      <c r="T50" s="26"/>
      <c r="U50" s="18"/>
      <c r="V50" s="18"/>
      <c r="W50" s="90"/>
      <c r="X50" s="19"/>
      <c r="Y50" s="86" t="str">
        <f>Y23</f>
        <v>Projected Revenue Apr 2019 - Sep 2019</v>
      </c>
      <c r="Z50" s="26"/>
      <c r="AA50" s="18"/>
      <c r="AB50" s="18"/>
      <c r="AC50" s="90"/>
      <c r="AD50" s="19"/>
      <c r="AE50" s="76" t="str">
        <f>AE23</f>
        <v>Projected Revenue Oct 2018 - Mar 2019</v>
      </c>
      <c r="AF50" s="26"/>
      <c r="AG50" s="18"/>
      <c r="AH50" s="18"/>
      <c r="AI50" s="75"/>
      <c r="AJ50" s="19"/>
      <c r="AK50" s="54"/>
      <c r="AL50" s="54"/>
      <c r="AO50" s="62"/>
      <c r="AQ50" s="54"/>
      <c r="AR50" s="54"/>
      <c r="AU50" s="62"/>
    </row>
    <row r="51" spans="1:48" x14ac:dyDescent="0.25">
      <c r="A51" s="22" t="s">
        <v>68</v>
      </c>
      <c r="B51" s="18"/>
      <c r="C51" s="18"/>
      <c r="D51" s="98"/>
      <c r="E51" s="28">
        <f>SUM('Calcs revised method'!D38:O38)</f>
        <v>40740.970000000008</v>
      </c>
      <c r="F51" s="19"/>
      <c r="G51" s="22" t="s">
        <v>68</v>
      </c>
      <c r="H51" s="18"/>
      <c r="I51" s="18"/>
      <c r="J51" s="98"/>
      <c r="K51" s="28">
        <v>41661</v>
      </c>
      <c r="L51" s="19"/>
      <c r="M51" s="22" t="s">
        <v>68</v>
      </c>
      <c r="N51" s="18"/>
      <c r="O51" s="18"/>
      <c r="P51" s="18"/>
      <c r="Q51" s="28">
        <f>Q46</f>
        <v>19953</v>
      </c>
      <c r="R51" s="19"/>
      <c r="S51" s="22" t="s">
        <v>15</v>
      </c>
      <c r="T51" s="18"/>
      <c r="U51" s="18"/>
      <c r="V51" s="18"/>
      <c r="W51" s="28">
        <f>W46</f>
        <v>0</v>
      </c>
      <c r="X51" s="19"/>
      <c r="Y51" s="22" t="s">
        <v>15</v>
      </c>
      <c r="Z51" s="18"/>
      <c r="AA51" s="18"/>
      <c r="AB51" s="18"/>
      <c r="AC51" s="28">
        <f>AC46</f>
        <v>0</v>
      </c>
      <c r="AD51" s="19"/>
      <c r="AE51" s="22" t="s">
        <v>15</v>
      </c>
      <c r="AF51" s="18"/>
      <c r="AG51" s="18"/>
      <c r="AH51" s="18"/>
      <c r="AI51" s="28">
        <f>AI46</f>
        <v>0</v>
      </c>
      <c r="AJ51" s="19"/>
      <c r="AO51" s="56"/>
      <c r="AU51" s="56"/>
    </row>
    <row r="52" spans="1:48" ht="15" x14ac:dyDescent="0.4">
      <c r="A52" s="22" t="s">
        <v>17</v>
      </c>
      <c r="B52" s="18"/>
      <c r="C52" s="18"/>
      <c r="D52" s="18"/>
      <c r="E52" s="18"/>
      <c r="F52" s="40">
        <f>ROUND((E50/E51),2)</f>
        <v>-0.66</v>
      </c>
      <c r="G52" s="22" t="s">
        <v>17</v>
      </c>
      <c r="H52" s="18"/>
      <c r="I52" s="18"/>
      <c r="J52" s="18"/>
      <c r="K52" s="18"/>
      <c r="L52" s="40">
        <f>ROUND((K50/K51),2)</f>
        <v>-0.81</v>
      </c>
      <c r="M52" s="22" t="s">
        <v>17</v>
      </c>
      <c r="N52" s="18"/>
      <c r="O52" s="18"/>
      <c r="P52" s="18"/>
      <c r="Q52" s="18"/>
      <c r="R52" s="40">
        <f>ROUND((Q50/Q51),2)</f>
        <v>-0.88</v>
      </c>
      <c r="S52" s="22" t="s">
        <v>17</v>
      </c>
      <c r="T52" s="18"/>
      <c r="U52" s="18"/>
      <c r="V52" s="18"/>
      <c r="W52" s="18"/>
      <c r="X52" s="40" t="e">
        <f>ROUND((W50/W51),2)</f>
        <v>#DIV/0!</v>
      </c>
      <c r="Y52" s="22" t="s">
        <v>17</v>
      </c>
      <c r="Z52" s="18"/>
      <c r="AA52" s="18"/>
      <c r="AB52" s="18"/>
      <c r="AC52" s="18"/>
      <c r="AD52" s="40" t="e">
        <f>ROUND((AC50/AC51),2)</f>
        <v>#DIV/0!</v>
      </c>
      <c r="AE52" s="22" t="s">
        <v>17</v>
      </c>
      <c r="AF52" s="18"/>
      <c r="AG52" s="18"/>
      <c r="AH52" s="18"/>
      <c r="AI52" s="18"/>
      <c r="AJ52" s="40" t="e">
        <f>ROUND((AI50/AI51),2)</f>
        <v>#DIV/0!</v>
      </c>
      <c r="AP52" s="64"/>
      <c r="AV52" s="64"/>
    </row>
    <row r="53" spans="1:48" x14ac:dyDescent="0.25">
      <c r="A53" s="22"/>
      <c r="B53" s="18"/>
      <c r="C53" s="18"/>
      <c r="D53" s="18"/>
      <c r="E53" s="18"/>
      <c r="F53" s="19"/>
      <c r="G53" s="22"/>
      <c r="H53" s="18"/>
      <c r="I53" s="18"/>
      <c r="J53" s="18"/>
      <c r="K53" s="18"/>
      <c r="L53" s="19"/>
      <c r="M53" s="22"/>
      <c r="N53" s="18"/>
      <c r="O53" s="18"/>
      <c r="P53" s="18"/>
      <c r="Q53" s="18"/>
      <c r="R53" s="19"/>
      <c r="S53" s="22"/>
      <c r="T53" s="18"/>
      <c r="U53" s="18"/>
      <c r="V53" s="18"/>
      <c r="W53" s="18"/>
      <c r="X53" s="19"/>
      <c r="Y53" s="22"/>
      <c r="Z53" s="18"/>
      <c r="AA53" s="18"/>
      <c r="AB53" s="18"/>
      <c r="AC53" s="18"/>
      <c r="AD53" s="19"/>
      <c r="AE53" s="22"/>
      <c r="AF53" s="18"/>
      <c r="AG53" s="18"/>
      <c r="AH53" s="18"/>
      <c r="AI53" s="18"/>
      <c r="AJ53" s="19"/>
    </row>
    <row r="54" spans="1:48" ht="16.8" thickBot="1" x14ac:dyDescent="0.45">
      <c r="A54" s="15" t="s">
        <v>62</v>
      </c>
      <c r="B54" s="16"/>
      <c r="C54" s="18"/>
      <c r="D54" s="18"/>
      <c r="E54" s="18"/>
      <c r="F54" s="35">
        <f>+F52+F48</f>
        <v>-0.5</v>
      </c>
      <c r="G54" s="15" t="s">
        <v>62</v>
      </c>
      <c r="H54" s="16"/>
      <c r="I54" s="18"/>
      <c r="J54" s="18"/>
      <c r="K54" s="18"/>
      <c r="L54" s="35">
        <f>+L52+L48</f>
        <v>-0.85000000000000009</v>
      </c>
      <c r="M54" s="15" t="s">
        <v>62</v>
      </c>
      <c r="N54" s="16"/>
      <c r="O54" s="18"/>
      <c r="P54" s="18"/>
      <c r="Q54" s="18"/>
      <c r="R54" s="35">
        <f>+R52+R48</f>
        <v>-1.38</v>
      </c>
      <c r="S54" s="15" t="s">
        <v>18</v>
      </c>
      <c r="T54" s="16"/>
      <c r="U54" s="18"/>
      <c r="V54" s="18"/>
      <c r="W54" s="18"/>
      <c r="X54" s="35" t="e">
        <f>+X52+X48</f>
        <v>#DIV/0!</v>
      </c>
      <c r="Y54" s="15" t="s">
        <v>18</v>
      </c>
      <c r="Z54" s="16"/>
      <c r="AA54" s="18"/>
      <c r="AB54" s="18"/>
      <c r="AC54" s="18"/>
      <c r="AD54" s="35" t="e">
        <f>+AD52+AD48</f>
        <v>#DIV/0!</v>
      </c>
      <c r="AE54" s="15" t="s">
        <v>18</v>
      </c>
      <c r="AF54" s="16"/>
      <c r="AG54" s="18"/>
      <c r="AH54" s="18"/>
      <c r="AI54" s="18"/>
      <c r="AJ54" s="35" t="e">
        <f>+AJ52+AJ48</f>
        <v>#DIV/0!</v>
      </c>
      <c r="AK54" s="47"/>
      <c r="AL54" s="47"/>
      <c r="AP54" s="65"/>
      <c r="AQ54" s="47"/>
      <c r="AR54" s="47"/>
      <c r="AV54" s="65"/>
    </row>
    <row r="55" spans="1:48" ht="16.8" thickTop="1" x14ac:dyDescent="0.4">
      <c r="A55" s="15"/>
      <c r="B55" s="16"/>
      <c r="C55" s="18"/>
      <c r="D55" s="18"/>
      <c r="E55" s="18"/>
      <c r="F55" s="41"/>
      <c r="G55" s="15"/>
      <c r="H55" s="16"/>
      <c r="I55" s="18"/>
      <c r="J55" s="18"/>
      <c r="K55" s="18"/>
      <c r="L55" s="41"/>
      <c r="M55" s="15"/>
      <c r="N55" s="16"/>
      <c r="O55" s="18"/>
      <c r="P55" s="18"/>
      <c r="Q55" s="18"/>
      <c r="R55" s="41"/>
      <c r="S55" s="15"/>
      <c r="T55" s="16"/>
      <c r="U55" s="18"/>
      <c r="V55" s="18"/>
      <c r="W55" s="18"/>
      <c r="X55" s="41"/>
      <c r="Y55" s="15"/>
      <c r="Z55" s="16"/>
      <c r="AA55" s="18"/>
      <c r="AB55" s="18"/>
      <c r="AC55" s="18"/>
      <c r="AD55" s="41"/>
      <c r="AE55" s="15"/>
      <c r="AF55" s="16"/>
      <c r="AG55" s="18"/>
      <c r="AH55" s="18"/>
      <c r="AI55" s="18"/>
      <c r="AJ55" s="41"/>
      <c r="AK55" s="47"/>
      <c r="AL55" s="47"/>
      <c r="AP55" s="65"/>
      <c r="AQ55" s="47"/>
      <c r="AR55" s="47"/>
      <c r="AT55" s="66"/>
      <c r="AV55" s="65"/>
    </row>
    <row r="56" spans="1:48" ht="15" x14ac:dyDescent="0.4">
      <c r="A56" s="30"/>
      <c r="B56" s="18"/>
      <c r="C56" s="18"/>
      <c r="D56" s="18"/>
      <c r="E56" s="18"/>
      <c r="F56" s="37"/>
      <c r="G56" s="30"/>
      <c r="H56" s="18"/>
      <c r="I56" s="18"/>
      <c r="J56" s="18"/>
      <c r="K56" s="18"/>
      <c r="L56" s="37"/>
      <c r="M56" s="30"/>
      <c r="N56" s="18"/>
      <c r="O56" s="18"/>
      <c r="P56" s="18"/>
      <c r="Q56" s="18"/>
      <c r="R56" s="37"/>
      <c r="S56" s="30"/>
      <c r="T56" s="18"/>
      <c r="U56" s="18"/>
      <c r="V56" s="18"/>
      <c r="W56" s="18"/>
      <c r="X56" s="37"/>
      <c r="Y56" s="30"/>
      <c r="Z56" s="18"/>
      <c r="AA56" s="18"/>
      <c r="AB56" s="18"/>
      <c r="AC56" s="18"/>
      <c r="AD56" s="37"/>
      <c r="AE56" s="30"/>
      <c r="AF56" s="18"/>
      <c r="AG56" s="18"/>
      <c r="AH56" s="18"/>
      <c r="AI56" s="18"/>
      <c r="AJ56" s="37"/>
    </row>
    <row r="57" spans="1:48" ht="13.8" thickBot="1" x14ac:dyDescent="0.3">
      <c r="A57" s="42"/>
      <c r="B57" s="43"/>
      <c r="C57" s="43"/>
      <c r="D57" s="43"/>
      <c r="E57" s="43"/>
      <c r="F57" s="44"/>
      <c r="G57" s="42"/>
      <c r="H57" s="43"/>
      <c r="I57" s="43"/>
      <c r="J57" s="43"/>
      <c r="K57" s="43"/>
      <c r="L57" s="44"/>
      <c r="M57" s="42"/>
      <c r="N57" s="43"/>
      <c r="O57" s="43"/>
      <c r="P57" s="43"/>
      <c r="Q57" s="43"/>
      <c r="R57" s="44"/>
      <c r="S57" s="42"/>
      <c r="T57" s="43"/>
      <c r="U57" s="43"/>
      <c r="V57" s="43"/>
      <c r="W57" s="43"/>
      <c r="X57" s="44"/>
      <c r="Y57" s="42"/>
      <c r="Z57" s="43"/>
      <c r="AA57" s="43"/>
      <c r="AB57" s="43"/>
      <c r="AC57" s="43"/>
      <c r="AD57" s="44"/>
      <c r="AE57" s="42"/>
      <c r="AF57" s="43"/>
      <c r="AG57" s="43"/>
      <c r="AH57" s="43"/>
      <c r="AI57" s="43"/>
      <c r="AJ57" s="44"/>
      <c r="AT57" s="66"/>
      <c r="AV57" s="69"/>
    </row>
  </sheetData>
  <mergeCells count="18">
    <mergeCell ref="M6:R6"/>
    <mergeCell ref="M33:R33"/>
    <mergeCell ref="A4:F4"/>
    <mergeCell ref="A6:F6"/>
    <mergeCell ref="A33:F33"/>
    <mergeCell ref="G4:L4"/>
    <mergeCell ref="G6:L6"/>
    <mergeCell ref="G33:L33"/>
    <mergeCell ref="M4:R4"/>
    <mergeCell ref="AE4:AJ4"/>
    <mergeCell ref="AE6:AJ6"/>
    <mergeCell ref="AE33:AJ33"/>
    <mergeCell ref="S4:X4"/>
    <mergeCell ref="S6:X6"/>
    <mergeCell ref="S33:X33"/>
    <mergeCell ref="Y4:AD4"/>
    <mergeCell ref="Y6:AD6"/>
    <mergeCell ref="Y33:AD33"/>
  </mergeCells>
  <phoneticPr fontId="7" type="noConversion"/>
  <pageMargins left="0.92" right="0.25" top="0.45" bottom="0.37" header="0.3" footer="0.3"/>
  <pageSetup scale="89" fitToWidth="0" orientation="portrait" horizontalDpi="300" verticalDpi="300" r:id="rId1"/>
  <colBreaks count="1" manualBreakCount="1"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3.5546875" style="100" customWidth="1"/>
    <col min="2" max="2" width="9.109375" style="100"/>
    <col min="3" max="5" width="12.6640625" style="100" customWidth="1"/>
    <col min="6" max="6" width="15.88671875" style="100" customWidth="1"/>
    <col min="7" max="7" width="11.88671875" style="100" bestFit="1" customWidth="1"/>
    <col min="8" max="8" width="10.6640625" style="100" bestFit="1" customWidth="1"/>
    <col min="9" max="9" width="12.33203125" style="100" customWidth="1"/>
    <col min="10" max="10" width="9.5546875" style="100" bestFit="1" customWidth="1"/>
    <col min="11" max="13" width="9.109375" style="100"/>
    <col min="14" max="14" width="12.109375" style="100" bestFit="1" customWidth="1"/>
    <col min="15" max="15" width="9.109375" style="100"/>
    <col min="16" max="16" width="12.6640625" style="100" bestFit="1" customWidth="1"/>
    <col min="17" max="17" width="12.6640625" style="100" customWidth="1"/>
    <col min="18" max="16384" width="9.109375" style="100"/>
  </cols>
  <sheetData>
    <row r="1" spans="1:24" ht="22.8" x14ac:dyDescent="0.4">
      <c r="A1" s="151" t="s">
        <v>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4" ht="17.399999999999999" x14ac:dyDescent="0.3">
      <c r="A2" s="152" t="s">
        <v>93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24" ht="15.6" x14ac:dyDescent="0.3">
      <c r="A3" s="153" t="s">
        <v>103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24" x14ac:dyDescent="0.3">
      <c r="A4" s="101"/>
      <c r="B4" s="101"/>
      <c r="C4" s="84"/>
      <c r="D4" s="101"/>
      <c r="E4" s="101"/>
    </row>
    <row r="5" spans="1:24" x14ac:dyDescent="0.3">
      <c r="A5" s="101"/>
      <c r="B5" s="101"/>
      <c r="C5" s="84"/>
      <c r="D5" s="101"/>
      <c r="E5" s="101"/>
    </row>
    <row r="6" spans="1:24" x14ac:dyDescent="0.3">
      <c r="A6" s="101"/>
      <c r="B6" s="101"/>
      <c r="C6" s="84"/>
      <c r="D6" s="101"/>
      <c r="E6" s="101"/>
      <c r="F6" s="101"/>
    </row>
    <row r="7" spans="1:24" x14ac:dyDescent="0.3">
      <c r="A7" s="101"/>
      <c r="B7" s="127"/>
      <c r="C7" s="101"/>
      <c r="D7" s="84"/>
      <c r="E7" s="101"/>
    </row>
    <row r="8" spans="1:24" ht="15.6" x14ac:dyDescent="0.3">
      <c r="B8" s="72" t="s">
        <v>1</v>
      </c>
      <c r="C8" s="72" t="s">
        <v>2</v>
      </c>
      <c r="D8" s="72" t="s">
        <v>3</v>
      </c>
      <c r="E8" s="72" t="s">
        <v>4</v>
      </c>
      <c r="F8" s="72" t="s">
        <v>4</v>
      </c>
      <c r="G8" s="154" t="s">
        <v>102</v>
      </c>
      <c r="H8" s="154"/>
      <c r="I8" s="154"/>
      <c r="K8" s="154" t="s">
        <v>74</v>
      </c>
      <c r="L8" s="154"/>
      <c r="M8" s="154"/>
    </row>
    <row r="9" spans="1:24" ht="16.2" thickBot="1" x14ac:dyDescent="0.35">
      <c r="B9" s="91"/>
      <c r="C9" s="91"/>
      <c r="D9" s="91"/>
      <c r="E9" s="91" t="s">
        <v>5</v>
      </c>
      <c r="F9" s="91"/>
      <c r="G9" s="100" t="s">
        <v>57</v>
      </c>
      <c r="H9" s="100" t="s">
        <v>58</v>
      </c>
      <c r="I9" s="100" t="s">
        <v>10</v>
      </c>
      <c r="K9" s="100" t="s">
        <v>57</v>
      </c>
      <c r="L9" s="100" t="s">
        <v>58</v>
      </c>
      <c r="M9" s="100" t="s">
        <v>10</v>
      </c>
    </row>
    <row r="10" spans="1:24" ht="16.2" thickTop="1" x14ac:dyDescent="0.3">
      <c r="B10" s="72"/>
      <c r="C10" s="71"/>
      <c r="D10" s="72"/>
      <c r="E10" s="141"/>
      <c r="F10" s="72"/>
    </row>
    <row r="11" spans="1:24" ht="15.6" x14ac:dyDescent="0.3">
      <c r="B11" s="132" t="s">
        <v>77</v>
      </c>
      <c r="C11" s="79">
        <v>186080</v>
      </c>
      <c r="D11" s="80">
        <f>ROUND(C11/2000,2)</f>
        <v>93.04</v>
      </c>
      <c r="E11" s="77">
        <f>F11/D11</f>
        <v>-113.87489251934652</v>
      </c>
      <c r="F11" s="77">
        <f>-7803.72-2791.2</f>
        <v>-10594.92</v>
      </c>
      <c r="G11" s="142">
        <f>ROUND(F11*('Commodity Debit'!E11/'Commodity Debit'!H11),2)</f>
        <v>-8144.01</v>
      </c>
      <c r="H11" s="142">
        <f>ROUND(F11*('Commodity Debit'!E26/'Commodity Debit'!H26),2)</f>
        <v>-2450.91</v>
      </c>
      <c r="I11" s="92">
        <f>+G11+H11</f>
        <v>-10594.92</v>
      </c>
      <c r="J11" s="79" t="str">
        <f>IF(I11=F11,"True","Error")</f>
        <v>True</v>
      </c>
      <c r="K11" s="80">
        <f>ROUND(D11*('Commodity Debit'!E11/'Commodity Debit'!H11),2)</f>
        <v>71.52</v>
      </c>
      <c r="L11" s="80">
        <f>ROUND(D11*('Commodity Debit'!E26/'Commodity Debit'!H26),2)</f>
        <v>21.52</v>
      </c>
      <c r="M11" s="88">
        <f>+K11+L11</f>
        <v>93.039999999999992</v>
      </c>
      <c r="N11" s="77" t="str">
        <f>IF(D11=M11,"True","Error")</f>
        <v>True</v>
      </c>
      <c r="Q11" s="142"/>
      <c r="S11" s="142"/>
      <c r="T11" s="143"/>
      <c r="U11" s="142"/>
      <c r="X11" s="143"/>
    </row>
    <row r="12" spans="1:24" ht="15.6" x14ac:dyDescent="0.3">
      <c r="B12" s="134" t="s">
        <v>78</v>
      </c>
      <c r="C12" s="79">
        <v>188840</v>
      </c>
      <c r="D12" s="80">
        <f t="shared" ref="D12:D22" si="0">ROUND(C12/2000,2)</f>
        <v>94.42</v>
      </c>
      <c r="E12" s="77">
        <f t="shared" ref="E12:E22" si="1">F12/D12</f>
        <v>-108.19455623808514</v>
      </c>
      <c r="F12" s="77">
        <f>-7383.13-2832.6</f>
        <v>-10215.73</v>
      </c>
      <c r="G12" s="142">
        <f>ROUND(F12*('Commodity Debit'!E12/'Commodity Debit'!H12),2)</f>
        <v>-7908.91</v>
      </c>
      <c r="H12" s="142">
        <f>ROUND(F12*('Commodity Debit'!E27/'Commodity Debit'!H27),2)</f>
        <v>-2306.8200000000002</v>
      </c>
      <c r="I12" s="92">
        <f t="shared" ref="I12:I18" si="2">+G12+H12</f>
        <v>-10215.73</v>
      </c>
      <c r="J12" s="79" t="str">
        <f t="shared" ref="J12:J22" si="3">IF(I12=F12,"True","Error")</f>
        <v>True</v>
      </c>
      <c r="K12" s="80">
        <f>ROUND(D12*('Commodity Debit'!E12/'Commodity Debit'!H12),2)</f>
        <v>73.099999999999994</v>
      </c>
      <c r="L12" s="80">
        <f>ROUND(D12*('Commodity Debit'!E27/'Commodity Debit'!H27),2)</f>
        <v>21.32</v>
      </c>
      <c r="M12" s="88">
        <f t="shared" ref="M12:M22" si="4">+K12+L12</f>
        <v>94.419999999999987</v>
      </c>
      <c r="N12" s="77" t="str">
        <f t="shared" ref="N12:N22" si="5">IF(D12=M12,"True","Error")</f>
        <v>True</v>
      </c>
      <c r="Q12" s="142"/>
      <c r="S12" s="142"/>
      <c r="T12" s="143"/>
      <c r="U12" s="142"/>
      <c r="X12" s="143"/>
    </row>
    <row r="13" spans="1:24" ht="15.6" x14ac:dyDescent="0.3">
      <c r="B13" s="134" t="s">
        <v>79</v>
      </c>
      <c r="C13" s="79">
        <v>174001</v>
      </c>
      <c r="D13" s="80">
        <f t="shared" si="0"/>
        <v>87</v>
      </c>
      <c r="E13" s="77">
        <f t="shared" si="1"/>
        <v>-74.947356321839081</v>
      </c>
      <c r="F13" s="77">
        <f>-6520.42</f>
        <v>-6520.42</v>
      </c>
      <c r="G13" s="142">
        <f>ROUND(F13*('Commodity Debit'!E13/'Commodity Debit'!H13),2)</f>
        <v>-4986.13</v>
      </c>
      <c r="H13" s="142">
        <f>ROUND(F13*('Commodity Debit'!E28/'Commodity Debit'!H28),2)</f>
        <v>-1534.29</v>
      </c>
      <c r="I13" s="92">
        <f t="shared" si="2"/>
        <v>-6520.42</v>
      </c>
      <c r="J13" s="79" t="str">
        <f t="shared" si="3"/>
        <v>True</v>
      </c>
      <c r="K13" s="80">
        <f>ROUND(D13*('Commodity Debit'!E13/'Commodity Debit'!H13),2)</f>
        <v>66.53</v>
      </c>
      <c r="L13" s="80">
        <f>ROUND(D13*('Commodity Debit'!E28/'Commodity Debit'!H28),2)</f>
        <v>20.47</v>
      </c>
      <c r="M13" s="88">
        <f t="shared" si="4"/>
        <v>87</v>
      </c>
      <c r="N13" s="77" t="str">
        <f t="shared" si="5"/>
        <v>True</v>
      </c>
      <c r="Q13" s="142"/>
      <c r="S13" s="142"/>
      <c r="T13" s="143"/>
      <c r="U13" s="142"/>
      <c r="X13" s="143"/>
    </row>
    <row r="14" spans="1:24" ht="15.6" x14ac:dyDescent="0.3">
      <c r="B14" s="134" t="s">
        <v>80</v>
      </c>
      <c r="C14" s="79">
        <v>184900</v>
      </c>
      <c r="D14" s="80">
        <f t="shared" si="0"/>
        <v>92.45</v>
      </c>
      <c r="E14" s="77">
        <f t="shared" si="1"/>
        <v>-166.3297998918334</v>
      </c>
      <c r="F14" s="77">
        <f>-12464.49-2912.7</f>
        <v>-15377.189999999999</v>
      </c>
      <c r="G14" s="142">
        <f>ROUND(F14*('Commodity Debit'!E14/'Commodity Debit'!H14),2)</f>
        <v>-11894.84</v>
      </c>
      <c r="H14" s="142">
        <f>ROUND(F14*('Commodity Debit'!E29/'Commodity Debit'!H29),2)</f>
        <v>-3482.35</v>
      </c>
      <c r="I14" s="92">
        <f t="shared" si="2"/>
        <v>-15377.19</v>
      </c>
      <c r="J14" s="79" t="str">
        <f t="shared" si="3"/>
        <v>True</v>
      </c>
      <c r="K14" s="80">
        <f>ROUND(D14*('Commodity Debit'!E14/'Commodity Debit'!H14),2)</f>
        <v>71.510000000000005</v>
      </c>
      <c r="L14" s="80">
        <f>ROUND(D14*('Commodity Debit'!E29/'Commodity Debit'!H29),2)</f>
        <v>20.94</v>
      </c>
      <c r="M14" s="88">
        <f t="shared" si="4"/>
        <v>92.45</v>
      </c>
      <c r="N14" s="77" t="str">
        <f t="shared" si="5"/>
        <v>True</v>
      </c>
      <c r="Q14" s="142"/>
      <c r="S14" s="142"/>
      <c r="T14" s="143"/>
      <c r="U14" s="142"/>
      <c r="X14" s="143"/>
    </row>
    <row r="15" spans="1:24" ht="15.6" x14ac:dyDescent="0.3">
      <c r="B15" s="134" t="s">
        <v>81</v>
      </c>
      <c r="C15" s="79">
        <v>222780</v>
      </c>
      <c r="D15" s="80">
        <f t="shared" si="0"/>
        <v>111.39</v>
      </c>
      <c r="E15" s="77">
        <f t="shared" si="1"/>
        <v>-61.794416015800337</v>
      </c>
      <c r="F15" s="77">
        <f>-3341.7-3541.58</f>
        <v>-6883.28</v>
      </c>
      <c r="G15" s="142">
        <f>ROUND(F15*('Commodity Debit'!E15/'Commodity Debit'!H15),2)</f>
        <v>-5300.14</v>
      </c>
      <c r="H15" s="142">
        <f>ROUND(F15*('Commodity Debit'!E30/'Commodity Debit'!H30),2)</f>
        <v>-1583.14</v>
      </c>
      <c r="I15" s="92">
        <f t="shared" si="2"/>
        <v>-6883.2800000000007</v>
      </c>
      <c r="J15" s="79" t="str">
        <f t="shared" si="3"/>
        <v>True</v>
      </c>
      <c r="K15" s="80">
        <f>ROUND(D15*('Commodity Debit'!E15/'Commodity Debit'!H15),2)</f>
        <v>85.77</v>
      </c>
      <c r="L15" s="80">
        <f>ROUND(D15*('Commodity Debit'!E30/'Commodity Debit'!H30),2)</f>
        <v>25.62</v>
      </c>
      <c r="M15" s="88">
        <f t="shared" si="4"/>
        <v>111.39</v>
      </c>
      <c r="N15" s="77" t="str">
        <f t="shared" si="5"/>
        <v>True</v>
      </c>
      <c r="Q15" s="142"/>
      <c r="S15" s="142"/>
      <c r="T15" s="143"/>
      <c r="U15" s="142"/>
      <c r="X15" s="143"/>
    </row>
    <row r="16" spans="1:24" ht="15.6" x14ac:dyDescent="0.3">
      <c r="B16" s="132" t="s">
        <v>82</v>
      </c>
      <c r="C16" s="79">
        <v>210400</v>
      </c>
      <c r="D16" s="80">
        <f t="shared" si="0"/>
        <v>105.2</v>
      </c>
      <c r="E16" s="77">
        <f t="shared" si="1"/>
        <v>-140.544391634981</v>
      </c>
      <c r="F16" s="77">
        <f>-3156-11629.27</f>
        <v>-14785.27</v>
      </c>
      <c r="G16" s="142">
        <f>ROUND(F16*('Commodity Debit'!E16/'Commodity Debit'!H16),2)</f>
        <v>-11457.65</v>
      </c>
      <c r="H16" s="142">
        <f>ROUND(F16*('Commodity Debit'!E31/'Commodity Debit'!H31),2)</f>
        <v>-3327.62</v>
      </c>
      <c r="I16" s="92">
        <f t="shared" si="2"/>
        <v>-14785.27</v>
      </c>
      <c r="J16" s="79" t="str">
        <f t="shared" si="3"/>
        <v>True</v>
      </c>
      <c r="K16" s="80">
        <f>ROUND(D16*('Commodity Debit'!E16/'Commodity Debit'!H16),2)</f>
        <v>81.52</v>
      </c>
      <c r="L16" s="80">
        <f>ROUND(D16*('Commodity Debit'!E31/'Commodity Debit'!H31),2)</f>
        <v>23.68</v>
      </c>
      <c r="M16" s="88">
        <f t="shared" si="4"/>
        <v>105.19999999999999</v>
      </c>
      <c r="N16" s="77" t="str">
        <f t="shared" si="5"/>
        <v>True</v>
      </c>
      <c r="Q16" s="142"/>
      <c r="S16" s="142"/>
      <c r="T16" s="143"/>
      <c r="U16" s="142"/>
      <c r="X16" s="143"/>
    </row>
    <row r="17" spans="1:24" ht="15.6" x14ac:dyDescent="0.3">
      <c r="B17" s="132" t="s">
        <v>83</v>
      </c>
      <c r="C17" s="79">
        <v>193680</v>
      </c>
      <c r="D17" s="80">
        <f t="shared" si="0"/>
        <v>96.84</v>
      </c>
      <c r="E17" s="77">
        <f t="shared" si="1"/>
        <v>-61.368649318463447</v>
      </c>
      <c r="F17" s="77">
        <f>-3173.16-2769.78</f>
        <v>-5942.9400000000005</v>
      </c>
      <c r="G17" s="142">
        <f>ROUND(F17*('Commodity Debit'!E17/'Commodity Debit'!H17),2)</f>
        <v>-4586.97</v>
      </c>
      <c r="H17" s="142">
        <f>ROUND(F17*('Commodity Debit'!E32/'Commodity Debit'!H32),2)</f>
        <v>-1355.97</v>
      </c>
      <c r="I17" s="132">
        <f t="shared" si="2"/>
        <v>-5942.9400000000005</v>
      </c>
      <c r="J17" s="79" t="str">
        <f t="shared" si="3"/>
        <v>True</v>
      </c>
      <c r="K17" s="80">
        <f>ROUND(D17*('Commodity Debit'!E17/'Commodity Debit'!H17),2)</f>
        <v>74.739999999999995</v>
      </c>
      <c r="L17" s="80">
        <f>ROUND(D17*('Commodity Debit'!E32/'Commodity Debit'!H32),2)</f>
        <v>22.1</v>
      </c>
      <c r="M17" s="88">
        <f t="shared" si="4"/>
        <v>96.84</v>
      </c>
      <c r="N17" s="77" t="str">
        <f t="shared" si="5"/>
        <v>True</v>
      </c>
      <c r="Q17" s="142"/>
      <c r="S17" s="142"/>
      <c r="T17" s="143"/>
      <c r="U17" s="142"/>
      <c r="X17" s="143"/>
    </row>
    <row r="18" spans="1:24" ht="15.6" x14ac:dyDescent="0.3">
      <c r="B18" s="132" t="s">
        <v>84</v>
      </c>
      <c r="C18" s="79">
        <v>206360</v>
      </c>
      <c r="D18" s="80">
        <f t="shared" si="0"/>
        <v>103.18</v>
      </c>
      <c r="E18" s="77">
        <f t="shared" si="1"/>
        <v>-170.03993021903469</v>
      </c>
      <c r="F18" s="77">
        <f>-3095.4-14449.32</f>
        <v>-17544.72</v>
      </c>
      <c r="G18" s="142">
        <f>ROUND(F18*('Commodity Debit'!E18/'Commodity Debit'!H18),2)</f>
        <v>-13543.69</v>
      </c>
      <c r="H18" s="142">
        <f>ROUND(F18*('Commodity Debit'!E33/'Commodity Debit'!H33),2)</f>
        <v>-4001.03</v>
      </c>
      <c r="I18" s="93">
        <f t="shared" si="2"/>
        <v>-17544.72</v>
      </c>
      <c r="J18" s="79" t="str">
        <f t="shared" si="3"/>
        <v>True</v>
      </c>
      <c r="K18" s="80">
        <f>ROUND(D18*('Commodity Debit'!E18/'Commodity Debit'!H18),2)</f>
        <v>79.650000000000006</v>
      </c>
      <c r="L18" s="80">
        <f>ROUND(D18*('Commodity Debit'!E33/'Commodity Debit'!H33),2)</f>
        <v>23.53</v>
      </c>
      <c r="M18" s="88">
        <f t="shared" si="4"/>
        <v>103.18</v>
      </c>
      <c r="N18" s="77" t="str">
        <f t="shared" si="5"/>
        <v>True</v>
      </c>
      <c r="Q18" s="142"/>
      <c r="S18" s="142"/>
      <c r="T18" s="143"/>
      <c r="U18" s="142"/>
      <c r="X18" s="143"/>
    </row>
    <row r="19" spans="1:24" ht="15.6" x14ac:dyDescent="0.3">
      <c r="B19" s="134" t="s">
        <v>85</v>
      </c>
      <c r="C19" s="79">
        <v>205580</v>
      </c>
      <c r="D19" s="80">
        <f t="shared" si="0"/>
        <v>102.79</v>
      </c>
      <c r="E19" s="77">
        <f>F19/D19</f>
        <v>-29.999999999999996</v>
      </c>
      <c r="F19" s="77">
        <f>-3083.7</f>
        <v>-3083.7</v>
      </c>
      <c r="G19" s="142">
        <f>ROUND(F19*('Commodity Debit'!E19/'Commodity Debit'!H19),2)</f>
        <v>-2383</v>
      </c>
      <c r="H19" s="142">
        <f>ROUND(F19*('Commodity Debit'!E34/'Commodity Debit'!H34),2)</f>
        <v>-700.7</v>
      </c>
      <c r="I19" s="93">
        <f>+G19+H19</f>
        <v>-3083.7</v>
      </c>
      <c r="J19" s="79" t="str">
        <f t="shared" si="3"/>
        <v>True</v>
      </c>
      <c r="K19" s="80">
        <f>ROUND(D19*('Commodity Debit'!E19/'Commodity Debit'!H19),2)</f>
        <v>79.430000000000007</v>
      </c>
      <c r="L19" s="80">
        <f>ROUND(D19*('Commodity Debit'!E34/'Commodity Debit'!H34),2)</f>
        <v>23.36</v>
      </c>
      <c r="M19" s="88">
        <f t="shared" si="4"/>
        <v>102.79</v>
      </c>
      <c r="N19" s="77" t="str">
        <f t="shared" si="5"/>
        <v>True</v>
      </c>
      <c r="Q19" s="142"/>
      <c r="S19" s="142"/>
      <c r="T19" s="143"/>
      <c r="U19" s="142"/>
      <c r="X19" s="143"/>
    </row>
    <row r="20" spans="1:24" ht="15.6" x14ac:dyDescent="0.3">
      <c r="B20" s="134" t="s">
        <v>86</v>
      </c>
      <c r="C20" s="79">
        <v>250560</v>
      </c>
      <c r="D20" s="80">
        <f t="shared" si="0"/>
        <v>125.28</v>
      </c>
      <c r="E20" s="77">
        <f t="shared" si="1"/>
        <v>-78.617975734355042</v>
      </c>
      <c r="F20" s="77">
        <f>-2630.7-7218.56</f>
        <v>-9849.26</v>
      </c>
      <c r="G20" s="142">
        <f>ROUND(F20*('Commodity Debit'!E20/'Commodity Debit'!H20),2)</f>
        <v>-7613.34</v>
      </c>
      <c r="H20" s="142">
        <f>ROUND(F20*('Commodity Debit'!E35/'Commodity Debit'!H35),2)</f>
        <v>-2235.92</v>
      </c>
      <c r="I20" s="93">
        <f t="shared" ref="I20:I22" si="6">+G20+H20</f>
        <v>-9849.26</v>
      </c>
      <c r="J20" s="79" t="str">
        <f t="shared" si="3"/>
        <v>True</v>
      </c>
      <c r="K20" s="80">
        <f>ROUND(D20*('Commodity Debit'!E20/'Commodity Debit'!H20),2)</f>
        <v>96.84</v>
      </c>
      <c r="L20" s="80">
        <f>ROUND(D20*('Commodity Debit'!E35/'Commodity Debit'!H35),2)</f>
        <v>28.44</v>
      </c>
      <c r="M20" s="88">
        <f t="shared" si="4"/>
        <v>125.28</v>
      </c>
      <c r="N20" s="77" t="str">
        <f t="shared" si="5"/>
        <v>True</v>
      </c>
      <c r="Q20" s="142"/>
      <c r="S20" s="142"/>
      <c r="T20" s="143"/>
      <c r="U20" s="142"/>
      <c r="X20" s="143"/>
    </row>
    <row r="21" spans="1:24" ht="15.6" x14ac:dyDescent="0.3">
      <c r="B21" s="134" t="s">
        <v>87</v>
      </c>
      <c r="C21" s="79">
        <v>195400</v>
      </c>
      <c r="D21" s="80">
        <f t="shared" si="0"/>
        <v>97.7</v>
      </c>
      <c r="E21" s="77">
        <f t="shared" si="1"/>
        <v>-88.462333674513815</v>
      </c>
      <c r="F21" s="77">
        <f>-2931-5711.77</f>
        <v>-8642.77</v>
      </c>
      <c r="G21" s="142">
        <f>ROUND(F21*('Commodity Debit'!E21/'Commodity Debit'!H21),2)</f>
        <v>-6690.51</v>
      </c>
      <c r="H21" s="142">
        <f>ROUND(F21*('Commodity Debit'!E36/'Commodity Debit'!H36),2)</f>
        <v>-1952.26</v>
      </c>
      <c r="I21" s="93">
        <f t="shared" si="6"/>
        <v>-8642.77</v>
      </c>
      <c r="J21" s="79" t="str">
        <f t="shared" si="3"/>
        <v>True</v>
      </c>
      <c r="K21" s="80">
        <f>ROUND(D21*('Commodity Debit'!E21/'Commodity Debit'!H21),2)</f>
        <v>75.63</v>
      </c>
      <c r="L21" s="80">
        <f>ROUND(D21*('Commodity Debit'!E36/'Commodity Debit'!H36),2)</f>
        <v>22.07</v>
      </c>
      <c r="M21" s="88">
        <f t="shared" si="4"/>
        <v>97.699999999999989</v>
      </c>
      <c r="N21" s="77" t="str">
        <f t="shared" si="5"/>
        <v>True</v>
      </c>
      <c r="Q21" s="142"/>
      <c r="S21" s="142"/>
      <c r="T21" s="143"/>
      <c r="U21" s="142"/>
      <c r="X21" s="143"/>
    </row>
    <row r="22" spans="1:24" ht="15.6" x14ac:dyDescent="0.3">
      <c r="B22" s="134" t="s">
        <v>88</v>
      </c>
      <c r="C22" s="79">
        <v>198560</v>
      </c>
      <c r="D22" s="80">
        <f t="shared" si="0"/>
        <v>99.28</v>
      </c>
      <c r="E22" s="77">
        <f t="shared" si="1"/>
        <v>-88.145245769540693</v>
      </c>
      <c r="F22" s="77">
        <f>-2978.4-5772.66</f>
        <v>-8751.06</v>
      </c>
      <c r="G22" s="142">
        <f>ROUND(F22*('Commodity Debit'!E22/'Commodity Debit'!H22),2)</f>
        <v>-6773.99</v>
      </c>
      <c r="H22" s="142">
        <f>ROUND(F22*('Commodity Debit'!E37/'Commodity Debit'!H37),2)</f>
        <v>-1977.07</v>
      </c>
      <c r="I22" s="93">
        <f t="shared" si="6"/>
        <v>-8751.06</v>
      </c>
      <c r="J22" s="79" t="str">
        <f t="shared" si="3"/>
        <v>True</v>
      </c>
      <c r="K22" s="80">
        <f>ROUND(D22*('Commodity Debit'!E22/'Commodity Debit'!H22),2)</f>
        <v>76.849999999999994</v>
      </c>
      <c r="L22" s="80">
        <f>ROUND(D22*('Commodity Debit'!E37/'Commodity Debit'!H37),2)</f>
        <v>22.43</v>
      </c>
      <c r="M22" s="88">
        <f t="shared" si="4"/>
        <v>99.28</v>
      </c>
      <c r="N22" s="77" t="str">
        <f t="shared" si="5"/>
        <v>True</v>
      </c>
      <c r="Q22" s="142"/>
      <c r="S22" s="142"/>
      <c r="T22" s="143"/>
      <c r="U22" s="142"/>
      <c r="X22" s="143"/>
    </row>
    <row r="23" spans="1:24" ht="15.6" x14ac:dyDescent="0.3">
      <c r="B23" s="132"/>
      <c r="C23" s="136"/>
      <c r="D23" s="136"/>
      <c r="E23" s="136"/>
      <c r="F23" s="136"/>
      <c r="J23" s="79"/>
      <c r="K23" s="79"/>
      <c r="L23" s="80"/>
      <c r="M23" s="77"/>
      <c r="N23" s="77"/>
    </row>
    <row r="24" spans="1:24" ht="16.2" thickBot="1" x14ac:dyDescent="0.35">
      <c r="B24" s="132"/>
      <c r="C24" s="160"/>
      <c r="D24" s="161"/>
      <c r="E24" s="162"/>
      <c r="F24" s="162"/>
      <c r="G24" s="158"/>
      <c r="H24" s="159"/>
      <c r="I24" s="92"/>
      <c r="K24" s="158"/>
      <c r="L24" s="158"/>
    </row>
    <row r="25" spans="1:24" ht="15.6" x14ac:dyDescent="0.3">
      <c r="A25" s="100" t="s">
        <v>7</v>
      </c>
      <c r="B25" s="72"/>
      <c r="C25" s="94">
        <f>SUM(C11:C22)</f>
        <v>2417141</v>
      </c>
      <c r="D25" s="95">
        <f>SUM(D11:D22)</f>
        <v>1208.57</v>
      </c>
      <c r="E25" s="71"/>
      <c r="F25" s="97">
        <f>SUM(F11:F22)</f>
        <v>-118191.26</v>
      </c>
      <c r="G25" s="142">
        <f>SUM(G11:G22)</f>
        <v>-91283.18</v>
      </c>
      <c r="H25" s="142">
        <f>SUM(H11:H22)</f>
        <v>-26908.079999999998</v>
      </c>
      <c r="K25" s="143">
        <f>SUM(K11:K24)</f>
        <v>933.09</v>
      </c>
      <c r="L25" s="143">
        <f>SUM(L11:L24)</f>
        <v>275.48</v>
      </c>
      <c r="R25" s="142"/>
      <c r="V25" s="143"/>
    </row>
    <row r="26" spans="1:24" ht="15.6" x14ac:dyDescent="0.3">
      <c r="B26" s="6"/>
      <c r="C26" s="8"/>
      <c r="D26" s="96" t="s">
        <v>0</v>
      </c>
      <c r="E26" s="72"/>
      <c r="F26" s="71"/>
      <c r="H26" s="142">
        <f>+H25+G25-F25</f>
        <v>0</v>
      </c>
      <c r="L26" s="143">
        <f>+L25+K25-D25</f>
        <v>0</v>
      </c>
    </row>
    <row r="27" spans="1:24" ht="15.6" x14ac:dyDescent="0.3">
      <c r="B27" s="6"/>
      <c r="C27" s="8"/>
      <c r="D27" s="96"/>
      <c r="E27" s="72"/>
      <c r="F27" s="97"/>
    </row>
    <row r="28" spans="1:24" ht="15.6" x14ac:dyDescent="0.3">
      <c r="B28" s="6"/>
      <c r="C28" s="8"/>
      <c r="D28" s="96"/>
      <c r="E28" s="72"/>
      <c r="F28" s="71"/>
    </row>
    <row r="29" spans="1:24" x14ac:dyDescent="0.3">
      <c r="D29" s="144"/>
    </row>
    <row r="30" spans="1:24" x14ac:dyDescent="0.3">
      <c r="D30" s="144"/>
    </row>
    <row r="31" spans="1:24" x14ac:dyDescent="0.3">
      <c r="D31" s="144"/>
    </row>
  </sheetData>
  <mergeCells count="5">
    <mergeCell ref="G8:I8"/>
    <mergeCell ref="K8:M8"/>
    <mergeCell ref="A1:N1"/>
    <mergeCell ref="A2:N2"/>
    <mergeCell ref="A3:N3"/>
  </mergeCells>
  <pageMargins left="0.75" right="0.75" top="1" bottom="1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16" zoomScaleNormal="100" workbookViewId="0">
      <selection activeCell="A2" sqref="A2:H2"/>
    </sheetView>
  </sheetViews>
  <sheetFormatPr defaultRowHeight="14.4" x14ac:dyDescent="0.3"/>
  <cols>
    <col min="1" max="1" width="3.33203125" style="124" customWidth="1"/>
    <col min="2" max="2" width="11.5546875" style="124" customWidth="1"/>
    <col min="3" max="3" width="16.44140625" style="124" customWidth="1"/>
    <col min="4" max="6" width="12.6640625" style="124" customWidth="1"/>
    <col min="7" max="7" width="12.6640625" style="124" bestFit="1" customWidth="1"/>
    <col min="8" max="8" width="10.33203125" style="124" bestFit="1" customWidth="1"/>
    <col min="9" max="16384" width="8.88671875" style="124"/>
  </cols>
  <sheetData>
    <row r="1" spans="1:8" ht="22.8" x14ac:dyDescent="0.4">
      <c r="A1" s="155" t="s">
        <v>21</v>
      </c>
      <c r="B1" s="155"/>
      <c r="C1" s="155"/>
      <c r="D1" s="155"/>
      <c r="E1" s="155"/>
      <c r="F1" s="155"/>
      <c r="G1" s="155"/>
      <c r="H1" s="155"/>
    </row>
    <row r="2" spans="1:8" ht="17.399999999999999" x14ac:dyDescent="0.3">
      <c r="A2" s="152" t="s">
        <v>92</v>
      </c>
      <c r="B2" s="152"/>
      <c r="C2" s="152"/>
      <c r="D2" s="152"/>
      <c r="E2" s="152"/>
      <c r="F2" s="152"/>
      <c r="G2" s="152"/>
      <c r="H2" s="152"/>
    </row>
    <row r="3" spans="1:8" ht="15.6" x14ac:dyDescent="0.3">
      <c r="A3" s="156"/>
      <c r="B3" s="156"/>
      <c r="C3" s="156"/>
      <c r="D3" s="156"/>
      <c r="E3" s="156"/>
      <c r="F3" s="156"/>
      <c r="G3" s="156"/>
    </row>
    <row r="4" spans="1:8" x14ac:dyDescent="0.3">
      <c r="A4" s="125"/>
      <c r="B4" s="125"/>
      <c r="C4" s="125"/>
      <c r="D4" s="126"/>
      <c r="E4" s="125"/>
      <c r="F4" s="125"/>
      <c r="G4" s="1"/>
    </row>
    <row r="5" spans="1:8" x14ac:dyDescent="0.3">
      <c r="A5" s="125"/>
      <c r="B5" s="125"/>
      <c r="C5" s="125"/>
      <c r="D5" s="127"/>
      <c r="E5" s="101"/>
      <c r="F5" s="101"/>
      <c r="G5" s="84"/>
    </row>
    <row r="6" spans="1:8" x14ac:dyDescent="0.3">
      <c r="A6" s="125"/>
      <c r="B6" s="125"/>
      <c r="C6" s="125"/>
      <c r="D6" s="126"/>
      <c r="E6" s="125"/>
      <c r="F6" s="125"/>
      <c r="G6" s="1"/>
    </row>
    <row r="7" spans="1:8" ht="15" customHeight="1" x14ac:dyDescent="0.3">
      <c r="A7" s="125"/>
      <c r="B7" s="125"/>
      <c r="C7" s="125"/>
      <c r="D7" s="126"/>
      <c r="E7" s="125"/>
      <c r="F7" s="125"/>
      <c r="G7" s="1"/>
    </row>
    <row r="8" spans="1:8" ht="15.6" x14ac:dyDescent="0.3">
      <c r="B8" s="2" t="s">
        <v>23</v>
      </c>
      <c r="C8" s="2" t="s">
        <v>89</v>
      </c>
      <c r="D8" s="3" t="s">
        <v>90</v>
      </c>
      <c r="E8" s="2" t="s">
        <v>28</v>
      </c>
      <c r="F8" s="2" t="s">
        <v>66</v>
      </c>
      <c r="G8" s="2" t="s">
        <v>64</v>
      </c>
      <c r="H8" s="2" t="s">
        <v>10</v>
      </c>
    </row>
    <row r="9" spans="1:8" ht="16.2" thickBot="1" x14ac:dyDescent="0.35">
      <c r="B9" s="128"/>
      <c r="C9" s="128"/>
      <c r="D9" s="4" t="s">
        <v>91</v>
      </c>
      <c r="E9" s="128" t="s">
        <v>63</v>
      </c>
      <c r="F9" s="128" t="s">
        <v>63</v>
      </c>
      <c r="G9" s="128"/>
      <c r="H9" s="128" t="s">
        <v>101</v>
      </c>
    </row>
    <row r="10" spans="1:8" ht="16.2" thickTop="1" x14ac:dyDescent="0.3">
      <c r="B10" s="2"/>
      <c r="C10" s="2"/>
      <c r="D10" s="129"/>
      <c r="E10" s="129"/>
      <c r="F10" s="129"/>
      <c r="G10" s="130"/>
    </row>
    <row r="11" spans="1:8" ht="15.6" x14ac:dyDescent="0.3">
      <c r="B11" s="131" t="s">
        <v>8</v>
      </c>
      <c r="C11" s="132" t="s">
        <v>77</v>
      </c>
      <c r="D11" s="81">
        <v>5238</v>
      </c>
      <c r="E11" s="81">
        <f>+D11*2.17</f>
        <v>11366.46</v>
      </c>
      <c r="F11" s="81"/>
      <c r="G11" s="70" t="s">
        <v>67</v>
      </c>
      <c r="H11" s="133">
        <f>ROUND(E11+E26,2)</f>
        <v>14787.16</v>
      </c>
    </row>
    <row r="12" spans="1:8" ht="15.6" x14ac:dyDescent="0.3">
      <c r="C12" s="134" t="s">
        <v>78</v>
      </c>
      <c r="D12" s="81">
        <v>5514</v>
      </c>
      <c r="E12" s="81">
        <f t="shared" ref="E12:E22" si="0">+D12*2.17</f>
        <v>11965.38</v>
      </c>
      <c r="G12" s="70" t="s">
        <v>67</v>
      </c>
      <c r="H12" s="133">
        <f t="shared" ref="H12:H22" si="1">ROUND(E12+E27,2)</f>
        <v>15455.36</v>
      </c>
    </row>
    <row r="13" spans="1:8" ht="15.6" x14ac:dyDescent="0.3">
      <c r="C13" s="134" t="s">
        <v>79</v>
      </c>
      <c r="D13" s="81">
        <v>5272</v>
      </c>
      <c r="E13" s="81">
        <f t="shared" si="0"/>
        <v>11440.24</v>
      </c>
      <c r="G13" s="70" t="s">
        <v>67</v>
      </c>
      <c r="H13" s="133">
        <f t="shared" si="1"/>
        <v>14960.53</v>
      </c>
    </row>
    <row r="14" spans="1:8" ht="15.6" x14ac:dyDescent="0.3">
      <c r="C14" s="134" t="s">
        <v>80</v>
      </c>
      <c r="D14" s="81">
        <v>5364</v>
      </c>
      <c r="E14" s="81">
        <f t="shared" si="0"/>
        <v>11639.88</v>
      </c>
      <c r="G14" s="70" t="s">
        <v>67</v>
      </c>
      <c r="H14" s="133">
        <f t="shared" si="1"/>
        <v>15047.59</v>
      </c>
    </row>
    <row r="15" spans="1:8" ht="15.6" x14ac:dyDescent="0.3">
      <c r="B15" s="2"/>
      <c r="C15" s="134" t="s">
        <v>81</v>
      </c>
      <c r="D15" s="81">
        <v>5224</v>
      </c>
      <c r="E15" s="81">
        <f t="shared" si="0"/>
        <v>11336.08</v>
      </c>
      <c r="F15" s="7"/>
      <c r="G15" s="70" t="s">
        <v>67</v>
      </c>
      <c r="H15" s="133">
        <f t="shared" si="1"/>
        <v>14722.14</v>
      </c>
    </row>
    <row r="16" spans="1:8" ht="15.6" x14ac:dyDescent="0.3">
      <c r="B16" s="135"/>
      <c r="C16" s="132" t="s">
        <v>82</v>
      </c>
      <c r="D16" s="81">
        <v>5359</v>
      </c>
      <c r="E16" s="81">
        <f t="shared" si="0"/>
        <v>11629.029999999999</v>
      </c>
      <c r="F16" s="7"/>
      <c r="G16" s="70" t="s">
        <v>67</v>
      </c>
      <c r="H16" s="133">
        <f t="shared" si="1"/>
        <v>15006.43</v>
      </c>
    </row>
    <row r="17" spans="2:8" ht="15.6" x14ac:dyDescent="0.3">
      <c r="C17" s="132" t="s">
        <v>83</v>
      </c>
      <c r="D17" s="81">
        <v>5265</v>
      </c>
      <c r="E17" s="81">
        <f t="shared" si="0"/>
        <v>11425.05</v>
      </c>
      <c r="F17" s="136"/>
      <c r="G17" s="70" t="s">
        <v>67</v>
      </c>
      <c r="H17" s="133">
        <f t="shared" si="1"/>
        <v>14802.45</v>
      </c>
    </row>
    <row r="18" spans="2:8" ht="15.6" x14ac:dyDescent="0.3">
      <c r="C18" s="132" t="s">
        <v>84</v>
      </c>
      <c r="D18" s="81">
        <v>5255</v>
      </c>
      <c r="E18" s="81">
        <f t="shared" si="0"/>
        <v>11403.35</v>
      </c>
      <c r="F18" s="137"/>
      <c r="G18" s="70" t="s">
        <v>67</v>
      </c>
      <c r="H18" s="133">
        <f t="shared" si="1"/>
        <v>14772.09</v>
      </c>
    </row>
    <row r="19" spans="2:8" ht="15.6" x14ac:dyDescent="0.3">
      <c r="C19" s="134" t="s">
        <v>85</v>
      </c>
      <c r="D19" s="81">
        <v>5266</v>
      </c>
      <c r="E19" s="81">
        <f t="shared" si="0"/>
        <v>11427.22</v>
      </c>
      <c r="F19" s="137"/>
      <c r="G19" s="70" t="s">
        <v>67</v>
      </c>
      <c r="H19" s="133">
        <f t="shared" si="1"/>
        <v>14787.3</v>
      </c>
    </row>
    <row r="20" spans="2:8" ht="15.6" x14ac:dyDescent="0.3">
      <c r="C20" s="134" t="s">
        <v>86</v>
      </c>
      <c r="D20" s="81">
        <v>5286</v>
      </c>
      <c r="E20" s="81">
        <f t="shared" si="0"/>
        <v>11470.619999999999</v>
      </c>
      <c r="F20" s="137"/>
      <c r="G20" s="70" t="s">
        <v>67</v>
      </c>
      <c r="H20" s="133">
        <f t="shared" si="1"/>
        <v>14839.36</v>
      </c>
    </row>
    <row r="21" spans="2:8" ht="15.6" x14ac:dyDescent="0.3">
      <c r="C21" s="134" t="s">
        <v>87</v>
      </c>
      <c r="D21" s="81">
        <v>5245</v>
      </c>
      <c r="E21" s="81">
        <f t="shared" si="0"/>
        <v>11381.65</v>
      </c>
      <c r="F21" s="7"/>
      <c r="G21" s="70" t="s">
        <v>67</v>
      </c>
      <c r="H21" s="133">
        <f t="shared" si="1"/>
        <v>14702.76</v>
      </c>
    </row>
    <row r="22" spans="2:8" ht="15.6" x14ac:dyDescent="0.3">
      <c r="C22" s="134" t="s">
        <v>88</v>
      </c>
      <c r="D22" s="81">
        <v>5278</v>
      </c>
      <c r="E22" s="81">
        <f t="shared" si="0"/>
        <v>11453.26</v>
      </c>
      <c r="F22" s="7"/>
      <c r="G22" s="70" t="s">
        <v>67</v>
      </c>
      <c r="H22" s="133">
        <f t="shared" si="1"/>
        <v>14796.02</v>
      </c>
    </row>
    <row r="23" spans="2:8" x14ac:dyDescent="0.3">
      <c r="F23" s="133">
        <f>SUM(E11:E22)</f>
        <v>137938.22</v>
      </c>
    </row>
    <row r="25" spans="2:8" ht="15.6" x14ac:dyDescent="0.3">
      <c r="B25" s="131" t="s">
        <v>52</v>
      </c>
      <c r="C25" s="131"/>
      <c r="D25" s="138"/>
      <c r="F25" s="78"/>
    </row>
    <row r="26" spans="2:8" ht="15.6" x14ac:dyDescent="0.3">
      <c r="C26" s="132" t="str">
        <f>+C11</f>
        <v>Aug 20</v>
      </c>
      <c r="D26" s="100">
        <f>324+466</f>
        <v>790</v>
      </c>
      <c r="E26" s="81">
        <f>+D26*4.33</f>
        <v>3420.7000000000003</v>
      </c>
      <c r="G26" s="70" t="s">
        <v>65</v>
      </c>
      <c r="H26" s="133">
        <f>ROUND(E26+E11,2)</f>
        <v>14787.16</v>
      </c>
    </row>
    <row r="27" spans="2:8" ht="15.6" x14ac:dyDescent="0.3">
      <c r="C27" s="132" t="str">
        <f t="shared" ref="C27:C37" si="2">+C12</f>
        <v>Sept 20</v>
      </c>
      <c r="D27" s="100">
        <f>342+464</f>
        <v>806</v>
      </c>
      <c r="E27" s="81">
        <f t="shared" ref="E27:E37" si="3">+D27*4.33</f>
        <v>3489.98</v>
      </c>
      <c r="G27" s="70" t="s">
        <v>65</v>
      </c>
      <c r="H27" s="133">
        <f t="shared" ref="H27:H37" si="4">ROUND(E27+E12,2)</f>
        <v>15455.36</v>
      </c>
    </row>
    <row r="28" spans="2:8" ht="15.6" x14ac:dyDescent="0.3">
      <c r="C28" s="132" t="str">
        <f t="shared" si="2"/>
        <v>Oct 20</v>
      </c>
      <c r="D28" s="100">
        <f>337+476</f>
        <v>813</v>
      </c>
      <c r="E28" s="81">
        <f t="shared" si="3"/>
        <v>3520.29</v>
      </c>
      <c r="G28" s="70" t="s">
        <v>65</v>
      </c>
      <c r="H28" s="133">
        <f t="shared" si="4"/>
        <v>14960.53</v>
      </c>
    </row>
    <row r="29" spans="2:8" ht="15.6" x14ac:dyDescent="0.3">
      <c r="C29" s="132" t="str">
        <f t="shared" si="2"/>
        <v>Nov 20</v>
      </c>
      <c r="D29" s="100">
        <f>327+460</f>
        <v>787</v>
      </c>
      <c r="E29" s="81">
        <f t="shared" si="3"/>
        <v>3407.71</v>
      </c>
      <c r="G29" s="70" t="s">
        <v>65</v>
      </c>
      <c r="H29" s="133">
        <f t="shared" si="4"/>
        <v>15047.59</v>
      </c>
    </row>
    <row r="30" spans="2:8" ht="15.6" x14ac:dyDescent="0.3">
      <c r="C30" s="132" t="str">
        <f t="shared" si="2"/>
        <v>Dec 20</v>
      </c>
      <c r="D30" s="100">
        <f>322+460</f>
        <v>782</v>
      </c>
      <c r="E30" s="81">
        <f t="shared" si="3"/>
        <v>3386.06</v>
      </c>
      <c r="G30" s="70" t="s">
        <v>65</v>
      </c>
      <c r="H30" s="133">
        <f t="shared" si="4"/>
        <v>14722.14</v>
      </c>
    </row>
    <row r="31" spans="2:8" ht="15.6" x14ac:dyDescent="0.3">
      <c r="C31" s="132" t="str">
        <f t="shared" si="2"/>
        <v>Jan 21</v>
      </c>
      <c r="D31" s="100">
        <f>323+457</f>
        <v>780</v>
      </c>
      <c r="E31" s="81">
        <f t="shared" si="3"/>
        <v>3377.4</v>
      </c>
      <c r="G31" s="70" t="s">
        <v>65</v>
      </c>
      <c r="H31" s="133">
        <f t="shared" si="4"/>
        <v>15006.43</v>
      </c>
    </row>
    <row r="32" spans="2:8" ht="15.6" x14ac:dyDescent="0.3">
      <c r="C32" s="132" t="str">
        <f t="shared" si="2"/>
        <v>Feb 21</v>
      </c>
      <c r="D32" s="100">
        <f>321+459</f>
        <v>780</v>
      </c>
      <c r="E32" s="81">
        <f t="shared" si="3"/>
        <v>3377.4</v>
      </c>
      <c r="G32" s="70" t="s">
        <v>65</v>
      </c>
      <c r="H32" s="133">
        <f t="shared" si="4"/>
        <v>14802.45</v>
      </c>
    </row>
    <row r="33" spans="1:8" ht="15.6" x14ac:dyDescent="0.3">
      <c r="C33" s="132" t="str">
        <f t="shared" si="2"/>
        <v>Mar 21</v>
      </c>
      <c r="D33" s="100">
        <f>321+457</f>
        <v>778</v>
      </c>
      <c r="E33" s="81">
        <f t="shared" si="3"/>
        <v>3368.7400000000002</v>
      </c>
      <c r="G33" s="70" t="s">
        <v>65</v>
      </c>
      <c r="H33" s="133">
        <f t="shared" si="4"/>
        <v>14772.09</v>
      </c>
    </row>
    <row r="34" spans="1:8" ht="15.6" x14ac:dyDescent="0.3">
      <c r="C34" s="132" t="str">
        <f t="shared" si="2"/>
        <v>Apr 21</v>
      </c>
      <c r="D34" s="100">
        <f>321+455</f>
        <v>776</v>
      </c>
      <c r="E34" s="81">
        <f t="shared" si="3"/>
        <v>3360.08</v>
      </c>
      <c r="G34" s="70" t="s">
        <v>65</v>
      </c>
      <c r="H34" s="133">
        <f t="shared" si="4"/>
        <v>14787.3</v>
      </c>
    </row>
    <row r="35" spans="1:8" ht="15.6" x14ac:dyDescent="0.3">
      <c r="C35" s="132" t="str">
        <f t="shared" si="2"/>
        <v>May 21</v>
      </c>
      <c r="D35" s="100">
        <f>323+455</f>
        <v>778</v>
      </c>
      <c r="E35" s="81">
        <f t="shared" si="3"/>
        <v>3368.7400000000002</v>
      </c>
      <c r="G35" s="70" t="s">
        <v>65</v>
      </c>
      <c r="H35" s="133">
        <f t="shared" si="4"/>
        <v>14839.36</v>
      </c>
    </row>
    <row r="36" spans="1:8" ht="15.6" x14ac:dyDescent="0.3">
      <c r="C36" s="132" t="str">
        <f t="shared" si="2"/>
        <v>Jun 21</v>
      </c>
      <c r="D36" s="100">
        <f>313+454</f>
        <v>767</v>
      </c>
      <c r="E36" s="81">
        <f t="shared" si="3"/>
        <v>3321.11</v>
      </c>
      <c r="G36" s="70" t="s">
        <v>65</v>
      </c>
      <c r="H36" s="133">
        <f t="shared" si="4"/>
        <v>14702.76</v>
      </c>
    </row>
    <row r="37" spans="1:8" ht="15.6" x14ac:dyDescent="0.3">
      <c r="C37" s="132" t="str">
        <f t="shared" si="2"/>
        <v>Jul 21</v>
      </c>
      <c r="D37" s="100">
        <f>313+459</f>
        <v>772</v>
      </c>
      <c r="E37" s="81">
        <f t="shared" si="3"/>
        <v>3342.76</v>
      </c>
      <c r="G37" s="70" t="s">
        <v>65</v>
      </c>
      <c r="H37" s="133">
        <f t="shared" si="4"/>
        <v>14796.02</v>
      </c>
    </row>
    <row r="38" spans="1:8" ht="15.6" x14ac:dyDescent="0.3">
      <c r="F38" s="133">
        <f>SUM(E26:E37)</f>
        <v>40740.970000000008</v>
      </c>
      <c r="G38" s="70"/>
    </row>
    <row r="39" spans="1:8" ht="15.6" x14ac:dyDescent="0.3">
      <c r="B39" s="131"/>
      <c r="C39" s="131"/>
      <c r="D39" s="139"/>
      <c r="E39" s="81"/>
      <c r="F39" s="81"/>
      <c r="G39" s="99">
        <f>F38+F23</f>
        <v>178679.19</v>
      </c>
    </row>
    <row r="40" spans="1:8" ht="15.6" x14ac:dyDescent="0.3">
      <c r="A40" s="124" t="s">
        <v>7</v>
      </c>
      <c r="B40" s="5"/>
      <c r="C40" s="5"/>
      <c r="D40" s="140">
        <f>SUM(D11:D39)</f>
        <v>72975</v>
      </c>
      <c r="E40" s="9"/>
      <c r="F40" s="9"/>
      <c r="G40" s="71"/>
    </row>
  </sheetData>
  <mergeCells count="3">
    <mergeCell ref="A3:G3"/>
    <mergeCell ref="A1:H1"/>
    <mergeCell ref="A2:H2"/>
  </mergeCells>
  <pageMargins left="0.75" right="0.75" top="1" bottom="1" header="0.5" footer="0.5"/>
  <pageSetup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61"/>
  <sheetViews>
    <sheetView tabSelected="1" zoomScaleNormal="100" workbookViewId="0"/>
  </sheetViews>
  <sheetFormatPr defaultColWidth="9.109375" defaultRowHeight="14.4" x14ac:dyDescent="0.3"/>
  <cols>
    <col min="1" max="3" width="9.109375" style="100"/>
    <col min="4" max="4" width="12.33203125" style="100" bestFit="1" customWidth="1"/>
    <col min="5" max="10" width="9.109375" style="100"/>
    <col min="11" max="11" width="9.44140625" style="100" customWidth="1"/>
    <col min="12" max="12" width="9.5546875" style="100" bestFit="1" customWidth="1"/>
    <col min="13" max="16" width="9.109375" style="100"/>
    <col min="17" max="17" width="16" style="100" customWidth="1"/>
    <col min="18" max="31" width="9.109375" style="100"/>
    <col min="32" max="32" width="9.6640625" style="100" bestFit="1" customWidth="1"/>
    <col min="33" max="16384" width="9.109375" style="100"/>
  </cols>
  <sheetData>
    <row r="4" spans="1:32" x14ac:dyDescent="0.3">
      <c r="D4" s="157" t="s">
        <v>73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32" x14ac:dyDescent="0.3">
      <c r="F5" s="101"/>
      <c r="G5" s="101"/>
      <c r="H5" s="101"/>
      <c r="I5" s="101"/>
      <c r="J5" s="101"/>
      <c r="K5" s="101"/>
      <c r="L5" s="101"/>
      <c r="M5" s="101"/>
    </row>
    <row r="6" spans="1:32" x14ac:dyDescent="0.3">
      <c r="A6" s="102"/>
      <c r="B6" s="102"/>
      <c r="C6" s="102"/>
      <c r="D6" s="103">
        <v>44044</v>
      </c>
      <c r="E6" s="103">
        <v>44075</v>
      </c>
      <c r="F6" s="103">
        <v>44105</v>
      </c>
      <c r="G6" s="103">
        <v>44136</v>
      </c>
      <c r="H6" s="103">
        <v>44166</v>
      </c>
      <c r="I6" s="103">
        <v>44197</v>
      </c>
      <c r="J6" s="103">
        <v>44228</v>
      </c>
      <c r="K6" s="103">
        <v>44256</v>
      </c>
      <c r="L6" s="103">
        <v>44287</v>
      </c>
      <c r="M6" s="103">
        <v>44317</v>
      </c>
      <c r="N6" s="103">
        <v>44348</v>
      </c>
      <c r="O6" s="103">
        <v>44378</v>
      </c>
      <c r="P6" s="103"/>
      <c r="Q6" s="104" t="s">
        <v>29</v>
      </c>
    </row>
    <row r="7" spans="1:32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32" x14ac:dyDescent="0.3">
      <c r="A8" s="106" t="s">
        <v>30</v>
      </c>
      <c r="B8" s="106"/>
      <c r="C8" s="106"/>
      <c r="D8" s="107">
        <f>+'Aug 20 - Jul 21'!K11</f>
        <v>71.52</v>
      </c>
      <c r="E8" s="107">
        <f>+'Aug 20 - Jul 21'!K12</f>
        <v>73.099999999999994</v>
      </c>
      <c r="F8" s="107">
        <f>+'Aug 20 - Jul 21'!K13</f>
        <v>66.53</v>
      </c>
      <c r="G8" s="107">
        <f>+'Aug 20 - Jul 21'!K14</f>
        <v>71.510000000000005</v>
      </c>
      <c r="H8" s="107">
        <f>+'Aug 20 - Jul 21'!K15</f>
        <v>85.77</v>
      </c>
      <c r="I8" s="107">
        <f>+'Aug 20 - Jul 21'!K16</f>
        <v>81.52</v>
      </c>
      <c r="J8" s="107">
        <f>+'Aug 20 - Jul 21'!K17</f>
        <v>74.739999999999995</v>
      </c>
      <c r="K8" s="107">
        <f>+'Aug 20 - Jul 21'!K18</f>
        <v>79.650000000000006</v>
      </c>
      <c r="L8" s="107">
        <f>+'Aug 20 - Jul 21'!K19</f>
        <v>79.430000000000007</v>
      </c>
      <c r="M8" s="107">
        <f>+'Aug 20 - Jul 21'!K20</f>
        <v>96.84</v>
      </c>
      <c r="N8" s="107">
        <f>+'Aug 20 - Jul 21'!K21</f>
        <v>75.63</v>
      </c>
      <c r="O8" s="107">
        <f>+'Aug 20 - Jul 21'!K22</f>
        <v>76.849999999999994</v>
      </c>
      <c r="P8" s="107"/>
      <c r="Q8" s="107">
        <f>SUM(D8:O8)</f>
        <v>933.09</v>
      </c>
    </row>
    <row r="9" spans="1:32" x14ac:dyDescent="0.3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5"/>
      <c r="Q9" s="105"/>
    </row>
    <row r="10" spans="1:32" x14ac:dyDescent="0.3">
      <c r="A10" s="106" t="s">
        <v>6</v>
      </c>
      <c r="B10" s="106"/>
      <c r="C10" s="106"/>
      <c r="D10" s="108">
        <f>'Commodity Debit'!D11</f>
        <v>5238</v>
      </c>
      <c r="E10" s="108">
        <f>'Commodity Debit'!D12</f>
        <v>5514</v>
      </c>
      <c r="F10" s="108">
        <f>'Commodity Debit'!D13</f>
        <v>5272</v>
      </c>
      <c r="G10" s="108">
        <f>'Commodity Debit'!D14</f>
        <v>5364</v>
      </c>
      <c r="H10" s="108">
        <f>'Commodity Debit'!D15</f>
        <v>5224</v>
      </c>
      <c r="I10" s="108">
        <f>'Commodity Debit'!D16</f>
        <v>5359</v>
      </c>
      <c r="J10" s="108">
        <f>'Commodity Debit'!D17</f>
        <v>5265</v>
      </c>
      <c r="K10" s="108">
        <f>'Commodity Debit'!D18</f>
        <v>5255</v>
      </c>
      <c r="L10" s="108">
        <f>'Commodity Debit'!D19</f>
        <v>5266</v>
      </c>
      <c r="M10" s="108">
        <f>'Commodity Debit'!D20</f>
        <v>5286</v>
      </c>
      <c r="N10" s="108">
        <f>'Commodity Debit'!D21</f>
        <v>5245</v>
      </c>
      <c r="O10" s="108">
        <f>'Commodity Debit'!D22</f>
        <v>5278</v>
      </c>
      <c r="P10" s="108"/>
      <c r="Q10" s="107">
        <f>SUM(D10:O10)</f>
        <v>63566</v>
      </c>
    </row>
    <row r="11" spans="1:32" x14ac:dyDescent="0.3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5"/>
      <c r="Q11" s="105"/>
    </row>
    <row r="12" spans="1:32" x14ac:dyDescent="0.3">
      <c r="A12" s="106" t="s">
        <v>75</v>
      </c>
      <c r="B12" s="106"/>
      <c r="C12" s="106"/>
      <c r="D12" s="109">
        <f>D8/D10</f>
        <v>1.3654066437571591E-2</v>
      </c>
      <c r="E12" s="109">
        <f t="shared" ref="E12:O12" si="0">E8/E10</f>
        <v>1.3257163583605368E-2</v>
      </c>
      <c r="F12" s="109">
        <f t="shared" si="0"/>
        <v>1.2619499241274659E-2</v>
      </c>
      <c r="G12" s="109">
        <f t="shared" si="0"/>
        <v>1.3331469052945563E-2</v>
      </c>
      <c r="H12" s="109">
        <f t="shared" si="0"/>
        <v>1.6418453292496169E-2</v>
      </c>
      <c r="I12" s="109">
        <f t="shared" si="0"/>
        <v>1.5211793245008397E-2</v>
      </c>
      <c r="J12" s="109">
        <f t="shared" si="0"/>
        <v>1.4195631528964862E-2</v>
      </c>
      <c r="K12" s="109">
        <f t="shared" si="0"/>
        <v>1.5156993339676499E-2</v>
      </c>
      <c r="L12" s="109">
        <f t="shared" si="0"/>
        <v>1.5083554880364605E-2</v>
      </c>
      <c r="M12" s="109">
        <f t="shared" si="0"/>
        <v>1.8320090805902384E-2</v>
      </c>
      <c r="N12" s="109">
        <f t="shared" si="0"/>
        <v>1.4419447092469017E-2</v>
      </c>
      <c r="O12" s="109">
        <f t="shared" si="0"/>
        <v>1.4560439560439559E-2</v>
      </c>
      <c r="P12" s="109"/>
      <c r="Q12" s="110">
        <f>SUM(D12:O12)/12</f>
        <v>1.4685716838393223E-2</v>
      </c>
      <c r="AF12" s="110"/>
    </row>
    <row r="13" spans="1:32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5"/>
      <c r="Q13" s="105"/>
    </row>
    <row r="14" spans="1:32" x14ac:dyDescent="0.3">
      <c r="A14" s="106" t="s">
        <v>31</v>
      </c>
      <c r="B14" s="106"/>
      <c r="C14" s="106"/>
      <c r="D14" s="107">
        <f>+'Aug 20 - Jul 21'!E11</f>
        <v>-113.87489251934652</v>
      </c>
      <c r="E14" s="107">
        <f>+'Aug 20 - Jul 21'!E12</f>
        <v>-108.19455623808514</v>
      </c>
      <c r="F14" s="107">
        <f>+'Aug 20 - Jul 21'!E13</f>
        <v>-74.947356321839081</v>
      </c>
      <c r="G14" s="107">
        <f>+'Aug 20 - Jul 21'!E14</f>
        <v>-166.3297998918334</v>
      </c>
      <c r="H14" s="107">
        <f>+'Aug 20 - Jul 21'!E15</f>
        <v>-61.794416015800337</v>
      </c>
      <c r="I14" s="107">
        <f>+'Aug 20 - Jul 21'!E16</f>
        <v>-140.544391634981</v>
      </c>
      <c r="J14" s="107">
        <f>+'Aug 20 - Jul 21'!E17</f>
        <v>-61.368649318463447</v>
      </c>
      <c r="K14" s="107">
        <f>+'Aug 20 - Jul 21'!E18</f>
        <v>-170.03993021903469</v>
      </c>
      <c r="L14" s="107">
        <f>+'Aug 20 - Jul 21'!E19</f>
        <v>-29.999999999999996</v>
      </c>
      <c r="M14" s="107">
        <f>+'Aug 20 - Jul 21'!E20</f>
        <v>-78.617975734355042</v>
      </c>
      <c r="N14" s="107">
        <f>+'Aug 20 - Jul 21'!E21</f>
        <v>-88.462333674513815</v>
      </c>
      <c r="O14" s="107">
        <f>+'Aug 20 - Jul 21'!E22</f>
        <v>-88.145245769540693</v>
      </c>
      <c r="P14" s="107"/>
      <c r="Q14" s="105"/>
    </row>
    <row r="15" spans="1:32" x14ac:dyDescent="0.3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  <c r="Q15" s="105"/>
    </row>
    <row r="16" spans="1:32" x14ac:dyDescent="0.3">
      <c r="A16" s="106" t="s">
        <v>32</v>
      </c>
      <c r="B16" s="106"/>
      <c r="C16" s="106"/>
      <c r="D16" s="107">
        <f>D12*D14</f>
        <v>-1.5548553480304816</v>
      </c>
      <c r="E16" s="107">
        <f t="shared" ref="E16:N16" si="1">E12*E14</f>
        <v>-1.4343529309038854</v>
      </c>
      <c r="F16" s="107">
        <f t="shared" si="1"/>
        <v>-0.94579810623898986</v>
      </c>
      <c r="G16" s="107">
        <f t="shared" si="1"/>
        <v>-2.2174205798406055</v>
      </c>
      <c r="H16" s="107">
        <f t="shared" si="1"/>
        <v>-1.0145687330924951</v>
      </c>
      <c r="I16" s="107">
        <f t="shared" si="1"/>
        <v>-2.1379322272968184</v>
      </c>
      <c r="J16" s="107">
        <f t="shared" si="1"/>
        <v>-0.87116673315516768</v>
      </c>
      <c r="K16" s="107">
        <f t="shared" si="1"/>
        <v>-2.5772940898089653</v>
      </c>
      <c r="L16" s="107">
        <f t="shared" si="1"/>
        <v>-0.45250664641093807</v>
      </c>
      <c r="M16" s="107">
        <f t="shared" si="1"/>
        <v>-1.4402884544296146</v>
      </c>
      <c r="N16" s="107">
        <f t="shared" si="1"/>
        <v>-1.2755779400959923</v>
      </c>
      <c r="O16" s="107">
        <f>O12*O14</f>
        <v>-1.2834335235674881</v>
      </c>
      <c r="P16" s="107"/>
      <c r="Q16" s="105"/>
    </row>
    <row r="17" spans="1:33" x14ac:dyDescent="0.3">
      <c r="A17" s="106" t="s">
        <v>33</v>
      </c>
      <c r="B17" s="106"/>
      <c r="C17" s="106"/>
      <c r="D17" s="107">
        <f>Analysis!D11</f>
        <v>-1.9008299293263309</v>
      </c>
      <c r="E17" s="107">
        <f>Analysis!D11</f>
        <v>-1.9008299293263309</v>
      </c>
      <c r="F17" s="107">
        <f>Analysis!$D$12</f>
        <v>-1.82</v>
      </c>
      <c r="G17" s="107">
        <f>Analysis!$D$12</f>
        <v>-1.82</v>
      </c>
      <c r="H17" s="107">
        <f>Analysis!$D$12</f>
        <v>-1.82</v>
      </c>
      <c r="I17" s="107">
        <f>Analysis!$D$12</f>
        <v>-1.82</v>
      </c>
      <c r="J17" s="107">
        <f>Analysis!$D$12</f>
        <v>-1.82</v>
      </c>
      <c r="K17" s="107">
        <f>Analysis!$D$12</f>
        <v>-1.82</v>
      </c>
      <c r="L17" s="107">
        <f>Analysis!$D$12</f>
        <v>-1.82</v>
      </c>
      <c r="M17" s="107">
        <f>Analysis!$D$12</f>
        <v>-1.82</v>
      </c>
      <c r="N17" s="107">
        <f>Analysis!$D$12</f>
        <v>-1.82</v>
      </c>
      <c r="O17" s="107">
        <f>Analysis!$D$12</f>
        <v>-1.82</v>
      </c>
      <c r="P17" s="107"/>
      <c r="Q17" s="105"/>
    </row>
    <row r="18" spans="1:33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7"/>
      <c r="Q18" s="105"/>
    </row>
    <row r="19" spans="1:33" x14ac:dyDescent="0.3">
      <c r="A19" s="106" t="s">
        <v>34</v>
      </c>
      <c r="B19" s="106"/>
      <c r="C19" s="106"/>
      <c r="D19" s="111">
        <f>+D17*D10</f>
        <v>-9956.5471698113215</v>
      </c>
      <c r="E19" s="111">
        <f t="shared" ref="E19:N19" si="2">+E17*E10</f>
        <v>-10481.176230305389</v>
      </c>
      <c r="F19" s="111">
        <f t="shared" si="2"/>
        <v>-9595.0400000000009</v>
      </c>
      <c r="G19" s="111">
        <f t="shared" si="2"/>
        <v>-9762.48</v>
      </c>
      <c r="H19" s="111">
        <f t="shared" si="2"/>
        <v>-9507.68</v>
      </c>
      <c r="I19" s="111">
        <f t="shared" si="2"/>
        <v>-9753.380000000001</v>
      </c>
      <c r="J19" s="111">
        <f t="shared" si="2"/>
        <v>-9582.3000000000011</v>
      </c>
      <c r="K19" s="111">
        <f t="shared" si="2"/>
        <v>-9564.1</v>
      </c>
      <c r="L19" s="111">
        <f t="shared" si="2"/>
        <v>-9584.1200000000008</v>
      </c>
      <c r="M19" s="111">
        <f t="shared" si="2"/>
        <v>-9620.52</v>
      </c>
      <c r="N19" s="111">
        <f t="shared" si="2"/>
        <v>-9545.9</v>
      </c>
      <c r="O19" s="111">
        <f>+O17*O10</f>
        <v>-9605.9600000000009</v>
      </c>
      <c r="P19" s="111"/>
      <c r="Q19" s="112">
        <f>SUM(D19:O19)</f>
        <v>-116559.20340011672</v>
      </c>
      <c r="R19" s="113"/>
    </row>
    <row r="20" spans="1:33" x14ac:dyDescent="0.3">
      <c r="A20" s="106" t="s">
        <v>35</v>
      </c>
      <c r="B20" s="106"/>
      <c r="C20" s="106"/>
      <c r="D20" s="111">
        <f>+'Aug 20 - Jul 21'!G11</f>
        <v>-8144.01</v>
      </c>
      <c r="E20" s="111">
        <f>+'Aug 20 - Jul 21'!G12</f>
        <v>-7908.91</v>
      </c>
      <c r="F20" s="111">
        <f>+'Aug 20 - Jul 21'!G13</f>
        <v>-4986.13</v>
      </c>
      <c r="G20" s="111">
        <f>+'Aug 20 - Jul 21'!G14</f>
        <v>-11894.84</v>
      </c>
      <c r="H20" s="111">
        <f>+'Aug 20 - Jul 21'!G15</f>
        <v>-5300.14</v>
      </c>
      <c r="I20" s="111">
        <f>+'Aug 20 - Jul 21'!G16</f>
        <v>-11457.65</v>
      </c>
      <c r="J20" s="111">
        <f>+'Aug 20 - Jul 21'!G17</f>
        <v>-4586.97</v>
      </c>
      <c r="K20" s="111">
        <f>+'Aug 20 - Jul 21'!G18</f>
        <v>-13543.69</v>
      </c>
      <c r="L20" s="111">
        <f>+'Aug 20 - Jul 21'!G19</f>
        <v>-2383</v>
      </c>
      <c r="M20" s="111">
        <f>+'Aug 20 - Jul 21'!G20</f>
        <v>-7613.34</v>
      </c>
      <c r="N20" s="111">
        <f>+'Aug 20 - Jul 21'!G21</f>
        <v>-6690.51</v>
      </c>
      <c r="O20" s="111">
        <f>+'Aug 20 - Jul 21'!G22</f>
        <v>-6773.99</v>
      </c>
      <c r="P20" s="111"/>
      <c r="Q20" s="112">
        <f>SUM(D20:O20)</f>
        <v>-91283.18</v>
      </c>
    </row>
    <row r="21" spans="1:33" x14ac:dyDescent="0.3">
      <c r="A21" s="106" t="s">
        <v>36</v>
      </c>
      <c r="B21" s="106"/>
      <c r="C21" s="106"/>
      <c r="D21" s="111">
        <f>+D19-D20</f>
        <v>-1812.5371698113213</v>
      </c>
      <c r="E21" s="111">
        <f t="shared" ref="E21:O21" si="3">+E19-E20</f>
        <v>-2572.2662303053894</v>
      </c>
      <c r="F21" s="111">
        <f t="shared" si="3"/>
        <v>-4608.9100000000008</v>
      </c>
      <c r="G21" s="111">
        <f t="shared" si="3"/>
        <v>2132.3600000000006</v>
      </c>
      <c r="H21" s="111">
        <f t="shared" si="3"/>
        <v>-4207.54</v>
      </c>
      <c r="I21" s="111">
        <f t="shared" si="3"/>
        <v>1704.2699999999986</v>
      </c>
      <c r="J21" s="111">
        <f t="shared" si="3"/>
        <v>-4995.3300000000008</v>
      </c>
      <c r="K21" s="111">
        <f t="shared" si="3"/>
        <v>3979.59</v>
      </c>
      <c r="L21" s="111">
        <f t="shared" si="3"/>
        <v>-7201.1200000000008</v>
      </c>
      <c r="M21" s="111">
        <f t="shared" si="3"/>
        <v>-2007.1800000000003</v>
      </c>
      <c r="N21" s="111">
        <f t="shared" si="3"/>
        <v>-2855.3899999999994</v>
      </c>
      <c r="O21" s="111">
        <f t="shared" si="3"/>
        <v>-2831.9700000000012</v>
      </c>
      <c r="P21" s="111"/>
      <c r="Q21" s="112">
        <f>SUM(D21:O21)</f>
        <v>-25276.023400116712</v>
      </c>
      <c r="R21" s="113"/>
    </row>
    <row r="22" spans="1:33" x14ac:dyDescent="0.3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11"/>
      <c r="Q22" s="105"/>
    </row>
    <row r="23" spans="1:33" x14ac:dyDescent="0.3">
      <c r="A23" s="106" t="s">
        <v>37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7"/>
      <c r="Q23" s="114">
        <f>+Q20/Q10</f>
        <v>-1.4360378189598211</v>
      </c>
      <c r="AG23" s="115"/>
    </row>
    <row r="24" spans="1:33" x14ac:dyDescent="0.3">
      <c r="A24" s="106" t="s">
        <v>38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  <c r="Q24" s="107">
        <f>-Q21/Q10</f>
        <v>0.39763432338225957</v>
      </c>
      <c r="AG24" s="115"/>
    </row>
    <row r="25" spans="1:33" x14ac:dyDescent="0.3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11"/>
      <c r="Q25" s="105"/>
      <c r="AG25" s="115"/>
    </row>
    <row r="26" spans="1:33" x14ac:dyDescent="0.3">
      <c r="A26" s="106" t="s">
        <v>39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5"/>
      <c r="Q26" s="116">
        <f>+Q23+Q24</f>
        <v>-1.0384034955775614</v>
      </c>
      <c r="T26" s="117"/>
      <c r="AG26" s="115"/>
    </row>
    <row r="27" spans="1:33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AG27" s="115"/>
    </row>
    <row r="28" spans="1:33" x14ac:dyDescent="0.3">
      <c r="A28" s="105" t="s">
        <v>40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16">
        <f>Analysis!L27</f>
        <v>-1.79</v>
      </c>
      <c r="R28" s="117">
        <f>+Q28-Q26</f>
        <v>-0.75159650442243864</v>
      </c>
      <c r="AG28" s="115"/>
    </row>
    <row r="29" spans="1:33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33" x14ac:dyDescent="0.3">
      <c r="A30" s="105" t="s">
        <v>41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18"/>
    </row>
    <row r="31" spans="1:33" x14ac:dyDescent="0.3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1:33" x14ac:dyDescent="0.3">
      <c r="D32" s="157" t="s">
        <v>76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</row>
    <row r="33" spans="1:18" x14ac:dyDescent="0.3">
      <c r="F33" s="101"/>
      <c r="G33" s="101"/>
      <c r="H33" s="101"/>
      <c r="I33" s="101"/>
      <c r="J33" s="101"/>
      <c r="K33" s="101"/>
      <c r="L33" s="101"/>
      <c r="M33" s="101"/>
    </row>
    <row r="34" spans="1:18" x14ac:dyDescent="0.3">
      <c r="A34" s="102"/>
      <c r="B34" s="102"/>
      <c r="C34" s="102"/>
      <c r="D34" s="103">
        <v>44044</v>
      </c>
      <c r="E34" s="103">
        <v>44075</v>
      </c>
      <c r="F34" s="103">
        <v>44105</v>
      </c>
      <c r="G34" s="103">
        <v>44136</v>
      </c>
      <c r="H34" s="103">
        <v>44166</v>
      </c>
      <c r="I34" s="103">
        <v>44197</v>
      </c>
      <c r="J34" s="103">
        <v>44228</v>
      </c>
      <c r="K34" s="103">
        <v>44256</v>
      </c>
      <c r="L34" s="103">
        <v>44287</v>
      </c>
      <c r="M34" s="103">
        <v>44317</v>
      </c>
      <c r="N34" s="103">
        <v>44348</v>
      </c>
      <c r="O34" s="103">
        <v>44378</v>
      </c>
      <c r="P34" s="103"/>
      <c r="Q34" s="104" t="s">
        <v>29</v>
      </c>
    </row>
    <row r="35" spans="1:18" x14ac:dyDescent="0.3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1:18" x14ac:dyDescent="0.3">
      <c r="A36" s="106" t="s">
        <v>30</v>
      </c>
      <c r="B36" s="106"/>
      <c r="C36" s="106"/>
      <c r="D36" s="107">
        <f>+'Aug 20 - Jul 21'!L11</f>
        <v>21.52</v>
      </c>
      <c r="E36" s="107">
        <f>+'Aug 20 - Jul 21'!L12</f>
        <v>21.32</v>
      </c>
      <c r="F36" s="107">
        <f>+'Aug 20 - Jul 21'!L13</f>
        <v>20.47</v>
      </c>
      <c r="G36" s="107">
        <f>+'Aug 20 - Jul 21'!L14</f>
        <v>20.94</v>
      </c>
      <c r="H36" s="107">
        <f>+'Aug 20 - Jul 21'!L15</f>
        <v>25.62</v>
      </c>
      <c r="I36" s="107">
        <f>+'Aug 20 - Jul 21'!L16</f>
        <v>23.68</v>
      </c>
      <c r="J36" s="107">
        <f>+'Aug 20 - Jul 21'!L17</f>
        <v>22.1</v>
      </c>
      <c r="K36" s="107">
        <f>+'Aug 20 - Jul 21'!L18</f>
        <v>23.53</v>
      </c>
      <c r="L36" s="107">
        <f>+'Aug 20 - Jul 21'!L19</f>
        <v>23.36</v>
      </c>
      <c r="M36" s="107">
        <f>+'Aug 20 - Jul 21'!L20</f>
        <v>28.44</v>
      </c>
      <c r="N36" s="107">
        <f>+'Aug 20 - Jul 21'!L21</f>
        <v>22.07</v>
      </c>
      <c r="O36" s="107">
        <f>+'Aug 20 - Jul 21'!L22</f>
        <v>22.43</v>
      </c>
      <c r="P36" s="107"/>
      <c r="Q36" s="107">
        <f>SUM(D36:O36)</f>
        <v>275.48</v>
      </c>
    </row>
    <row r="37" spans="1:18" x14ac:dyDescent="0.3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5"/>
      <c r="Q37" s="105"/>
    </row>
    <row r="38" spans="1:18" x14ac:dyDescent="0.3">
      <c r="A38" s="106" t="s">
        <v>63</v>
      </c>
      <c r="B38" s="106"/>
      <c r="C38" s="106"/>
      <c r="D38" s="108">
        <f>'Commodity Debit'!E26</f>
        <v>3420.7000000000003</v>
      </c>
      <c r="E38" s="108">
        <f>'Commodity Debit'!E27</f>
        <v>3489.98</v>
      </c>
      <c r="F38" s="108">
        <f>'Commodity Debit'!E28</f>
        <v>3520.29</v>
      </c>
      <c r="G38" s="108">
        <f>'Commodity Debit'!E29</f>
        <v>3407.71</v>
      </c>
      <c r="H38" s="108">
        <f>'Commodity Debit'!E30</f>
        <v>3386.06</v>
      </c>
      <c r="I38" s="108">
        <f>'Commodity Debit'!E31</f>
        <v>3377.4</v>
      </c>
      <c r="J38" s="108">
        <f>'Commodity Debit'!E32</f>
        <v>3377.4</v>
      </c>
      <c r="K38" s="108">
        <f>'Commodity Debit'!E33</f>
        <v>3368.7400000000002</v>
      </c>
      <c r="L38" s="108">
        <f>'Commodity Debit'!E34</f>
        <v>3360.08</v>
      </c>
      <c r="M38" s="108">
        <f>'Commodity Debit'!E35</f>
        <v>3368.7400000000002</v>
      </c>
      <c r="N38" s="108">
        <f>'Commodity Debit'!E36</f>
        <v>3321.11</v>
      </c>
      <c r="O38" s="108">
        <f>'Commodity Debit'!E37</f>
        <v>3342.76</v>
      </c>
      <c r="P38" s="108"/>
      <c r="Q38" s="107">
        <f>SUM(D38:O38)</f>
        <v>40740.970000000008</v>
      </c>
    </row>
    <row r="39" spans="1:18" x14ac:dyDescent="0.3">
      <c r="A39" s="106"/>
      <c r="B39" s="106"/>
      <c r="C39" s="106"/>
      <c r="D39" s="106"/>
      <c r="E39" s="120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5"/>
      <c r="Q39" s="105"/>
    </row>
    <row r="40" spans="1:18" x14ac:dyDescent="0.3">
      <c r="A40" s="106" t="s">
        <v>98</v>
      </c>
      <c r="B40" s="106"/>
      <c r="C40" s="106"/>
      <c r="D40" s="109">
        <f>D36/D38</f>
        <v>6.291110006723769E-3</v>
      </c>
      <c r="E40" s="109">
        <f t="shared" ref="E40:O40" si="4">E36/E38</f>
        <v>6.1089175296133499E-3</v>
      </c>
      <c r="F40" s="109">
        <f t="shared" si="4"/>
        <v>5.8148618437685526E-3</v>
      </c>
      <c r="G40" s="109">
        <f t="shared" si="4"/>
        <v>6.1448890897406183E-3</v>
      </c>
      <c r="H40" s="109">
        <f t="shared" si="4"/>
        <v>7.5663160133015959E-3</v>
      </c>
      <c r="I40" s="109">
        <f t="shared" si="4"/>
        <v>7.0113104755137089E-3</v>
      </c>
      <c r="J40" s="109">
        <f t="shared" si="4"/>
        <v>6.5434949961508853E-3</v>
      </c>
      <c r="K40" s="109">
        <f t="shared" si="4"/>
        <v>6.9848073760515796E-3</v>
      </c>
      <c r="L40" s="109">
        <f t="shared" si="4"/>
        <v>6.9522154234422989E-3</v>
      </c>
      <c r="M40" s="109">
        <f t="shared" si="4"/>
        <v>8.442325617293113E-3</v>
      </c>
      <c r="N40" s="109">
        <f t="shared" si="4"/>
        <v>6.6453685665334777E-3</v>
      </c>
      <c r="O40" s="109">
        <f t="shared" si="4"/>
        <v>6.710024051980997E-3</v>
      </c>
      <c r="P40" s="109"/>
      <c r="Q40" s="121">
        <f>SUM(D40:O40)/12</f>
        <v>6.7679700825094965E-3</v>
      </c>
    </row>
    <row r="41" spans="1:18" x14ac:dyDescent="0.3">
      <c r="A41" s="106"/>
      <c r="B41" s="106"/>
      <c r="C41" s="122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5"/>
      <c r="Q41" s="105"/>
    </row>
    <row r="42" spans="1:18" x14ac:dyDescent="0.3">
      <c r="A42" s="106" t="s">
        <v>31</v>
      </c>
      <c r="B42" s="106"/>
      <c r="C42" s="106"/>
      <c r="D42" s="107">
        <f>+'Aug 20 - Jul 21'!E11</f>
        <v>-113.87489251934652</v>
      </c>
      <c r="E42" s="107">
        <f>+'Aug 20 - Jul 21'!E12</f>
        <v>-108.19455623808514</v>
      </c>
      <c r="F42" s="107">
        <f>+'Aug 20 - Jul 21'!E13</f>
        <v>-74.947356321839081</v>
      </c>
      <c r="G42" s="107">
        <f>+'Aug 20 - Jul 21'!E14</f>
        <v>-166.3297998918334</v>
      </c>
      <c r="H42" s="107">
        <f>+'Aug 20 - Jul 21'!E15</f>
        <v>-61.794416015800337</v>
      </c>
      <c r="I42" s="107">
        <f>+'Aug 20 - Jul 21'!E16</f>
        <v>-140.544391634981</v>
      </c>
      <c r="J42" s="107">
        <f>+'Aug 20 - Jul 21'!E17</f>
        <v>-61.368649318463447</v>
      </c>
      <c r="K42" s="107">
        <f>+'Aug 20 - Jul 21'!E18</f>
        <v>-170.03993021903469</v>
      </c>
      <c r="L42" s="107">
        <f>+'Aug 20 - Jul 21'!E19</f>
        <v>-29.999999999999996</v>
      </c>
      <c r="M42" s="107">
        <f>+'Aug 20 - Jul 21'!E20</f>
        <v>-78.617975734355042</v>
      </c>
      <c r="N42" s="107">
        <f>+'Aug 20 - Jul 21'!E21</f>
        <v>-88.462333674513815</v>
      </c>
      <c r="O42" s="107">
        <f>+'Aug 20 - Jul 21'!E22</f>
        <v>-88.145245769540693</v>
      </c>
      <c r="P42" s="107"/>
      <c r="Q42" s="105"/>
    </row>
    <row r="43" spans="1:18" x14ac:dyDescent="0.3">
      <c r="A43" s="106"/>
      <c r="B43" s="106"/>
      <c r="C43" s="106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07"/>
      <c r="Q43" s="105"/>
    </row>
    <row r="44" spans="1:18" x14ac:dyDescent="0.3">
      <c r="A44" s="106" t="s">
        <v>99</v>
      </c>
      <c r="B44" s="106"/>
      <c r="C44" s="106"/>
      <c r="D44" s="107">
        <f>D40*D42</f>
        <v>-0.71639947584305452</v>
      </c>
      <c r="E44" s="107">
        <f t="shared" ref="E44:O44" si="5">E40*E42</f>
        <v>-0.66095162121157569</v>
      </c>
      <c r="F44" s="107">
        <f t="shared" si="5"/>
        <v>-0.43580852256718788</v>
      </c>
      <c r="G44" s="107">
        <f t="shared" si="5"/>
        <v>-1.0220781726540673</v>
      </c>
      <c r="H44" s="107">
        <f t="shared" si="5"/>
        <v>-0.46755607943297067</v>
      </c>
      <c r="I44" s="107">
        <f t="shared" si="5"/>
        <v>-0.98540036534504349</v>
      </c>
      <c r="J44" s="107">
        <f t="shared" si="5"/>
        <v>-0.40156544973590402</v>
      </c>
      <c r="K44" s="107">
        <f t="shared" si="5"/>
        <v>-1.1876961588172095</v>
      </c>
      <c r="L44" s="107">
        <f t="shared" si="5"/>
        <v>-0.20856646270326895</v>
      </c>
      <c r="M44" s="107">
        <f t="shared" si="5"/>
        <v>-0.6637185505218739</v>
      </c>
      <c r="N44" s="107">
        <f t="shared" si="5"/>
        <v>-0.58786481152281012</v>
      </c>
      <c r="O44" s="107">
        <f t="shared" si="5"/>
        <v>-0.59145671918139431</v>
      </c>
      <c r="P44" s="107"/>
      <c r="Q44" s="105"/>
    </row>
    <row r="45" spans="1:18" x14ac:dyDescent="0.3">
      <c r="A45" s="106" t="s">
        <v>100</v>
      </c>
      <c r="B45" s="106"/>
      <c r="C45" s="106"/>
      <c r="D45" s="114">
        <f>Analysis!D38</f>
        <v>-0.88</v>
      </c>
      <c r="E45" s="107">
        <f>Analysis!D38</f>
        <v>-0.88</v>
      </c>
      <c r="F45" s="107">
        <f>Analysis!$D$39</f>
        <v>-0.81</v>
      </c>
      <c r="G45" s="107">
        <f>Analysis!$D$39</f>
        <v>-0.81</v>
      </c>
      <c r="H45" s="107">
        <f>Analysis!$D$39</f>
        <v>-0.81</v>
      </c>
      <c r="I45" s="107">
        <f>Analysis!$D$39</f>
        <v>-0.81</v>
      </c>
      <c r="J45" s="107">
        <f>Analysis!$D$39</f>
        <v>-0.81</v>
      </c>
      <c r="K45" s="107">
        <f>Analysis!$D$39</f>
        <v>-0.81</v>
      </c>
      <c r="L45" s="107">
        <f>Analysis!$D$39</f>
        <v>-0.81</v>
      </c>
      <c r="M45" s="107">
        <f>Analysis!$D$39</f>
        <v>-0.81</v>
      </c>
      <c r="N45" s="107">
        <f>Analysis!$D$39</f>
        <v>-0.81</v>
      </c>
      <c r="O45" s="107">
        <f>Analysis!$D$39</f>
        <v>-0.81</v>
      </c>
      <c r="P45" s="107"/>
      <c r="Q45" s="105"/>
    </row>
    <row r="46" spans="1:18" x14ac:dyDescent="0.3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7"/>
      <c r="Q46" s="105"/>
    </row>
    <row r="47" spans="1:18" x14ac:dyDescent="0.3">
      <c r="A47" s="106" t="s">
        <v>34</v>
      </c>
      <c r="B47" s="106"/>
      <c r="C47" s="106"/>
      <c r="D47" s="111">
        <f>+D45*D38</f>
        <v>-3010.2160000000003</v>
      </c>
      <c r="E47" s="111">
        <f t="shared" ref="E47:O47" si="6">+E45*E38</f>
        <v>-3071.1824000000001</v>
      </c>
      <c r="F47" s="111">
        <f t="shared" si="6"/>
        <v>-2851.4349000000002</v>
      </c>
      <c r="G47" s="111">
        <f t="shared" si="6"/>
        <v>-2760.2451000000001</v>
      </c>
      <c r="H47" s="111">
        <f t="shared" si="6"/>
        <v>-2742.7085999999999</v>
      </c>
      <c r="I47" s="111">
        <f t="shared" si="6"/>
        <v>-2735.6940000000004</v>
      </c>
      <c r="J47" s="111">
        <f t="shared" si="6"/>
        <v>-2735.6940000000004</v>
      </c>
      <c r="K47" s="111">
        <f t="shared" si="6"/>
        <v>-2728.6794000000004</v>
      </c>
      <c r="L47" s="111">
        <f t="shared" si="6"/>
        <v>-2721.6648</v>
      </c>
      <c r="M47" s="111">
        <f t="shared" si="6"/>
        <v>-2728.6794000000004</v>
      </c>
      <c r="N47" s="111">
        <f t="shared" si="6"/>
        <v>-2690.0991000000004</v>
      </c>
      <c r="O47" s="111">
        <f t="shared" si="6"/>
        <v>-2707.6356000000005</v>
      </c>
      <c r="P47" s="111"/>
      <c r="Q47" s="112">
        <f>SUM(D47:O47)</f>
        <v>-33483.933299999997</v>
      </c>
      <c r="R47" s="113"/>
    </row>
    <row r="48" spans="1:18" x14ac:dyDescent="0.3">
      <c r="A48" s="106" t="s">
        <v>35</v>
      </c>
      <c r="B48" s="106"/>
      <c r="C48" s="106"/>
      <c r="D48" s="111">
        <f>+'Aug 20 - Jul 21'!H11</f>
        <v>-2450.91</v>
      </c>
      <c r="E48" s="111">
        <f>+'Aug 20 - Jul 21'!H12</f>
        <v>-2306.8200000000002</v>
      </c>
      <c r="F48" s="111">
        <f>+'Aug 20 - Jul 21'!H13</f>
        <v>-1534.29</v>
      </c>
      <c r="G48" s="111">
        <f>+'Aug 20 - Jul 21'!H14</f>
        <v>-3482.35</v>
      </c>
      <c r="H48" s="111">
        <f>+'Aug 20 - Jul 21'!H15</f>
        <v>-1583.14</v>
      </c>
      <c r="I48" s="111">
        <f>+'Aug 20 - Jul 21'!H16</f>
        <v>-3327.62</v>
      </c>
      <c r="J48" s="111">
        <f>+'Aug 20 - Jul 21'!H17</f>
        <v>-1355.97</v>
      </c>
      <c r="K48" s="111">
        <f>+'Aug 20 - Jul 21'!H18</f>
        <v>-4001.03</v>
      </c>
      <c r="L48" s="111">
        <f>+'Aug 20 - Jul 21'!H19</f>
        <v>-700.7</v>
      </c>
      <c r="M48" s="111">
        <f>+'Aug 20 - Jul 21'!H20</f>
        <v>-2235.92</v>
      </c>
      <c r="N48" s="111">
        <f>+'Aug 20 - Jul 21'!H21</f>
        <v>-1952.26</v>
      </c>
      <c r="O48" s="111">
        <f>+'Aug 20 - Jul 21'!H22</f>
        <v>-1977.07</v>
      </c>
      <c r="P48" s="111"/>
      <c r="Q48" s="112">
        <f>SUM(D48:O48)</f>
        <v>-26908.079999999998</v>
      </c>
    </row>
    <row r="49" spans="1:20" x14ac:dyDescent="0.3">
      <c r="A49" s="106" t="s">
        <v>36</v>
      </c>
      <c r="B49" s="106"/>
      <c r="C49" s="106"/>
      <c r="D49" s="111">
        <f>+D47-D48</f>
        <v>-559.30600000000049</v>
      </c>
      <c r="E49" s="111">
        <f t="shared" ref="E49:O49" si="7">+E47-E48</f>
        <v>-764.36239999999998</v>
      </c>
      <c r="F49" s="111">
        <f t="shared" si="7"/>
        <v>-1317.1449000000002</v>
      </c>
      <c r="G49" s="111">
        <f t="shared" si="7"/>
        <v>722.10489999999982</v>
      </c>
      <c r="H49" s="111">
        <f t="shared" si="7"/>
        <v>-1159.5685999999998</v>
      </c>
      <c r="I49" s="111">
        <f t="shared" si="7"/>
        <v>591.92599999999948</v>
      </c>
      <c r="J49" s="111">
        <f t="shared" si="7"/>
        <v>-1379.7240000000004</v>
      </c>
      <c r="K49" s="111">
        <f t="shared" si="7"/>
        <v>1272.3505999999998</v>
      </c>
      <c r="L49" s="111">
        <f t="shared" si="7"/>
        <v>-2020.9648</v>
      </c>
      <c r="M49" s="111">
        <f t="shared" si="7"/>
        <v>-492.75940000000037</v>
      </c>
      <c r="N49" s="111">
        <f t="shared" si="7"/>
        <v>-737.83910000000037</v>
      </c>
      <c r="O49" s="111">
        <f t="shared" si="7"/>
        <v>-730.56560000000059</v>
      </c>
      <c r="P49" s="111"/>
      <c r="Q49" s="112">
        <f>SUM(D49:O49)</f>
        <v>-6575.8533000000025</v>
      </c>
    </row>
    <row r="50" spans="1:20" x14ac:dyDescent="0.3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11"/>
      <c r="Q50" s="105"/>
    </row>
    <row r="51" spans="1:20" x14ac:dyDescent="0.3">
      <c r="A51" s="106" t="s">
        <v>37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7"/>
      <c r="Q51" s="107">
        <f>Q48/Q38</f>
        <v>-0.6604673379156164</v>
      </c>
    </row>
    <row r="52" spans="1:20" x14ac:dyDescent="0.3">
      <c r="A52" s="106" t="s">
        <v>38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7"/>
      <c r="Q52" s="107">
        <f>-Q49/Q38</f>
        <v>0.16140639999489459</v>
      </c>
    </row>
    <row r="53" spans="1:20" x14ac:dyDescent="0.3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11"/>
      <c r="Q53" s="105"/>
    </row>
    <row r="54" spans="1:20" x14ac:dyDescent="0.3">
      <c r="A54" s="106" t="s">
        <v>39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5"/>
      <c r="Q54" s="116">
        <f>+Q52+Q51</f>
        <v>-0.49906093792072181</v>
      </c>
      <c r="T54" s="117"/>
    </row>
    <row r="55" spans="1:20" x14ac:dyDescent="0.3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</row>
    <row r="56" spans="1:20" x14ac:dyDescent="0.3">
      <c r="A56" s="105" t="s">
        <v>40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16">
        <f>Analysis!L54</f>
        <v>-0.85000000000000009</v>
      </c>
      <c r="R56" s="117">
        <f>+Q56-Q54</f>
        <v>-0.35093906207927827</v>
      </c>
    </row>
    <row r="57" spans="1:20" x14ac:dyDescent="0.3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</row>
    <row r="58" spans="1:20" x14ac:dyDescent="0.3">
      <c r="A58" s="105" t="s">
        <v>41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18"/>
    </row>
    <row r="59" spans="1:20" x14ac:dyDescent="0.3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</row>
    <row r="60" spans="1:20" x14ac:dyDescent="0.3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18"/>
    </row>
    <row r="61" spans="1:20" x14ac:dyDescent="0.3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</sheetData>
  <mergeCells count="2">
    <mergeCell ref="D4:O4"/>
    <mergeCell ref="D32:O32"/>
  </mergeCells>
  <pageMargins left="0.7" right="0.7" top="0.75" bottom="0.75" header="0.3" footer="0.3"/>
  <pageSetup scale="55" fitToHeight="0" orientation="portrait" r:id="rId1"/>
  <colBreaks count="1" manualBreakCount="1">
    <brk id="17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2021-08-12T07:00:00+00:00</OpenedDate>
    <SignificantOrder xmlns="dc463f71-b30c-4ab2-9473-d307f9d35888">false</SignificantOrder>
    <Date1 xmlns="dc463f71-b30c-4ab2-9473-d307f9d35888">2021-08-12T07:00:00+00:00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210627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687E88151AC54C87EB43A2B5AFEDE8" ma:contentTypeVersion="44" ma:contentTypeDescription="" ma:contentTypeScope="" ma:versionID="620281d5c7c96508dc5abac0a3fa0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F2745-C311-4CBF-A376-4BFC69D0A006}">
  <ds:schemaRefs>
    <ds:schemaRef ds:uri="http://schemas.microsoft.com/sharepoint/v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BC002-F846-421D-83C0-D0B7CE275377}"/>
</file>

<file path=customXml/itemProps4.xml><?xml version="1.0" encoding="utf-8"?>
<ds:datastoreItem xmlns:ds="http://schemas.openxmlformats.org/officeDocument/2006/customXml" ds:itemID="{A976A9BA-3CED-4528-8FA6-98EA57B94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Analysis</vt:lpstr>
      <vt:lpstr>Aug 20 - Jul 21</vt:lpstr>
      <vt:lpstr>Commodity Debit</vt:lpstr>
      <vt:lpstr>Calcs revised method</vt:lpstr>
      <vt:lpstr>Analysis!Print_Area</vt:lpstr>
      <vt:lpstr>'Calcs revised method'!Print_Area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2021-08-12T21:58:50Z</cp:lastPrinted>
  <dcterms:created xsi:type="dcterms:W3CDTF">2011-01-20T20:41:17Z</dcterms:created>
  <dcterms:modified xsi:type="dcterms:W3CDTF">2021-08-12T22:20:18Z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0x0101006E56B4D1795A2E4DB2F0B01679ED314A00FE687E88151AC54C87EB43A2B5AFEDE8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