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yer 1\Documents\MyFiles\Washington Water\2021 Rate Case\"/>
    </mc:Choice>
  </mc:AlternateContent>
  <xr:revisionPtr revIDLastSave="0" documentId="8_{47C62C98-998D-45F7-A1A2-8F350931C89E}" xr6:coauthVersionLast="46" xr6:coauthVersionMax="46" xr10:uidLastSave="{00000000-0000-0000-0000-000000000000}"/>
  <bookViews>
    <workbookView xWindow="-120" yWindow="-120" windowWidth="29040" windowHeight="15840" xr2:uid="{DA51B2DA-5F51-4DC0-B64E-7384BD21CD3F}"/>
  </bookViews>
  <sheets>
    <sheet name="RR Summary" sheetId="1" r:id="rId1"/>
    <sheet name="Capital Structure" sheetId="2" r:id="rId2"/>
  </sheets>
  <externalReferences>
    <externalReference r:id="rId3"/>
    <externalReference r:id="rId4"/>
  </externalReferences>
  <definedNames>
    <definedName name="_xlnm.Print_Area" localSheetId="1">'Capital Structure'!$B$2:$L$52</definedName>
    <definedName name="_xlnm.Print_Area" localSheetId="0">'RR Summary'!$B$2:$K$64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" l="1"/>
  <c r="I60" i="1"/>
  <c r="G60" i="1"/>
  <c r="E60" i="1"/>
  <c r="J60" i="1" l="1"/>
  <c r="F60" i="1"/>
  <c r="H60" i="1"/>
  <c r="M61" i="1" l="1"/>
  <c r="B60" i="1" l="1"/>
  <c r="B61" i="1" s="1"/>
  <c r="K47" i="2"/>
  <c r="B52" i="2"/>
  <c r="I47" i="2"/>
  <c r="B50" i="2"/>
  <c r="B47" i="2"/>
  <c r="B48" i="2" s="1"/>
  <c r="B46" i="2"/>
  <c r="B41" i="2"/>
  <c r="B40" i="2"/>
  <c r="B32" i="2"/>
  <c r="B27" i="2"/>
  <c r="B26" i="2"/>
  <c r="I20" i="2"/>
  <c r="I19" i="2"/>
  <c r="I18" i="2"/>
  <c r="I17" i="2"/>
  <c r="I16" i="2"/>
  <c r="I15" i="2"/>
  <c r="I14" i="2"/>
  <c r="I13" i="2"/>
  <c r="I12" i="2"/>
  <c r="I11" i="2"/>
  <c r="I10" i="2"/>
  <c r="G22" i="2"/>
  <c r="J20" i="2" s="1"/>
  <c r="F46" i="2" l="1"/>
  <c r="J17" i="2"/>
  <c r="K17" i="2" s="1"/>
  <c r="B33" i="2"/>
  <c r="B34" i="2"/>
  <c r="K20" i="2"/>
  <c r="J13" i="2"/>
  <c r="K13" i="2" s="1"/>
  <c r="J10" i="2"/>
  <c r="K10" i="2" s="1"/>
  <c r="J14" i="2"/>
  <c r="K14" i="2" s="1"/>
  <c r="J18" i="2"/>
  <c r="K18" i="2" s="1"/>
  <c r="J11" i="2"/>
  <c r="K11" i="2" s="1"/>
  <c r="J15" i="2"/>
  <c r="K15" i="2" s="1"/>
  <c r="J19" i="2"/>
  <c r="K19" i="2" s="1"/>
  <c r="J12" i="2"/>
  <c r="K12" i="2" s="1"/>
  <c r="J16" i="2"/>
  <c r="K16" i="2" s="1"/>
  <c r="J22" i="2" l="1"/>
  <c r="K22" i="2" l="1"/>
  <c r="K46" i="2" s="1"/>
  <c r="H46" i="2" l="1"/>
  <c r="B36" i="2"/>
  <c r="B5" i="2" l="1"/>
  <c r="B4" i="2"/>
  <c r="K59" i="1"/>
  <c r="K58" i="1"/>
  <c r="K57" i="1"/>
  <c r="K56" i="1"/>
  <c r="K55" i="1"/>
  <c r="I59" i="1"/>
  <c r="I58" i="1"/>
  <c r="I57" i="1"/>
  <c r="I56" i="1"/>
  <c r="I55" i="1"/>
  <c r="G59" i="1"/>
  <c r="G58" i="1"/>
  <c r="G57" i="1"/>
  <c r="G56" i="1"/>
  <c r="G55" i="1"/>
  <c r="K64" i="1"/>
  <c r="I64" i="1"/>
  <c r="G64" i="1"/>
  <c r="E64" i="1"/>
  <c r="E59" i="1"/>
  <c r="E58" i="1"/>
  <c r="E57" i="1"/>
  <c r="E56" i="1"/>
  <c r="E55" i="1"/>
  <c r="G50" i="1"/>
  <c r="E50" i="1"/>
  <c r="G49" i="1"/>
  <c r="E49" i="1"/>
  <c r="B12" i="1"/>
  <c r="B11" i="1"/>
  <c r="B5" i="1"/>
  <c r="B4" i="1"/>
  <c r="K44" i="1"/>
  <c r="K43" i="1"/>
  <c r="K42" i="1"/>
  <c r="K40" i="1"/>
  <c r="K39" i="1"/>
  <c r="K37" i="1"/>
  <c r="K36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6" i="1"/>
  <c r="K15" i="1"/>
  <c r="K14" i="1"/>
  <c r="K13" i="1"/>
  <c r="K12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6" i="1"/>
  <c r="I15" i="1"/>
  <c r="I14" i="1"/>
  <c r="I13" i="1"/>
  <c r="I12" i="1"/>
  <c r="I1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6" i="1"/>
  <c r="G15" i="1"/>
  <c r="G14" i="1"/>
  <c r="G13" i="1"/>
  <c r="G12" i="1"/>
  <c r="G11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6" i="1"/>
  <c r="E15" i="1"/>
  <c r="E14" i="1"/>
  <c r="E13" i="1"/>
  <c r="E12" i="1"/>
  <c r="E11" i="1"/>
  <c r="K61" i="1" l="1"/>
  <c r="I61" i="1"/>
  <c r="E61" i="1"/>
  <c r="H55" i="1"/>
  <c r="G61" i="1"/>
  <c r="N61" i="1"/>
  <c r="H57" i="1"/>
  <c r="F49" i="1"/>
  <c r="F59" i="1"/>
  <c r="H58" i="1"/>
  <c r="F58" i="1"/>
  <c r="H20" i="1"/>
  <c r="H28" i="1"/>
  <c r="H36" i="1"/>
  <c r="H44" i="1"/>
  <c r="J35" i="1"/>
  <c r="J23" i="1"/>
  <c r="H32" i="1"/>
  <c r="H25" i="1"/>
  <c r="H33" i="1"/>
  <c r="H41" i="1"/>
  <c r="J40" i="1"/>
  <c r="J27" i="1"/>
  <c r="J31" i="1"/>
  <c r="J36" i="1"/>
  <c r="J55" i="1"/>
  <c r="J59" i="1"/>
  <c r="H24" i="1"/>
  <c r="H40" i="1"/>
  <c r="H21" i="1"/>
  <c r="H29" i="1"/>
  <c r="H37" i="1"/>
  <c r="F21" i="1"/>
  <c r="F29" i="1"/>
  <c r="F37" i="1"/>
  <c r="F41" i="1"/>
  <c r="F26" i="1"/>
  <c r="F34" i="1"/>
  <c r="F42" i="1"/>
  <c r="J22" i="1"/>
  <c r="J30" i="1"/>
  <c r="H42" i="1"/>
  <c r="J42" i="1"/>
  <c r="H59" i="1"/>
  <c r="F23" i="1"/>
  <c r="F27" i="1"/>
  <c r="F31" i="1"/>
  <c r="F35" i="1"/>
  <c r="F39" i="1"/>
  <c r="F43" i="1"/>
  <c r="H23" i="1"/>
  <c r="H27" i="1"/>
  <c r="H31" i="1"/>
  <c r="H35" i="1"/>
  <c r="H39" i="1"/>
  <c r="H43" i="1"/>
  <c r="J20" i="1"/>
  <c r="J24" i="1"/>
  <c r="J28" i="1"/>
  <c r="J32" i="1"/>
  <c r="J37" i="1"/>
  <c r="J43" i="1"/>
  <c r="F25" i="1"/>
  <c r="F33" i="1"/>
  <c r="F45" i="1"/>
  <c r="F22" i="1"/>
  <c r="F30" i="1"/>
  <c r="F38" i="1"/>
  <c r="H26" i="1"/>
  <c r="H34" i="1"/>
  <c r="H38" i="1"/>
  <c r="F20" i="1"/>
  <c r="F24" i="1"/>
  <c r="F28" i="1"/>
  <c r="F32" i="1"/>
  <c r="F36" i="1"/>
  <c r="F40" i="1"/>
  <c r="F44" i="1"/>
  <c r="J21" i="1"/>
  <c r="J25" i="1"/>
  <c r="J29" i="1"/>
  <c r="J33" i="1"/>
  <c r="J39" i="1"/>
  <c r="J44" i="1"/>
  <c r="J57" i="1"/>
  <c r="J58" i="1"/>
  <c r="J56" i="1"/>
  <c r="H56" i="1"/>
  <c r="F56" i="1"/>
  <c r="F57" i="1"/>
  <c r="F55" i="1"/>
  <c r="J26" i="1"/>
  <c r="H22" i="1"/>
  <c r="H30" i="1"/>
  <c r="F50" i="1"/>
  <c r="B13" i="1"/>
  <c r="E46" i="1"/>
  <c r="E51" i="1" s="1"/>
  <c r="H14" i="1"/>
  <c r="F12" i="1"/>
  <c r="F16" i="1"/>
  <c r="J13" i="1"/>
  <c r="E17" i="1"/>
  <c r="H12" i="1"/>
  <c r="H16" i="1"/>
  <c r="F13" i="1"/>
  <c r="J14" i="1"/>
  <c r="F14" i="1"/>
  <c r="J15" i="1"/>
  <c r="F11" i="1"/>
  <c r="F15" i="1"/>
  <c r="H11" i="1"/>
  <c r="H15" i="1"/>
  <c r="J12" i="1"/>
  <c r="J16" i="1"/>
  <c r="G46" i="1"/>
  <c r="G51" i="1" s="1"/>
  <c r="I17" i="1"/>
  <c r="H13" i="1"/>
  <c r="G17" i="1"/>
  <c r="F61" i="1" l="1"/>
  <c r="J61" i="1"/>
  <c r="H61" i="1"/>
  <c r="G48" i="1"/>
  <c r="G52" i="1" s="1"/>
  <c r="G53" i="1" s="1"/>
  <c r="G63" i="1" s="1"/>
  <c r="F46" i="1"/>
  <c r="F51" i="1" s="1"/>
  <c r="E48" i="1"/>
  <c r="E52" i="1" s="1"/>
  <c r="E53" i="1" s="1"/>
  <c r="E63" i="1" s="1"/>
  <c r="B14" i="1"/>
  <c r="B15" i="1"/>
  <c r="F17" i="1"/>
  <c r="H17" i="1"/>
  <c r="F34" i="2" l="1"/>
  <c r="F48" i="1"/>
  <c r="F52" i="1" s="1"/>
  <c r="F53" i="1" s="1"/>
  <c r="B16" i="1"/>
  <c r="B17" i="1"/>
  <c r="F36" i="2" l="1"/>
  <c r="G34" i="2" s="1"/>
  <c r="I34" i="2" s="1"/>
  <c r="B19" i="1"/>
  <c r="F48" i="2" l="1"/>
  <c r="G33" i="2"/>
  <c r="I33" i="2" s="1"/>
  <c r="G32" i="2"/>
  <c r="I32" i="2" s="1"/>
  <c r="F50" i="2"/>
  <c r="G46" i="2" s="1"/>
  <c r="B20" i="1"/>
  <c r="I36" i="2" l="1"/>
  <c r="H48" i="2" s="1"/>
  <c r="K48" i="2" s="1"/>
  <c r="L48" i="2" s="1"/>
  <c r="G36" i="2"/>
  <c r="G48" i="2"/>
  <c r="J46" i="2"/>
  <c r="I46" i="2"/>
  <c r="B21" i="1"/>
  <c r="B22" i="1"/>
  <c r="I48" i="2" l="1"/>
  <c r="G50" i="2"/>
  <c r="B23" i="1"/>
  <c r="I50" i="2"/>
  <c r="J47" i="2"/>
  <c r="L47" i="2" s="1"/>
  <c r="L46" i="2"/>
  <c r="B24" i="1"/>
  <c r="J50" i="2" l="1"/>
  <c r="L50" i="2"/>
  <c r="E52" i="2" s="1"/>
  <c r="B25" i="1"/>
  <c r="B26" i="1" s="1"/>
  <c r="B27" i="1" l="1"/>
  <c r="B28" i="1" l="1"/>
  <c r="B30" i="1" s="1"/>
  <c r="B31" i="1" s="1"/>
  <c r="B29" i="1"/>
  <c r="I49" i="1" l="1"/>
  <c r="H49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8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3" i="1" s="1"/>
  <c r="B64" i="1" s="1"/>
  <c r="K49" i="1" l="1"/>
  <c r="J49" i="1" s="1"/>
  <c r="M49" i="1"/>
  <c r="N49" i="1" s="1"/>
  <c r="B11" i="2"/>
  <c r="B12" i="2" l="1"/>
  <c r="B13" i="2" l="1"/>
  <c r="B14" i="2" l="1"/>
  <c r="B15" i="2" l="1"/>
  <c r="B16" i="2" s="1"/>
  <c r="B17" i="2" s="1"/>
  <c r="B18" i="2" l="1"/>
  <c r="B19" i="2" s="1"/>
  <c r="B20" i="2" l="1"/>
  <c r="B22" i="2" s="1"/>
  <c r="K11" i="1" l="1"/>
  <c r="K17" i="1" s="1"/>
  <c r="J11" i="1" l="1"/>
  <c r="J17" i="1" s="1"/>
  <c r="K34" i="1"/>
  <c r="K38" i="1"/>
  <c r="J38" i="1" s="1"/>
  <c r="K41" i="1"/>
  <c r="J41" i="1" s="1"/>
  <c r="I45" i="1"/>
  <c r="H45" i="1" s="1"/>
  <c r="H46" i="1" s="1"/>
  <c r="H48" i="1" s="1"/>
  <c r="K45" i="1"/>
  <c r="J45" i="1" s="1"/>
  <c r="M46" i="1"/>
  <c r="M48" i="1"/>
  <c r="I50" i="1"/>
  <c r="H50" i="1" s="1"/>
  <c r="K50" i="1"/>
  <c r="J50" i="1" s="1"/>
  <c r="M50" i="1"/>
  <c r="M53" i="1"/>
  <c r="H52" i="1" l="1"/>
  <c r="H53" i="1" s="1"/>
  <c r="I46" i="1"/>
  <c r="K46" i="1"/>
  <c r="K48" i="1" s="1"/>
  <c r="N50" i="1"/>
  <c r="N46" i="1"/>
  <c r="H51" i="1"/>
  <c r="J34" i="1"/>
  <c r="J46" i="1" s="1"/>
  <c r="K51" i="1" l="1"/>
  <c r="I48" i="1"/>
  <c r="I52" i="1" s="1"/>
  <c r="I53" i="1" s="1"/>
  <c r="I63" i="1" s="1"/>
  <c r="I51" i="1"/>
  <c r="J48" i="1"/>
  <c r="J52" i="1" s="1"/>
  <c r="J53" i="1" s="1"/>
  <c r="J51" i="1"/>
  <c r="K52" i="1"/>
  <c r="K53" i="1" s="1"/>
  <c r="N48" i="1"/>
  <c r="K63" i="1" l="1"/>
  <c r="N53" i="1"/>
</calcChain>
</file>

<file path=xl/sharedStrings.xml><?xml version="1.0" encoding="utf-8"?>
<sst xmlns="http://schemas.openxmlformats.org/spreadsheetml/2006/main" count="158" uniqueCount="102">
  <si>
    <t>Washington Water Service Company</t>
  </si>
  <si>
    <t>Consolidated Revenue Requirement</t>
  </si>
  <si>
    <t>Metered Sales</t>
  </si>
  <si>
    <t>Unmetered Sales</t>
  </si>
  <si>
    <t>Ready-to-Serve</t>
  </si>
  <si>
    <t>Fire Protection/Irrigation</t>
  </si>
  <si>
    <t>Jobbing</t>
  </si>
  <si>
    <t>Other Income, Ancillary Charges</t>
  </si>
  <si>
    <t>Company End of Year</t>
  </si>
  <si>
    <t>OPERATING REVENUE</t>
  </si>
  <si>
    <t>REVENUES</t>
  </si>
  <si>
    <t>EXPENSES</t>
  </si>
  <si>
    <t>Salary and Wages - Employees</t>
  </si>
  <si>
    <t>Salary and Wages - Officers</t>
  </si>
  <si>
    <t>Employee Pensions and Benefits</t>
  </si>
  <si>
    <t>Purchased Power/Water</t>
  </si>
  <si>
    <t>Chemicals &amp; Testing</t>
  </si>
  <si>
    <t>Material &amp; Supplies</t>
  </si>
  <si>
    <t>Contractual Engineer</t>
  </si>
  <si>
    <t>Contractual Accounting</t>
  </si>
  <si>
    <t>Contractual Legal</t>
  </si>
  <si>
    <t>Contractual Operations</t>
  </si>
  <si>
    <t>Rental of Building, Property, and Equipment</t>
  </si>
  <si>
    <t>Transportation</t>
  </si>
  <si>
    <t>Insurance - Vehicle, General Liability, Workman's Comp.</t>
  </si>
  <si>
    <t>Regulatory Commission Expenses - Fees</t>
  </si>
  <si>
    <t>Regulatory Commission Expenses - Amort. Rate Case</t>
  </si>
  <si>
    <t>Travel, Education, CCR, and Public Relations</t>
  </si>
  <si>
    <t>Office, Postage, Phone, and Bank Charges</t>
  </si>
  <si>
    <t>Bad Debt</t>
  </si>
  <si>
    <t>Repairs</t>
  </si>
  <si>
    <t>Net Depreciation/Amortization</t>
  </si>
  <si>
    <t>Utility Excise Tax</t>
  </si>
  <si>
    <t>Property Tax</t>
  </si>
  <si>
    <t>Payroll Tax (ESD, L&amp;I)</t>
  </si>
  <si>
    <t>Other Taxes &amp; Licenses (DOH/DOE)</t>
  </si>
  <si>
    <t>Miscellaneous</t>
  </si>
  <si>
    <t>OPERATING EXPENSES</t>
  </si>
  <si>
    <t>Operating Income Before Interest &amp; Taxes</t>
  </si>
  <si>
    <t>Interest Expense</t>
  </si>
  <si>
    <t>Federal Income Tax - 21%</t>
  </si>
  <si>
    <t>TOTAL OPERATING EXPENSES</t>
  </si>
  <si>
    <t>NET INCOME/LOSS</t>
  </si>
  <si>
    <t>Restating Adjustments</t>
  </si>
  <si>
    <t>Restated Results</t>
  </si>
  <si>
    <t>Pro Forma Adjustments</t>
  </si>
  <si>
    <t>Pro Forma Results</t>
  </si>
  <si>
    <t>Revised Revenues</t>
  </si>
  <si>
    <t>Results of Revised Rates</t>
  </si>
  <si>
    <t>Line No.</t>
  </si>
  <si>
    <t>Description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</si>
  <si>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</si>
  <si>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</si>
  <si>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</si>
  <si>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</si>
  <si>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</si>
  <si>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</si>
  <si>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</si>
  <si>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</si>
  <si>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NET OPERATING INCOME</t>
  </si>
  <si>
    <t>RATE BASE</t>
  </si>
  <si>
    <t>Utility Plant in Service</t>
  </si>
  <si>
    <t>Accumulated Depreciation</t>
  </si>
  <si>
    <t>Contributions in Aid of Construction (CIAC)</t>
  </si>
  <si>
    <t>Accumulated Amortization</t>
  </si>
  <si>
    <t>NET RATE BASE</t>
  </si>
  <si>
    <t>Rate of Return</t>
  </si>
  <si>
    <t>Customer Count</t>
  </si>
  <si>
    <t>Check to GRC</t>
  </si>
  <si>
    <t>Difference</t>
  </si>
  <si>
    <t>Year</t>
  </si>
  <si>
    <t>Note Category</t>
  </si>
  <si>
    <t>Principal Balance</t>
  </si>
  <si>
    <t>Interest Rate</t>
  </si>
  <si>
    <t>LTD - DWSRF - Cristalia</t>
  </si>
  <si>
    <t>LTD - SRF Rosario</t>
  </si>
  <si>
    <t>LTD- California Water Service</t>
  </si>
  <si>
    <t>Loan - DWSRF</t>
  </si>
  <si>
    <t>Loan - Owner</t>
  </si>
  <si>
    <t>Consolidated Debt Structure</t>
  </si>
  <si>
    <t>Percent of Total</t>
  </si>
  <si>
    <t>Weighted Cost Rate</t>
  </si>
  <si>
    <t>Rate Case Interest Rate</t>
  </si>
  <si>
    <t>Prime Rate used for Owner-Provided Loans + 200 Basis Points</t>
  </si>
  <si>
    <t>Debt</t>
  </si>
  <si>
    <t>Equity</t>
  </si>
  <si>
    <t>Common Stock</t>
  </si>
  <si>
    <t>Balance</t>
  </si>
  <si>
    <t>Weight</t>
  </si>
  <si>
    <t>Weighted Total</t>
  </si>
  <si>
    <t>Retained Earnings</t>
  </si>
  <si>
    <t>Total</t>
  </si>
  <si>
    <t>Weighted Cost of Capital</t>
  </si>
  <si>
    <t>Actual Percentage</t>
  </si>
  <si>
    <t>Actual Capital Structure</t>
  </si>
  <si>
    <t>Hypothetical Percentage</t>
  </si>
  <si>
    <t>Hypothetical Capital Structure</t>
  </si>
  <si>
    <t>Net Income (Restated)</t>
  </si>
  <si>
    <t>Used for Return</t>
  </si>
  <si>
    <t>Rate</t>
  </si>
  <si>
    <t>Hypothetical Debt (2020 Test Year)</t>
  </si>
  <si>
    <t>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</si>
</sst>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.000000_);_(* \(#,##0.00000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 wrapText="1"/>
    </xf>
    <xf numFmtId="41" fontId="0" fillId="0" borderId="0" xfId="0" applyNumberFormat="1"/>
    <xf numFmtId="41" fontId="0" fillId="0" borderId="1" xfId="0" applyNumberFormat="1" applyBorder="1"/>
    <xf numFmtId="41" fontId="2" fillId="0" borderId="0" xfId="0" applyNumberFormat="1" applyFont="1"/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2" fillId="0" borderId="3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1" fontId="0" fillId="0" borderId="0" xfId="0" applyNumberFormat="1" applyFont="1"/>
    <xf numFmtId="42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41" fontId="0" fillId="0" borderId="0" xfId="0" applyNumberFormat="1" applyBorder="1"/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/>
    <xf numFmtId="42" fontId="0" fillId="0" borderId="0" xfId="0" applyNumberFormat="1" applyFont="1" applyBorder="1"/>
    <xf numFmtId="9" fontId="0" fillId="0" borderId="0" xfId="1" applyFont="1" applyBorder="1"/>
    <xf numFmtId="10" fontId="2" fillId="0" borderId="0" xfId="1" applyNumberFormat="1" applyFont="1"/>
    <xf numFmtId="10" fontId="1" fillId="0" borderId="0" xfId="1" applyNumberFormat="1" applyFont="1" applyBorder="1"/>
    <xf numFmtId="10" fontId="1" fillId="0" borderId="0" xfId="1" applyNumberFormat="1" applyFont="1"/>
    <xf numFmtId="41" fontId="0" fillId="0" borderId="3" xfId="0" applyNumberFormat="1" applyBorder="1"/>
    <xf numFmtId="9" fontId="2" fillId="0" borderId="0" xfId="1" applyFon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10" fontId="0" fillId="0" borderId="3" xfId="1" applyNumberFormat="1" applyFont="1" applyBorder="1"/>
    <xf numFmtId="10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.weaver/Desktop/48510-001%20WWS%20GRC/WWSC/RFP%20-%20Review%20Version%202021.07.13/FINAL/WWSC%20GRC%20Work%20Book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wyer%201/AppData/Local/Temp/Temp1_2021%20Washington%20GRC.zip/EP%20GRC%20Work%20Book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Inputs"/>
      <sheetName val="Output"/>
      <sheetName val="PFIS"/>
      <sheetName val="Capital Structure"/>
      <sheetName val="Int Sync, NTG, Rev Req"/>
      <sheetName val="5A and 5B"/>
      <sheetName val="Resources"/>
      <sheetName val="Rate Design"/>
      <sheetName val="Bill Revised"/>
    </sheetNames>
    <sheetDataSet>
      <sheetData sheetId="0"/>
      <sheetData sheetId="1"/>
      <sheetData sheetId="2"/>
      <sheetData sheetId="3">
        <row r="2">
          <cell r="B2" t="str">
            <v>UW-0</v>
          </cell>
        </row>
        <row r="3">
          <cell r="B3" t="str">
            <v>For Test Year Ended December 31, 2020</v>
          </cell>
        </row>
        <row r="9">
          <cell r="C9">
            <v>13272833.440000001</v>
          </cell>
          <cell r="F9">
            <v>13272833.440000001</v>
          </cell>
          <cell r="I9">
            <v>13272833.440000001</v>
          </cell>
          <cell r="L9">
            <v>12648040.584315576</v>
          </cell>
        </row>
        <row r="10">
          <cell r="C10">
            <v>6536.16</v>
          </cell>
          <cell r="F10">
            <v>6536.16</v>
          </cell>
          <cell r="I10">
            <v>6536.16</v>
          </cell>
          <cell r="L10">
            <v>6228.4829625331358</v>
          </cell>
        </row>
        <row r="11">
          <cell r="C11">
            <v>43444.59</v>
          </cell>
          <cell r="F11">
            <v>43444.59</v>
          </cell>
          <cell r="I11">
            <v>43444.59</v>
          </cell>
          <cell r="L11">
            <v>43444.59</v>
          </cell>
        </row>
        <row r="12">
          <cell r="C12">
            <v>64124.76</v>
          </cell>
          <cell r="F12">
            <v>64124.76</v>
          </cell>
          <cell r="I12">
            <v>64124.76</v>
          </cell>
          <cell r="L12">
            <v>64124.76</v>
          </cell>
        </row>
        <row r="13">
          <cell r="C13">
            <v>279906.77</v>
          </cell>
          <cell r="F13">
            <v>0</v>
          </cell>
          <cell r="I13">
            <v>0</v>
          </cell>
          <cell r="L13">
            <v>0</v>
          </cell>
        </row>
        <row r="14">
          <cell r="C14">
            <v>-65387.5</v>
          </cell>
          <cell r="F14">
            <v>41262.5</v>
          </cell>
          <cell r="I14">
            <v>41262.5</v>
          </cell>
          <cell r="L14">
            <v>41262.5</v>
          </cell>
        </row>
        <row r="18">
          <cell r="C18">
            <v>2608209.9400000004</v>
          </cell>
          <cell r="F18">
            <v>2608209.9400000004</v>
          </cell>
          <cell r="I18">
            <v>2846664.1637470839</v>
          </cell>
          <cell r="L18">
            <v>2846664.1637470839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</row>
        <row r="20">
          <cell r="C20">
            <v>1839043.1300000001</v>
          </cell>
          <cell r="F20">
            <v>1839043.1300000001</v>
          </cell>
          <cell r="I20">
            <v>2045386.9731189932</v>
          </cell>
          <cell r="L20">
            <v>2045386.9731189932</v>
          </cell>
        </row>
        <row r="21">
          <cell r="C21">
            <v>484118.54999999993</v>
          </cell>
          <cell r="F21">
            <v>484118.54999999993</v>
          </cell>
          <cell r="I21">
            <v>417014.74315999995</v>
          </cell>
          <cell r="L21">
            <v>417014.74315999995</v>
          </cell>
        </row>
        <row r="22">
          <cell r="C22">
            <v>75515.749999999985</v>
          </cell>
          <cell r="F22">
            <v>75515.749999999985</v>
          </cell>
          <cell r="I22">
            <v>77177.096499999985</v>
          </cell>
          <cell r="L22">
            <v>77177.096499999985</v>
          </cell>
        </row>
        <row r="23">
          <cell r="C23">
            <v>341114.60000000003</v>
          </cell>
          <cell r="F23">
            <v>340180.91000000003</v>
          </cell>
          <cell r="I23">
            <v>345614.34922000003</v>
          </cell>
          <cell r="L23">
            <v>345614.34922000003</v>
          </cell>
        </row>
        <row r="24">
          <cell r="C24">
            <v>5595</v>
          </cell>
          <cell r="F24">
            <v>5595</v>
          </cell>
          <cell r="I24">
            <v>5718.09</v>
          </cell>
          <cell r="L24">
            <v>5718.09</v>
          </cell>
        </row>
        <row r="25">
          <cell r="C25">
            <v>111826.36</v>
          </cell>
          <cell r="F25">
            <v>111826.36</v>
          </cell>
          <cell r="I25">
            <v>114286.53992</v>
          </cell>
          <cell r="L25">
            <v>114286.53992</v>
          </cell>
        </row>
        <row r="26">
          <cell r="C26">
            <v>7108.6</v>
          </cell>
          <cell r="F26">
            <v>7108.6</v>
          </cell>
          <cell r="I26">
            <v>7264.9892</v>
          </cell>
          <cell r="L26">
            <v>7264.9892</v>
          </cell>
        </row>
        <row r="27">
          <cell r="C27">
            <v>467226.55000000005</v>
          </cell>
          <cell r="F27">
            <v>497155.74190000002</v>
          </cell>
          <cell r="I27">
            <v>485560.06856000004</v>
          </cell>
          <cell r="L27">
            <v>485560.06856000004</v>
          </cell>
        </row>
        <row r="28">
          <cell r="C28">
            <v>312465.84000000003</v>
          </cell>
          <cell r="F28">
            <v>0</v>
          </cell>
          <cell r="I28">
            <v>0</v>
          </cell>
          <cell r="L28">
            <v>0</v>
          </cell>
        </row>
        <row r="29">
          <cell r="C29">
            <v>63175.460000000006</v>
          </cell>
          <cell r="F29">
            <v>63175.460000000006</v>
          </cell>
          <cell r="I29">
            <v>64565.320120000004</v>
          </cell>
          <cell r="L29">
            <v>64565.320120000004</v>
          </cell>
        </row>
        <row r="30">
          <cell r="C30">
            <v>261160.16</v>
          </cell>
          <cell r="F30">
            <v>261160.16</v>
          </cell>
          <cell r="I30">
            <v>266905.68352000002</v>
          </cell>
          <cell r="L30">
            <v>266905.68352000002</v>
          </cell>
        </row>
        <row r="31">
          <cell r="C31">
            <v>57884.62999999999</v>
          </cell>
          <cell r="F31">
            <v>57884.62999999999</v>
          </cell>
          <cell r="I31">
            <v>59158.091859999993</v>
          </cell>
          <cell r="L31">
            <v>59158.091859999993</v>
          </cell>
        </row>
        <row r="32">
          <cell r="C32">
            <v>44364.97</v>
          </cell>
          <cell r="F32">
            <v>44364.97</v>
          </cell>
          <cell r="I32">
            <v>26856.402900000005</v>
          </cell>
          <cell r="L32">
            <v>25607.266941458613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106792.97</v>
          </cell>
          <cell r="F34">
            <v>92982.399999999994</v>
          </cell>
          <cell r="I34">
            <v>95028.012799999997</v>
          </cell>
          <cell r="L34">
            <v>95028.012799999997</v>
          </cell>
        </row>
        <row r="35">
          <cell r="C35">
            <v>504153</v>
          </cell>
          <cell r="F35">
            <v>503572.24</v>
          </cell>
          <cell r="I35">
            <v>514650.82928000001</v>
          </cell>
          <cell r="L35">
            <v>514650.82928000001</v>
          </cell>
        </row>
        <row r="36">
          <cell r="C36">
            <v>72401.58</v>
          </cell>
          <cell r="F36">
            <v>66934.69475000001</v>
          </cell>
          <cell r="I36">
            <v>66934.69475000001</v>
          </cell>
          <cell r="L36">
            <v>63811.854853646531</v>
          </cell>
        </row>
        <row r="37">
          <cell r="C37">
            <v>0</v>
          </cell>
          <cell r="F37">
            <v>0</v>
          </cell>
          <cell r="I37">
            <v>0</v>
          </cell>
          <cell r="L37">
            <v>0</v>
          </cell>
        </row>
        <row r="38">
          <cell r="C38">
            <v>1837257.0299999998</v>
          </cell>
          <cell r="F38">
            <v>2084748.3600000034</v>
          </cell>
          <cell r="I38">
            <v>2084748.3600000034</v>
          </cell>
          <cell r="L38">
            <v>2084748.3600000034</v>
          </cell>
        </row>
        <row r="39">
          <cell r="C39">
            <v>721439.98</v>
          </cell>
          <cell r="F39">
            <v>721439.98</v>
          </cell>
          <cell r="I39">
            <v>673229.15979550022</v>
          </cell>
          <cell r="L39">
            <v>641819.63611797697</v>
          </cell>
        </row>
        <row r="40">
          <cell r="C40">
            <v>237847.90000000002</v>
          </cell>
          <cell r="F40">
            <v>237847.90000000002</v>
          </cell>
          <cell r="I40">
            <v>270658.68700000003</v>
          </cell>
          <cell r="L40">
            <v>270658.68700000003</v>
          </cell>
        </row>
        <row r="41">
          <cell r="C41">
            <v>200791.87000000002</v>
          </cell>
          <cell r="F41">
            <v>200791.87000000002</v>
          </cell>
          <cell r="I41">
            <v>200791.87000000002</v>
          </cell>
          <cell r="L41">
            <v>200791.87000000002</v>
          </cell>
        </row>
        <row r="42">
          <cell r="C42">
            <v>23780.050000000003</v>
          </cell>
          <cell r="F42">
            <v>23780.050000000003</v>
          </cell>
          <cell r="I42">
            <v>24288.617180000001</v>
          </cell>
          <cell r="L42">
            <v>24288.617180000001</v>
          </cell>
        </row>
        <row r="43">
          <cell r="C43">
            <v>179080.95999999996</v>
          </cell>
          <cell r="F43">
            <v>107644.45999999996</v>
          </cell>
          <cell r="I43">
            <v>-465626.55763062369</v>
          </cell>
          <cell r="L43">
            <v>-465626.55763062369</v>
          </cell>
        </row>
        <row r="44">
          <cell r="L44">
            <v>10191094.68546854</v>
          </cell>
        </row>
        <row r="46">
          <cell r="L46">
            <v>2612006.2318095695</v>
          </cell>
        </row>
        <row r="47">
          <cell r="C47">
            <v>433423.37</v>
          </cell>
          <cell r="F47">
            <v>433423.37</v>
          </cell>
          <cell r="I47">
            <v>470303.78432757076</v>
          </cell>
          <cell r="L47">
            <v>470303.78432757076</v>
          </cell>
        </row>
        <row r="48">
          <cell r="C48">
            <v>381906.08999999997</v>
          </cell>
          <cell r="F48">
            <v>401814.32999999996</v>
          </cell>
          <cell r="I48">
            <v>573514.51094100962</v>
          </cell>
          <cell r="L48">
            <v>393420.35019597132</v>
          </cell>
        </row>
        <row r="51">
          <cell r="L51">
            <v>2218585.8816135982</v>
          </cell>
        </row>
        <row r="54">
          <cell r="C54">
            <v>63089271.399999991</v>
          </cell>
          <cell r="F54">
            <v>63614894.070000038</v>
          </cell>
          <cell r="I54">
            <v>63614894.070000038</v>
          </cell>
          <cell r="L54">
            <v>63614894.070000038</v>
          </cell>
        </row>
        <row r="55">
          <cell r="C55">
            <v>-24641936.780000001</v>
          </cell>
          <cell r="F55">
            <v>-26678918.420000084</v>
          </cell>
          <cell r="I55">
            <v>-26678918.420000084</v>
          </cell>
          <cell r="L55">
            <v>-26678918.420000084</v>
          </cell>
        </row>
        <row r="56">
          <cell r="C56">
            <v>-1526315.8599999999</v>
          </cell>
          <cell r="F56">
            <v>-1526315.8599999999</v>
          </cell>
          <cell r="I56">
            <v>-1526315.8599999999</v>
          </cell>
          <cell r="L56">
            <v>-1526315.8599999999</v>
          </cell>
        </row>
        <row r="57">
          <cell r="C57">
            <v>-16754922.059999995</v>
          </cell>
          <cell r="F57">
            <v>-16598633.199999999</v>
          </cell>
          <cell r="I57">
            <v>-16598633.199999999</v>
          </cell>
          <cell r="L57">
            <v>-16598633.199999999</v>
          </cell>
        </row>
        <row r="58">
          <cell r="C58">
            <v>8607510.3699999992</v>
          </cell>
          <cell r="F58">
            <v>8608389.4300000072</v>
          </cell>
          <cell r="I58">
            <v>8608389.4300000072</v>
          </cell>
          <cell r="L58">
            <v>8608389.4300000072</v>
          </cell>
        </row>
        <row r="59">
          <cell r="I59">
            <v>-3140220.8880000003</v>
          </cell>
          <cell r="L59">
            <v>-3140220.8880000003</v>
          </cell>
        </row>
        <row r="60">
          <cell r="L60">
            <v>24279195.131999962</v>
          </cell>
        </row>
        <row r="62">
          <cell r="C62">
            <v>9.2348423454022041E-2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Inputs"/>
      <sheetName val="Output"/>
      <sheetName val="PFIS"/>
      <sheetName val="Capital Structure"/>
      <sheetName val="Int Sync, NTG, Rev Req"/>
      <sheetName val="5A and 5B"/>
      <sheetName val="Resources"/>
      <sheetName val="Rate Design"/>
      <sheetName val=".625 Median"/>
      <sheetName val="Bill Revised"/>
    </sheetNames>
    <sheetDataSet>
      <sheetData sheetId="0"/>
      <sheetData sheetId="1"/>
      <sheetData sheetId="2"/>
      <sheetData sheetId="3">
        <row r="9">
          <cell r="C9">
            <v>4607902.5600000005</v>
          </cell>
          <cell r="F9">
            <v>4607902.5600000005</v>
          </cell>
          <cell r="I9">
            <v>6968410.224440678</v>
          </cell>
          <cell r="L9">
            <v>10708754.741999999</v>
          </cell>
        </row>
        <row r="10">
          <cell r="C10">
            <v>717</v>
          </cell>
          <cell r="F10">
            <v>717</v>
          </cell>
          <cell r="I10">
            <v>1229.1428571428571</v>
          </cell>
          <cell r="L10">
            <v>1953.4341182228507</v>
          </cell>
        </row>
        <row r="11">
          <cell r="C11">
            <v>0</v>
          </cell>
          <cell r="F11">
            <v>0</v>
          </cell>
          <cell r="I11">
            <v>0</v>
          </cell>
          <cell r="L11">
            <v>0</v>
          </cell>
        </row>
        <row r="12">
          <cell r="C12">
            <v>192053.98</v>
          </cell>
          <cell r="F12">
            <v>192053.98</v>
          </cell>
          <cell r="I12">
            <v>329235.39428571431</v>
          </cell>
          <cell r="L12">
            <v>329235.39428571431</v>
          </cell>
        </row>
        <row r="13">
          <cell r="C13">
            <v>113258.04000000001</v>
          </cell>
          <cell r="F13">
            <v>0</v>
          </cell>
          <cell r="I13">
            <v>0</v>
          </cell>
          <cell r="L13">
            <v>0</v>
          </cell>
        </row>
        <row r="14">
          <cell r="C14">
            <v>35980.949999999997</v>
          </cell>
          <cell r="F14">
            <v>35980.949999999997</v>
          </cell>
          <cell r="I14">
            <v>61681.62857142857</v>
          </cell>
          <cell r="L14">
            <v>61681.62857142857</v>
          </cell>
        </row>
        <row r="18">
          <cell r="C18">
            <v>976737.39000000025</v>
          </cell>
          <cell r="F18">
            <v>976737.39000000025</v>
          </cell>
          <cell r="I18">
            <v>1936628.8395557743</v>
          </cell>
          <cell r="L18">
            <v>1936628.8395557743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</row>
        <row r="20">
          <cell r="C20">
            <v>689810.07</v>
          </cell>
          <cell r="F20">
            <v>689810.07</v>
          </cell>
          <cell r="I20">
            <v>1410506.9763342212</v>
          </cell>
          <cell r="L20">
            <v>1410506.9763342212</v>
          </cell>
        </row>
        <row r="21">
          <cell r="C21">
            <v>1231737.52</v>
          </cell>
          <cell r="F21">
            <v>1360704.7650000001</v>
          </cell>
          <cell r="I21">
            <v>2067644.3266453331</v>
          </cell>
          <cell r="L21">
            <v>2067644.3266453331</v>
          </cell>
        </row>
        <row r="22">
          <cell r="C22">
            <v>97482.08</v>
          </cell>
          <cell r="F22">
            <v>97482.08</v>
          </cell>
          <cell r="I22">
            <v>170788.60415999999</v>
          </cell>
          <cell r="L22">
            <v>170788.60415999999</v>
          </cell>
        </row>
        <row r="23">
          <cell r="C23">
            <v>119295.03999999999</v>
          </cell>
          <cell r="F23">
            <v>120848.48</v>
          </cell>
          <cell r="I23">
            <v>211726.53695999997</v>
          </cell>
          <cell r="L23">
            <v>211726.53695999997</v>
          </cell>
        </row>
        <row r="24">
          <cell r="C24">
            <v>0</v>
          </cell>
          <cell r="F24">
            <v>0</v>
          </cell>
          <cell r="I24">
            <v>0</v>
          </cell>
          <cell r="L24">
            <v>0</v>
          </cell>
        </row>
        <row r="25">
          <cell r="C25">
            <v>67776.39</v>
          </cell>
          <cell r="F25">
            <v>79072.455000000002</v>
          </cell>
          <cell r="I25">
            <v>138534.94115999999</v>
          </cell>
          <cell r="L25">
            <v>138534.94115999999</v>
          </cell>
        </row>
        <row r="26">
          <cell r="C26">
            <v>0</v>
          </cell>
          <cell r="F26">
            <v>0</v>
          </cell>
          <cell r="I26">
            <v>0</v>
          </cell>
          <cell r="L26">
            <v>0</v>
          </cell>
        </row>
        <row r="27">
          <cell r="C27">
            <v>189044.69</v>
          </cell>
          <cell r="F27">
            <v>1692.7748499999871</v>
          </cell>
          <cell r="I27">
            <v>72059.771620285712</v>
          </cell>
          <cell r="L27">
            <v>72059.771620285712</v>
          </cell>
        </row>
        <row r="28">
          <cell r="C28">
            <v>34636.660000000003</v>
          </cell>
          <cell r="F28">
            <v>0</v>
          </cell>
          <cell r="I28">
            <v>0</v>
          </cell>
          <cell r="L28">
            <v>0</v>
          </cell>
        </row>
        <row r="29">
          <cell r="C29">
            <v>165835.63</v>
          </cell>
          <cell r="F29">
            <v>165835.63</v>
          </cell>
          <cell r="I29">
            <v>290544.02376000001</v>
          </cell>
          <cell r="L29">
            <v>290544.02376000001</v>
          </cell>
        </row>
        <row r="30">
          <cell r="C30">
            <v>73263.03</v>
          </cell>
          <cell r="F30">
            <v>73263.03</v>
          </cell>
          <cell r="I30">
            <v>128356.82855999999</v>
          </cell>
          <cell r="L30">
            <v>128356.82855999999</v>
          </cell>
        </row>
        <row r="31">
          <cell r="C31">
            <v>31195.38</v>
          </cell>
          <cell r="F31">
            <v>16555.968333333331</v>
          </cell>
          <cell r="I31">
            <v>29006.056519999995</v>
          </cell>
          <cell r="L31">
            <v>29006.056519999995</v>
          </cell>
        </row>
        <row r="32">
          <cell r="C32">
            <v>0</v>
          </cell>
          <cell r="F32">
            <v>0</v>
          </cell>
          <cell r="I32">
            <v>14721.112780309926</v>
          </cell>
          <cell r="L32">
            <v>22201.488570105081</v>
          </cell>
        </row>
        <row r="33">
          <cell r="C33">
            <v>0</v>
          </cell>
          <cell r="F33">
            <v>0</v>
          </cell>
          <cell r="I33">
            <v>0</v>
          </cell>
          <cell r="L33">
            <v>0</v>
          </cell>
        </row>
        <row r="34">
          <cell r="C34">
            <v>26576.429999999997</v>
          </cell>
          <cell r="F34">
            <v>26576.429999999997</v>
          </cell>
          <cell r="I34">
            <v>46561.90535999999</v>
          </cell>
          <cell r="L34">
            <v>46561.90535999999</v>
          </cell>
        </row>
        <row r="35">
          <cell r="C35">
            <v>272035.27999999997</v>
          </cell>
          <cell r="F35">
            <v>325189.86</v>
          </cell>
          <cell r="I35">
            <v>569732.63471999997</v>
          </cell>
          <cell r="L35">
            <v>569732.63471999997</v>
          </cell>
        </row>
        <row r="36">
          <cell r="C36">
            <v>16159.47</v>
          </cell>
          <cell r="F36">
            <v>24003.367700000006</v>
          </cell>
          <cell r="I36">
            <v>36494.373807917676</v>
          </cell>
          <cell r="L36">
            <v>55195.313282405565</v>
          </cell>
        </row>
        <row r="37">
          <cell r="C37">
            <v>0</v>
          </cell>
          <cell r="F37">
            <v>0</v>
          </cell>
          <cell r="I37">
            <v>0</v>
          </cell>
          <cell r="L37">
            <v>0</v>
          </cell>
        </row>
        <row r="38">
          <cell r="C38">
            <v>348166.75</v>
          </cell>
          <cell r="F38">
            <v>829752.9600000002</v>
          </cell>
          <cell r="I38">
            <v>829752.9600000002</v>
          </cell>
          <cell r="L38">
            <v>829752.9600000002</v>
          </cell>
        </row>
        <row r="39">
          <cell r="C39">
            <v>209358.05000000002</v>
          </cell>
          <cell r="F39">
            <v>209358.05000000002</v>
          </cell>
          <cell r="I39">
            <v>367060.41176003608</v>
          </cell>
          <cell r="L39">
            <v>555154.46099443536</v>
          </cell>
        </row>
        <row r="40">
          <cell r="C40">
            <v>144401.5</v>
          </cell>
          <cell r="F40">
            <v>144401.5</v>
          </cell>
          <cell r="I40">
            <v>235845.20000000007</v>
          </cell>
          <cell r="L40">
            <v>235845.20000000007</v>
          </cell>
        </row>
        <row r="41">
          <cell r="C41">
            <v>75441.990000000005</v>
          </cell>
          <cell r="F41">
            <v>75441.990000000005</v>
          </cell>
          <cell r="I41">
            <v>75441.990000000005</v>
          </cell>
          <cell r="L41">
            <v>75441.990000000005</v>
          </cell>
        </row>
        <row r="42">
          <cell r="C42">
            <v>3965.53</v>
          </cell>
          <cell r="F42">
            <v>15163.02</v>
          </cell>
          <cell r="I42">
            <v>26549.035611428568</v>
          </cell>
          <cell r="L42">
            <v>26549.035611428568</v>
          </cell>
        </row>
        <row r="43">
          <cell r="C43">
            <v>837172.92</v>
          </cell>
          <cell r="F43">
            <v>690564.18</v>
          </cell>
          <cell r="I43">
            <v>1125790.2388743742</v>
          </cell>
          <cell r="L43">
            <v>1125790.2388743742</v>
          </cell>
        </row>
        <row r="44">
          <cell r="L44">
            <v>9998022.1326883622</v>
          </cell>
        </row>
        <row r="46">
          <cell r="L46">
            <v>1103603.0662870016</v>
          </cell>
        </row>
        <row r="47">
          <cell r="C47">
            <v>280474.66000000003</v>
          </cell>
          <cell r="F47">
            <v>280474.66000000003</v>
          </cell>
          <cell r="I47">
            <v>193224.93003953219</v>
          </cell>
          <cell r="L47">
            <v>193224.93003953219</v>
          </cell>
        </row>
        <row r="48">
          <cell r="C48">
            <v>0</v>
          </cell>
          <cell r="F48">
            <v>0</v>
          </cell>
          <cell r="I48">
            <v>0</v>
          </cell>
          <cell r="L48">
            <v>190994.41668817587</v>
          </cell>
        </row>
        <row r="51">
          <cell r="L51">
            <v>912608.64959882572</v>
          </cell>
        </row>
        <row r="54">
          <cell r="C54">
            <v>50315384.719999984</v>
          </cell>
          <cell r="F54">
            <v>51149487.870000027</v>
          </cell>
          <cell r="I54">
            <v>51149487.870000027</v>
          </cell>
          <cell r="L54">
            <v>51149487.870000027</v>
          </cell>
        </row>
        <row r="55">
          <cell r="C55">
            <v>-19290613.920000002</v>
          </cell>
          <cell r="F55">
            <v>-20323283.729999993</v>
          </cell>
          <cell r="I55">
            <v>-20323283.729999993</v>
          </cell>
          <cell r="L55">
            <v>-20323283.729999993</v>
          </cell>
        </row>
        <row r="56">
          <cell r="C56">
            <v>279918</v>
          </cell>
          <cell r="F56">
            <v>279918</v>
          </cell>
          <cell r="I56">
            <v>279918</v>
          </cell>
          <cell r="L56">
            <v>279918</v>
          </cell>
        </row>
        <row r="57">
          <cell r="C57">
            <v>-33500008.920000002</v>
          </cell>
          <cell r="F57">
            <v>-33500330.999999996</v>
          </cell>
          <cell r="I57">
            <v>-33500330.999999996</v>
          </cell>
          <cell r="L57">
            <v>-33500330.999999996</v>
          </cell>
        </row>
        <row r="58">
          <cell r="C58">
            <v>12837979.970000001</v>
          </cell>
          <cell r="F58">
            <v>12840834.079999998</v>
          </cell>
          <cell r="I58">
            <v>12840834.079999998</v>
          </cell>
          <cell r="L58">
            <v>12840834.079999998</v>
          </cell>
        </row>
        <row r="59">
          <cell r="C59"/>
          <cell r="F59"/>
          <cell r="I59">
            <v>-471485.88000000006</v>
          </cell>
          <cell r="L59">
            <v>-471485.88000000006</v>
          </cell>
        </row>
        <row r="60">
          <cell r="L60">
            <v>9975139.3400000352</v>
          </cell>
        </row>
        <row r="62">
          <cell r="C62">
            <v>-6.2031416892460466E-2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3C1E-6A12-4FF6-A349-44C236F42C3D}">
  <sheetPr>
    <pageSetUpPr fitToPage="1"/>
  </sheetPr>
  <dimension ref="B1:N64"/>
  <sheetViews>
    <sheetView tabSelected="1" zoomScale="80" zoomScaleNormal="8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1.85546875" customWidth="1"/>
    <col min="2" max="2" width="5.85546875" style="8" customWidth="1"/>
    <col min="3" max="3" width="0.85546875" customWidth="1"/>
    <col min="4" max="4" width="47.85546875" bestFit="1" customWidth="1"/>
    <col min="5" max="11" width="15.42578125" style="3" customWidth="1"/>
    <col min="12" max="12" width="1.85546875" customWidth="1"/>
    <col min="13" max="14" width="17.140625" customWidth="1"/>
  </cols>
  <sheetData>
    <row r="1" spans="2:11" ht="5.0999999999999996" customHeight="1" x14ac:dyDescent="0.25">
      <c r="B1"/>
      <c r="E1"/>
      <c r="F1"/>
      <c r="G1"/>
      <c r="H1"/>
      <c r="I1"/>
      <c r="J1"/>
      <c r="K1"/>
    </row>
    <row r="2" spans="2:11" x14ac:dyDescent="0.25">
      <c r="B2" s="1" t="s">
        <v>0</v>
      </c>
      <c r="C2" s="1"/>
      <c r="E2"/>
      <c r="F2"/>
      <c r="G2"/>
      <c r="H2"/>
      <c r="I2"/>
      <c r="J2"/>
      <c r="K2"/>
    </row>
    <row r="3" spans="2:11" x14ac:dyDescent="0.25">
      <c r="B3" s="1" t="s">
        <v>1</v>
      </c>
      <c r="C3" s="1"/>
      <c r="E3"/>
      <c r="F3"/>
      <c r="G3"/>
      <c r="H3"/>
      <c r="I3"/>
      <c r="J3"/>
      <c r="K3"/>
    </row>
    <row r="4" spans="2:11" x14ac:dyDescent="0.25">
      <c r="B4" s="48" t="str">
        <f>[1]PFIS!$B$2</f>
        <v>UW-0</v>
      </c>
      <c r="C4" s="48"/>
      <c r="D4" s="48"/>
      <c r="E4"/>
      <c r="F4"/>
      <c r="G4"/>
      <c r="H4"/>
      <c r="I4"/>
      <c r="J4"/>
      <c r="K4"/>
    </row>
    <row r="5" spans="2:11" x14ac:dyDescent="0.25">
      <c r="B5" s="1" t="str">
        <f>[1]PFIS!$B$3</f>
        <v>For Test Year Ended December 31, 2020</v>
      </c>
      <c r="C5" s="1"/>
      <c r="E5"/>
      <c r="F5"/>
      <c r="G5"/>
      <c r="H5"/>
      <c r="I5"/>
      <c r="J5"/>
      <c r="K5"/>
    </row>
    <row r="6" spans="2:11" x14ac:dyDescent="0.25">
      <c r="B6"/>
      <c r="E6"/>
      <c r="F6"/>
      <c r="G6"/>
      <c r="H6"/>
      <c r="I6"/>
      <c r="J6"/>
      <c r="K6"/>
    </row>
    <row r="7" spans="2:11" ht="30.75" thickBot="1" x14ac:dyDescent="0.3">
      <c r="B7" s="2" t="s">
        <v>49</v>
      </c>
      <c r="C7" s="16" t="s">
        <v>50</v>
      </c>
      <c r="D7" s="16"/>
      <c r="E7" s="2" t="s">
        <v>8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</row>
    <row r="8" spans="2:11" x14ac:dyDescent="0.25">
      <c r="B8"/>
      <c r="C8" s="47" t="s">
        <v>51</v>
      </c>
      <c r="D8" s="47"/>
      <c r="E8" s="6" t="s">
        <v>52</v>
      </c>
      <c r="F8" s="6" t="s">
        <v>53</v>
      </c>
      <c r="G8" s="6" t="s">
        <v>54</v>
      </c>
      <c r="H8" s="6" t="s">
        <v>55</v>
      </c>
      <c r="I8" s="6" t="s">
        <v>56</v>
      </c>
      <c r="J8" s="6" t="s">
        <v>57</v>
      </c>
      <c r="K8" s="6" t="s">
        <v>58</v>
      </c>
    </row>
    <row r="9" spans="2:11" ht="5.0999999999999996" customHeight="1" x14ac:dyDescent="0.25">
      <c r="B9"/>
      <c r="E9" s="6"/>
      <c r="F9" s="6"/>
      <c r="G9" s="6"/>
      <c r="H9" s="6"/>
      <c r="I9" s="6"/>
      <c r="J9" s="6"/>
      <c r="K9" s="6"/>
    </row>
    <row r="10" spans="2:11" x14ac:dyDescent="0.25">
      <c r="B10" s="7">
        <v>1</v>
      </c>
      <c r="C10" s="1" t="s">
        <v>10</v>
      </c>
      <c r="E10"/>
      <c r="F10"/>
      <c r="G10"/>
      <c r="H10"/>
      <c r="I10"/>
      <c r="J10"/>
      <c r="K10"/>
    </row>
    <row r="11" spans="2:11" x14ac:dyDescent="0.25">
      <c r="B11" s="8">
        <f>MAX(B$10:B10)+1</f>
        <v>2</v>
      </c>
      <c r="D11" t="s">
        <v>2</v>
      </c>
      <c r="E11" s="13">
        <f>[1]PFIS!$C9+[2]PFIS!$C9</f>
        <v>17880736</v>
      </c>
      <c r="F11" s="13">
        <f>G11-E11</f>
        <v>0</v>
      </c>
      <c r="G11" s="13">
        <f>[1]PFIS!$F9+[2]PFIS!$F9</f>
        <v>17880736</v>
      </c>
      <c r="H11" s="13">
        <f>I11-G11</f>
        <v>2360507.6644406803</v>
      </c>
      <c r="I11" s="13">
        <f>[1]PFIS!$I9+[2]PFIS!$I9</f>
        <v>20241243.66444068</v>
      </c>
      <c r="J11" s="13">
        <f>K11-I11</f>
        <v>3115551.6618748941</v>
      </c>
      <c r="K11" s="13">
        <f>[1]PFIS!$L9+[2]PFIS!$L9</f>
        <v>23356795.326315574</v>
      </c>
    </row>
    <row r="12" spans="2:11" x14ac:dyDescent="0.25">
      <c r="B12" s="8">
        <f>MAX(B$10:B11)+1</f>
        <v>3</v>
      </c>
      <c r="D12" t="s">
        <v>3</v>
      </c>
      <c r="E12" s="3">
        <f>[1]PFIS!$C10+[2]PFIS!$C10</f>
        <v>7253.16</v>
      </c>
      <c r="F12" s="3">
        <f t="shared" ref="F12:H16" si="0">G12-E12</f>
        <v>0</v>
      </c>
      <c r="G12" s="3">
        <f>[1]PFIS!$F10+[2]PFIS!$F10</f>
        <v>7253.16</v>
      </c>
      <c r="H12" s="3">
        <f t="shared" si="0"/>
        <v>512.14285714285688</v>
      </c>
      <c r="I12" s="3">
        <f>[1]PFIS!$I10+[2]PFIS!$I10</f>
        <v>7765.3028571428567</v>
      </c>
      <c r="J12" s="3">
        <f t="shared" ref="J12" si="1">K12-I12</f>
        <v>416.61422361312998</v>
      </c>
      <c r="K12" s="3">
        <f>[1]PFIS!$L10+[2]PFIS!$L10</f>
        <v>8181.9170807559867</v>
      </c>
    </row>
    <row r="13" spans="2:11" x14ac:dyDescent="0.25">
      <c r="B13" s="8">
        <f>MAX(B$10:B12)+1</f>
        <v>4</v>
      </c>
      <c r="D13" t="s">
        <v>4</v>
      </c>
      <c r="E13" s="3">
        <f>[1]PFIS!$C11+[2]PFIS!$C11</f>
        <v>43444.59</v>
      </c>
      <c r="F13" s="3">
        <f t="shared" si="0"/>
        <v>0</v>
      </c>
      <c r="G13" s="3">
        <f>[1]PFIS!$F11+[2]PFIS!$F11</f>
        <v>43444.59</v>
      </c>
      <c r="H13" s="3">
        <f t="shared" si="0"/>
        <v>0</v>
      </c>
      <c r="I13" s="3">
        <f>[1]PFIS!$I11+[2]PFIS!$I11</f>
        <v>43444.59</v>
      </c>
      <c r="J13" s="3">
        <f t="shared" ref="J13" si="2">K13-I13</f>
        <v>0</v>
      </c>
      <c r="K13" s="3">
        <f>[1]PFIS!$L11+[2]PFIS!$L11</f>
        <v>43444.59</v>
      </c>
    </row>
    <row r="14" spans="2:11" x14ac:dyDescent="0.25">
      <c r="B14" s="8">
        <f>MAX(B$10:B13)+1</f>
        <v>5</v>
      </c>
      <c r="D14" t="s">
        <v>5</v>
      </c>
      <c r="E14" s="3">
        <f>[1]PFIS!$C12+[2]PFIS!$C12</f>
        <v>256178.74000000002</v>
      </c>
      <c r="F14" s="3">
        <f t="shared" si="0"/>
        <v>0</v>
      </c>
      <c r="G14" s="3">
        <f>[1]PFIS!$F12+[2]PFIS!$F12</f>
        <v>256178.74000000002</v>
      </c>
      <c r="H14" s="3">
        <f t="shared" si="0"/>
        <v>137181.4142857143</v>
      </c>
      <c r="I14" s="3">
        <f>[1]PFIS!$I12+[2]PFIS!$I12</f>
        <v>393360.15428571432</v>
      </c>
      <c r="J14" s="3">
        <f t="shared" ref="J14" si="3">K14-I14</f>
        <v>0</v>
      </c>
      <c r="K14" s="3">
        <f>[1]PFIS!$L12+[2]PFIS!$L12</f>
        <v>393360.15428571432</v>
      </c>
    </row>
    <row r="15" spans="2:11" x14ac:dyDescent="0.25">
      <c r="B15" s="8">
        <f>MAX(B$10:B14)+1</f>
        <v>6</v>
      </c>
      <c r="D15" t="s">
        <v>6</v>
      </c>
      <c r="E15" s="3">
        <f>[1]PFIS!$C13+[2]PFIS!$C13</f>
        <v>393164.81000000006</v>
      </c>
      <c r="F15" s="3">
        <f t="shared" si="0"/>
        <v>-393164.81000000006</v>
      </c>
      <c r="G15" s="3">
        <f>[1]PFIS!$F13+[2]PFIS!$F13</f>
        <v>0</v>
      </c>
      <c r="H15" s="3">
        <f t="shared" si="0"/>
        <v>0</v>
      </c>
      <c r="I15" s="3">
        <f>[1]PFIS!$I13+[2]PFIS!$I13</f>
        <v>0</v>
      </c>
      <c r="J15" s="3">
        <f t="shared" ref="J15" si="4">K15-I15</f>
        <v>0</v>
      </c>
      <c r="K15" s="3">
        <f>[1]PFIS!$L13+[2]PFIS!$L13</f>
        <v>0</v>
      </c>
    </row>
    <row r="16" spans="2:11" x14ac:dyDescent="0.25">
      <c r="B16" s="8">
        <f>MAX(B$10:B15)+1</f>
        <v>7</v>
      </c>
      <c r="D16" t="s">
        <v>7</v>
      </c>
      <c r="E16" s="4">
        <f>[1]PFIS!$C14+[2]PFIS!$C14</f>
        <v>-29406.550000000003</v>
      </c>
      <c r="F16" s="4">
        <f t="shared" si="0"/>
        <v>106650</v>
      </c>
      <c r="G16" s="4">
        <f>[1]PFIS!$F14+[2]PFIS!$F14</f>
        <v>77243.45</v>
      </c>
      <c r="H16" s="4">
        <f t="shared" si="0"/>
        <v>25700.678571428565</v>
      </c>
      <c r="I16" s="4">
        <f>[1]PFIS!$I14+[2]PFIS!$I14</f>
        <v>102944.12857142856</v>
      </c>
      <c r="J16" s="4">
        <f t="shared" ref="J16" si="5">K16-I16</f>
        <v>0</v>
      </c>
      <c r="K16" s="4">
        <f>[1]PFIS!$L14+[2]PFIS!$L14</f>
        <v>102944.12857142856</v>
      </c>
    </row>
    <row r="17" spans="2:11" s="1" customFormat="1" x14ac:dyDescent="0.25">
      <c r="B17" s="7">
        <f>MAX(B$10:B16)+1</f>
        <v>8</v>
      </c>
      <c r="D17" s="1" t="s">
        <v>9</v>
      </c>
      <c r="E17" s="5">
        <f t="shared" ref="E17:K17" si="6">SUM(E11:E16)</f>
        <v>18551370.749999996</v>
      </c>
      <c r="F17" s="5">
        <f t="shared" si="6"/>
        <v>-286514.81000000006</v>
      </c>
      <c r="G17" s="5">
        <f t="shared" si="6"/>
        <v>18264855.939999998</v>
      </c>
      <c r="H17" s="5">
        <f t="shared" si="6"/>
        <v>2523901.9001549659</v>
      </c>
      <c r="I17" s="5">
        <f t="shared" si="6"/>
        <v>20788757.840154964</v>
      </c>
      <c r="J17" s="5">
        <f t="shared" si="6"/>
        <v>3115968.276098507</v>
      </c>
      <c r="K17" s="5">
        <f t="shared" si="6"/>
        <v>23904726.116253473</v>
      </c>
    </row>
    <row r="19" spans="2:11" x14ac:dyDescent="0.25">
      <c r="B19" s="7">
        <f>MAX(B$10:B18)+1</f>
        <v>9</v>
      </c>
      <c r="C19" s="1" t="s">
        <v>11</v>
      </c>
    </row>
    <row r="20" spans="2:11" x14ac:dyDescent="0.25">
      <c r="B20" s="8">
        <f>MAX(B$10:B19)+1</f>
        <v>10</v>
      </c>
      <c r="D20" t="s">
        <v>12</v>
      </c>
      <c r="E20" s="3">
        <f>[1]PFIS!$C18+[2]PFIS!$C18</f>
        <v>3584947.3300000005</v>
      </c>
      <c r="F20" s="3">
        <f t="shared" ref="F20:H20" si="7">G20-E20</f>
        <v>0</v>
      </c>
      <c r="G20" s="3">
        <f>[1]PFIS!$F18+[2]PFIS!$F18</f>
        <v>3584947.3300000005</v>
      </c>
      <c r="H20" s="3">
        <f t="shared" si="7"/>
        <v>1198345.6733028577</v>
      </c>
      <c r="I20" s="3">
        <f>[1]PFIS!$I18+[2]PFIS!$I18</f>
        <v>4783293.0033028582</v>
      </c>
      <c r="J20" s="3">
        <f t="shared" ref="J20" si="8">K20-I20</f>
        <v>0</v>
      </c>
      <c r="K20" s="3">
        <f>[1]PFIS!$L18+[2]PFIS!$L18</f>
        <v>4783293.0033028582</v>
      </c>
    </row>
    <row r="21" spans="2:11" x14ac:dyDescent="0.25">
      <c r="B21" s="8">
        <f>MAX(B$10:B20)+1</f>
        <v>11</v>
      </c>
      <c r="D21" t="s">
        <v>13</v>
      </c>
      <c r="E21" s="3">
        <f>[1]PFIS!$C19+[2]PFIS!$C19</f>
        <v>0</v>
      </c>
      <c r="F21" s="3">
        <f t="shared" ref="F21:H21" si="9">G21-E21</f>
        <v>0</v>
      </c>
      <c r="G21" s="3">
        <f>[1]PFIS!$F19+[2]PFIS!$F19</f>
        <v>0</v>
      </c>
      <c r="H21" s="3">
        <f t="shared" si="9"/>
        <v>0</v>
      </c>
      <c r="I21" s="3">
        <f>[1]PFIS!$I19+[2]PFIS!$I19</f>
        <v>0</v>
      </c>
      <c r="J21" s="3">
        <f t="shared" ref="J21" si="10">K21-I21</f>
        <v>0</v>
      </c>
      <c r="K21" s="3">
        <f>[1]PFIS!$L19+[2]PFIS!$L19</f>
        <v>0</v>
      </c>
    </row>
    <row r="22" spans="2:11" x14ac:dyDescent="0.25">
      <c r="B22" s="8">
        <f>MAX(B$10:B21)+1</f>
        <v>12</v>
      </c>
      <c r="D22" t="s">
        <v>14</v>
      </c>
      <c r="E22" s="3">
        <f>[1]PFIS!$C20+[2]PFIS!$C20</f>
        <v>2528853.2000000002</v>
      </c>
      <c r="F22" s="3">
        <f t="shared" ref="F22:H22" si="11">G22-E22</f>
        <v>0</v>
      </c>
      <c r="G22" s="3">
        <f>[1]PFIS!$F20+[2]PFIS!$F20</f>
        <v>2528853.2000000002</v>
      </c>
      <c r="H22" s="3">
        <f t="shared" si="11"/>
        <v>927040.749453214</v>
      </c>
      <c r="I22" s="3">
        <f>[1]PFIS!$I20+[2]PFIS!$I20</f>
        <v>3455893.9494532142</v>
      </c>
      <c r="J22" s="3">
        <f t="shared" ref="J22" si="12">K22-I22</f>
        <v>0</v>
      </c>
      <c r="K22" s="3">
        <f>[1]PFIS!$L20+[2]PFIS!$L20</f>
        <v>3455893.9494532142</v>
      </c>
    </row>
    <row r="23" spans="2:11" x14ac:dyDescent="0.25">
      <c r="B23" s="8">
        <f>MAX(B$10:B22)+1</f>
        <v>13</v>
      </c>
      <c r="D23" t="s">
        <v>15</v>
      </c>
      <c r="E23" s="3">
        <f>[1]PFIS!$C21+[2]PFIS!$C21</f>
        <v>1715856.0699999998</v>
      </c>
      <c r="F23" s="3">
        <f t="shared" ref="F23:H23" si="13">G23-E23</f>
        <v>128967.24500000011</v>
      </c>
      <c r="G23" s="3">
        <f>[1]PFIS!$F21+[2]PFIS!$F21</f>
        <v>1844823.3149999999</v>
      </c>
      <c r="H23" s="3">
        <f t="shared" si="13"/>
        <v>639835.75480533298</v>
      </c>
      <c r="I23" s="3">
        <f>[1]PFIS!$I21+[2]PFIS!$I21</f>
        <v>2484659.0698053329</v>
      </c>
      <c r="J23" s="3">
        <f t="shared" ref="J23" si="14">K23-I23</f>
        <v>0</v>
      </c>
      <c r="K23" s="3">
        <f>[1]PFIS!$L21+[2]PFIS!$L21</f>
        <v>2484659.0698053329</v>
      </c>
    </row>
    <row r="24" spans="2:11" x14ac:dyDescent="0.25">
      <c r="B24" s="8">
        <f>MAX(B$10:B23)+1</f>
        <v>14</v>
      </c>
      <c r="D24" t="s">
        <v>16</v>
      </c>
      <c r="E24" s="3">
        <f>[1]PFIS!$C22+[2]PFIS!$C22</f>
        <v>172997.83</v>
      </c>
      <c r="F24" s="3">
        <f t="shared" ref="F24:H24" si="15">G24-E24</f>
        <v>0</v>
      </c>
      <c r="G24" s="3">
        <f>[1]PFIS!$F22+[2]PFIS!$F22</f>
        <v>172997.83</v>
      </c>
      <c r="H24" s="3">
        <f t="shared" si="15"/>
        <v>74967.870659999986</v>
      </c>
      <c r="I24" s="3">
        <f>[1]PFIS!$I22+[2]PFIS!$I22</f>
        <v>247965.70065999997</v>
      </c>
      <c r="J24" s="3">
        <f t="shared" ref="J24" si="16">K24-I24</f>
        <v>0</v>
      </c>
      <c r="K24" s="3">
        <f>[1]PFIS!$L22+[2]PFIS!$L22</f>
        <v>247965.70065999997</v>
      </c>
    </row>
    <row r="25" spans="2:11" x14ac:dyDescent="0.25">
      <c r="B25" s="8">
        <f>MAX(B$10:B24)+1</f>
        <v>15</v>
      </c>
      <c r="D25" t="s">
        <v>17</v>
      </c>
      <c r="E25" s="3">
        <f>[1]PFIS!$C23+[2]PFIS!$C23</f>
        <v>460409.64</v>
      </c>
      <c r="F25" s="3">
        <f t="shared" ref="F25:H25" si="17">G25-E25</f>
        <v>619.75</v>
      </c>
      <c r="G25" s="3">
        <f>[1]PFIS!$F23+[2]PFIS!$F23</f>
        <v>461029.39</v>
      </c>
      <c r="H25" s="3">
        <f t="shared" si="17"/>
        <v>96311.496180000016</v>
      </c>
      <c r="I25" s="3">
        <f>[1]PFIS!$I23+[2]PFIS!$I23</f>
        <v>557340.88618000003</v>
      </c>
      <c r="J25" s="3">
        <f t="shared" ref="J25" si="18">K25-I25</f>
        <v>0</v>
      </c>
      <c r="K25" s="3">
        <f>[1]PFIS!$L23+[2]PFIS!$L23</f>
        <v>557340.88618000003</v>
      </c>
    </row>
    <row r="26" spans="2:11" x14ac:dyDescent="0.25">
      <c r="B26" s="8">
        <f>MAX(B$10:B25)+1</f>
        <v>16</v>
      </c>
      <c r="D26" t="s">
        <v>18</v>
      </c>
      <c r="E26" s="3">
        <f>[1]PFIS!$C24+[2]PFIS!$C24</f>
        <v>5595</v>
      </c>
      <c r="F26" s="3">
        <f t="shared" ref="F26:H26" si="19">G26-E26</f>
        <v>0</v>
      </c>
      <c r="G26" s="3">
        <f>[1]PFIS!$F24+[2]PFIS!$F24</f>
        <v>5595</v>
      </c>
      <c r="H26" s="3">
        <f t="shared" si="19"/>
        <v>123.09000000000015</v>
      </c>
      <c r="I26" s="3">
        <f>[1]PFIS!$I24+[2]PFIS!$I24</f>
        <v>5718.09</v>
      </c>
      <c r="J26" s="3">
        <f t="shared" ref="J26" si="20">K26-I26</f>
        <v>0</v>
      </c>
      <c r="K26" s="3">
        <f>[1]PFIS!$L24+[2]PFIS!$L24</f>
        <v>5718.09</v>
      </c>
    </row>
    <row r="27" spans="2:11" x14ac:dyDescent="0.25">
      <c r="B27" s="8">
        <f>MAX(B$10:B26)+1</f>
        <v>17</v>
      </c>
      <c r="D27" t="s">
        <v>19</v>
      </c>
      <c r="E27" s="3">
        <f>[1]PFIS!$C25+[2]PFIS!$C25</f>
        <v>179602.75</v>
      </c>
      <c r="F27" s="3">
        <f t="shared" ref="F27:H27" si="21">G27-E27</f>
        <v>11296.065000000002</v>
      </c>
      <c r="G27" s="3">
        <f>[1]PFIS!$F25+[2]PFIS!$F25</f>
        <v>190898.815</v>
      </c>
      <c r="H27" s="3">
        <f t="shared" si="21"/>
        <v>61922.666079999995</v>
      </c>
      <c r="I27" s="3">
        <f>[1]PFIS!$I25+[2]PFIS!$I25</f>
        <v>252821.48108</v>
      </c>
      <c r="J27" s="3">
        <f t="shared" ref="J27" si="22">K27-I27</f>
        <v>0</v>
      </c>
      <c r="K27" s="3">
        <f>[1]PFIS!$L25+[2]PFIS!$L25</f>
        <v>252821.48108</v>
      </c>
    </row>
    <row r="28" spans="2:11" x14ac:dyDescent="0.25">
      <c r="B28" s="8">
        <f>MAX(B$10:B27)+1</f>
        <v>18</v>
      </c>
      <c r="D28" t="s">
        <v>20</v>
      </c>
      <c r="E28" s="3">
        <f>[1]PFIS!$C26+[2]PFIS!$C26</f>
        <v>7108.6</v>
      </c>
      <c r="F28" s="3">
        <f t="shared" ref="F28:H28" si="23">G28-E28</f>
        <v>0</v>
      </c>
      <c r="G28" s="3">
        <f>[1]PFIS!$F26+[2]PFIS!$F26</f>
        <v>7108.6</v>
      </c>
      <c r="H28" s="3">
        <f t="shared" si="23"/>
        <v>156.38919999999962</v>
      </c>
      <c r="I28" s="3">
        <f>[1]PFIS!$I26+[2]PFIS!$I26</f>
        <v>7264.9892</v>
      </c>
      <c r="J28" s="3">
        <f t="shared" ref="J28" si="24">K28-I28</f>
        <v>0</v>
      </c>
      <c r="K28" s="3">
        <f>[1]PFIS!$L26+[2]PFIS!$L26</f>
        <v>7264.9892</v>
      </c>
    </row>
    <row r="29" spans="2:11" x14ac:dyDescent="0.25">
      <c r="B29" s="8">
        <f>MAX(B$10:B28)+1</f>
        <v>19</v>
      </c>
      <c r="D29" t="s">
        <v>21</v>
      </c>
      <c r="E29" s="3">
        <f>[1]PFIS!$C27+[2]PFIS!$C27</f>
        <v>656271.24</v>
      </c>
      <c r="F29" s="3">
        <f t="shared" ref="F29:H29" si="25">G29-E29</f>
        <v>-157422.72324999998</v>
      </c>
      <c r="G29" s="3">
        <f>[1]PFIS!$F27+[2]PFIS!$F27</f>
        <v>498848.51675000001</v>
      </c>
      <c r="H29" s="3">
        <f t="shared" si="25"/>
        <v>58771.323430285731</v>
      </c>
      <c r="I29" s="3">
        <f>[1]PFIS!$I27+[2]PFIS!$I27</f>
        <v>557619.84018028574</v>
      </c>
      <c r="J29" s="3">
        <f t="shared" ref="J29" si="26">K29-I29</f>
        <v>0</v>
      </c>
      <c r="K29" s="3">
        <f>[1]PFIS!$L27+[2]PFIS!$L27</f>
        <v>557619.84018028574</v>
      </c>
    </row>
    <row r="30" spans="2:11" x14ac:dyDescent="0.25">
      <c r="B30" s="8">
        <f>MAX(B$10:B29)+1</f>
        <v>20</v>
      </c>
      <c r="D30" t="s">
        <v>6</v>
      </c>
      <c r="E30" s="3">
        <f>[1]PFIS!$C28+[2]PFIS!$C28</f>
        <v>347102.5</v>
      </c>
      <c r="F30" s="3">
        <f t="shared" ref="F30:H30" si="27">G30-E30</f>
        <v>-347102.5</v>
      </c>
      <c r="G30" s="3">
        <f>[1]PFIS!$F28+[2]PFIS!$F28</f>
        <v>0</v>
      </c>
      <c r="H30" s="3">
        <f t="shared" si="27"/>
        <v>0</v>
      </c>
      <c r="I30" s="3">
        <f>[1]PFIS!$I28+[2]PFIS!$I28</f>
        <v>0</v>
      </c>
      <c r="J30" s="3">
        <f t="shared" ref="J30" si="28">K30-I30</f>
        <v>0</v>
      </c>
      <c r="K30" s="3">
        <f>[1]PFIS!$L28+[2]PFIS!$L28</f>
        <v>0</v>
      </c>
    </row>
    <row r="31" spans="2:11" x14ac:dyDescent="0.25">
      <c r="B31" s="8">
        <f>MAX(B$10:B30)+1</f>
        <v>21</v>
      </c>
      <c r="D31" t="s">
        <v>22</v>
      </c>
      <c r="E31" s="3">
        <f>[1]PFIS!$C29+[2]PFIS!$C29</f>
        <v>229011.09000000003</v>
      </c>
      <c r="F31" s="3">
        <f t="shared" ref="F31:H31" si="29">G31-E31</f>
        <v>0</v>
      </c>
      <c r="G31" s="3">
        <f>[1]PFIS!$F29+[2]PFIS!$F29</f>
        <v>229011.09000000003</v>
      </c>
      <c r="H31" s="3">
        <f t="shared" si="29"/>
        <v>126098.25387999997</v>
      </c>
      <c r="I31" s="3">
        <f>[1]PFIS!$I29+[2]PFIS!$I29</f>
        <v>355109.34388</v>
      </c>
      <c r="J31" s="3">
        <f t="shared" ref="J31" si="30">K31-I31</f>
        <v>0</v>
      </c>
      <c r="K31" s="3">
        <f>[1]PFIS!$L29+[2]PFIS!$L29</f>
        <v>355109.34388</v>
      </c>
    </row>
    <row r="32" spans="2:11" x14ac:dyDescent="0.25">
      <c r="B32" s="8">
        <f>MAX(B$10:B31)+1</f>
        <v>22</v>
      </c>
      <c r="D32" t="s">
        <v>23</v>
      </c>
      <c r="E32" s="3">
        <f>[1]PFIS!$C30+[2]PFIS!$C30</f>
        <v>334423.19</v>
      </c>
      <c r="F32" s="3">
        <f t="shared" ref="F32:H32" si="31">G32-E32</f>
        <v>0</v>
      </c>
      <c r="G32" s="3">
        <f>[1]PFIS!$F30+[2]PFIS!$F30</f>
        <v>334423.19</v>
      </c>
      <c r="H32" s="3">
        <f t="shared" si="31"/>
        <v>60839.322080000013</v>
      </c>
      <c r="I32" s="3">
        <f>[1]PFIS!$I30+[2]PFIS!$I30</f>
        <v>395262.51208000001</v>
      </c>
      <c r="J32" s="3">
        <f t="shared" ref="J32" si="32">K32-I32</f>
        <v>0</v>
      </c>
      <c r="K32" s="3">
        <f>[1]PFIS!$L30+[2]PFIS!$L30</f>
        <v>395262.51208000001</v>
      </c>
    </row>
    <row r="33" spans="2:14" x14ac:dyDescent="0.25">
      <c r="B33" s="8">
        <f>MAX(B$10:B32)+1</f>
        <v>23</v>
      </c>
      <c r="D33" t="s">
        <v>24</v>
      </c>
      <c r="E33" s="3">
        <f>[1]PFIS!$C31+[2]PFIS!$C31</f>
        <v>89080.01</v>
      </c>
      <c r="F33" s="3">
        <f t="shared" ref="F33:H33" si="33">G33-E33</f>
        <v>-14639.411666666667</v>
      </c>
      <c r="G33" s="3">
        <f>[1]PFIS!$F31+[2]PFIS!$F31</f>
        <v>74440.598333333328</v>
      </c>
      <c r="H33" s="3">
        <f t="shared" si="33"/>
        <v>13723.550046666656</v>
      </c>
      <c r="I33" s="3">
        <f>[1]PFIS!$I31+[2]PFIS!$I31</f>
        <v>88164.148379999984</v>
      </c>
      <c r="J33" s="3">
        <f t="shared" ref="J33" si="34">K33-I33</f>
        <v>0</v>
      </c>
      <c r="K33" s="3">
        <f>[1]PFIS!$L31+[2]PFIS!$L31</f>
        <v>88164.148379999984</v>
      </c>
    </row>
    <row r="34" spans="2:14" x14ac:dyDescent="0.25">
      <c r="B34" s="8">
        <f>MAX(B$10:B33)+1</f>
        <v>24</v>
      </c>
      <c r="D34" t="s">
        <v>25</v>
      </c>
      <c r="E34" s="3">
        <f>[1]PFIS!$C32+[2]PFIS!$C32</f>
        <v>44364.97</v>
      </c>
      <c r="F34" s="3">
        <f t="shared" ref="F34:H34" si="35">G34-E34</f>
        <v>0</v>
      </c>
      <c r="G34" s="3">
        <f>[1]PFIS!$F32+[2]PFIS!$F32</f>
        <v>44364.97</v>
      </c>
      <c r="H34" s="3">
        <f t="shared" si="35"/>
        <v>-2787.4543196900704</v>
      </c>
      <c r="I34" s="3">
        <f>[1]PFIS!$I32+[2]PFIS!$I32</f>
        <v>41577.515680309931</v>
      </c>
      <c r="J34" s="3">
        <f t="shared" ref="J34" si="36">K34-I34</f>
        <v>6231.2398312537625</v>
      </c>
      <c r="K34" s="3">
        <f>[1]PFIS!$L32+[2]PFIS!$L32</f>
        <v>47808.755511563693</v>
      </c>
    </row>
    <row r="35" spans="2:14" x14ac:dyDescent="0.25">
      <c r="B35" s="8">
        <f>MAX(B$10:B34)+1</f>
        <v>25</v>
      </c>
      <c r="D35" t="s">
        <v>26</v>
      </c>
      <c r="E35" s="3">
        <f>[1]PFIS!$C33+[2]PFIS!$C33</f>
        <v>0</v>
      </c>
      <c r="F35" s="3">
        <f t="shared" ref="F35:H35" si="37">G35-E35</f>
        <v>0</v>
      </c>
      <c r="G35" s="3">
        <f>[1]PFIS!$F33+[2]PFIS!$F33</f>
        <v>0</v>
      </c>
      <c r="H35" s="3">
        <f t="shared" si="37"/>
        <v>0</v>
      </c>
      <c r="I35" s="3">
        <f>[1]PFIS!$I33+[2]PFIS!$I33</f>
        <v>0</v>
      </c>
      <c r="J35" s="3">
        <f t="shared" ref="J35" si="38">K35-I35</f>
        <v>0</v>
      </c>
      <c r="K35" s="3">
        <f>[1]PFIS!$L33+[2]PFIS!$L33</f>
        <v>0</v>
      </c>
    </row>
    <row r="36" spans="2:14" x14ac:dyDescent="0.25">
      <c r="B36" s="8">
        <f>MAX(B$10:B35)+1</f>
        <v>26</v>
      </c>
      <c r="D36" t="s">
        <v>27</v>
      </c>
      <c r="E36" s="3">
        <f>[1]PFIS!$C34+[2]PFIS!$C34</f>
        <v>133369.4</v>
      </c>
      <c r="F36" s="3">
        <f t="shared" ref="F36:H36" si="39">G36-E36</f>
        <v>-13810.570000000007</v>
      </c>
      <c r="G36" s="3">
        <f>[1]PFIS!$F34+[2]PFIS!$F34</f>
        <v>119558.82999999999</v>
      </c>
      <c r="H36" s="3">
        <f t="shared" si="39"/>
        <v>22031.088160000014</v>
      </c>
      <c r="I36" s="3">
        <f>[1]PFIS!$I34+[2]PFIS!$I34</f>
        <v>141589.91816</v>
      </c>
      <c r="J36" s="3">
        <f t="shared" ref="J36" si="40">K36-I36</f>
        <v>0</v>
      </c>
      <c r="K36" s="3">
        <f>[1]PFIS!$L34+[2]PFIS!$L34</f>
        <v>141589.91816</v>
      </c>
    </row>
    <row r="37" spans="2:14" x14ac:dyDescent="0.25">
      <c r="B37" s="8">
        <f>MAX(B$10:B36)+1</f>
        <v>27</v>
      </c>
      <c r="D37" t="s">
        <v>28</v>
      </c>
      <c r="E37" s="3">
        <f>[1]PFIS!$C35+[2]PFIS!$C35</f>
        <v>776188.28</v>
      </c>
      <c r="F37" s="3">
        <f t="shared" ref="F37:H37" si="41">G37-E37</f>
        <v>52573.819999999949</v>
      </c>
      <c r="G37" s="3">
        <f>[1]PFIS!$F35+[2]PFIS!$F35</f>
        <v>828762.1</v>
      </c>
      <c r="H37" s="3">
        <f t="shared" si="41"/>
        <v>255621.36399999994</v>
      </c>
      <c r="I37" s="3">
        <f>[1]PFIS!$I35+[2]PFIS!$I35</f>
        <v>1084383.4639999999</v>
      </c>
      <c r="J37" s="3">
        <f t="shared" ref="J37" si="42">K37-I37</f>
        <v>0</v>
      </c>
      <c r="K37" s="3">
        <f>[1]PFIS!$L35+[2]PFIS!$L35</f>
        <v>1084383.4639999999</v>
      </c>
    </row>
    <row r="38" spans="2:14" x14ac:dyDescent="0.25">
      <c r="B38" s="8">
        <f>MAX(B$10:B37)+1</f>
        <v>28</v>
      </c>
      <c r="D38" t="s">
        <v>29</v>
      </c>
      <c r="E38" s="3">
        <f>[1]PFIS!$C36+[2]PFIS!$C36</f>
        <v>88561.05</v>
      </c>
      <c r="F38" s="3">
        <f t="shared" ref="F38:H38" si="43">G38-E38</f>
        <v>2377.0124500000093</v>
      </c>
      <c r="G38" s="3">
        <f>[1]PFIS!$F36+[2]PFIS!$F36</f>
        <v>90938.062450000012</v>
      </c>
      <c r="H38" s="3">
        <f t="shared" si="43"/>
        <v>12491.006107917681</v>
      </c>
      <c r="I38" s="3">
        <f>[1]PFIS!$I36+[2]PFIS!$I36</f>
        <v>103429.06855791769</v>
      </c>
      <c r="J38" s="3">
        <f t="shared" ref="J38" si="44">K38-I38</f>
        <v>15578.099578134395</v>
      </c>
      <c r="K38" s="3">
        <f>[1]PFIS!$L36+[2]PFIS!$L36</f>
        <v>119007.16813605209</v>
      </c>
    </row>
    <row r="39" spans="2:14" x14ac:dyDescent="0.25">
      <c r="B39" s="8">
        <f>MAX(B$10:B38)+1</f>
        <v>29</v>
      </c>
      <c r="D39" t="s">
        <v>30</v>
      </c>
      <c r="E39" s="3">
        <f>[1]PFIS!$C37+[2]PFIS!$C37</f>
        <v>0</v>
      </c>
      <c r="F39" s="3">
        <f t="shared" ref="F39:H39" si="45">G39-E39</f>
        <v>0</v>
      </c>
      <c r="G39" s="3">
        <f>[1]PFIS!$F37+[2]PFIS!$F37</f>
        <v>0</v>
      </c>
      <c r="H39" s="3">
        <f t="shared" si="45"/>
        <v>0</v>
      </c>
      <c r="I39" s="3">
        <f>[1]PFIS!$I37+[2]PFIS!$I37</f>
        <v>0</v>
      </c>
      <c r="J39" s="3">
        <f t="shared" ref="J39" si="46">K39-I39</f>
        <v>0</v>
      </c>
      <c r="K39" s="3">
        <f>[1]PFIS!$L37+[2]PFIS!$L37</f>
        <v>0</v>
      </c>
    </row>
    <row r="40" spans="2:14" x14ac:dyDescent="0.25">
      <c r="B40" s="8">
        <f>MAX(B$10:B39)+1</f>
        <v>30</v>
      </c>
      <c r="D40" t="s">
        <v>31</v>
      </c>
      <c r="E40" s="3">
        <f>[1]PFIS!$C38+[2]PFIS!$C38</f>
        <v>2185423.7799999998</v>
      </c>
      <c r="F40" s="3">
        <f t="shared" ref="F40:H40" si="47">G40-E40</f>
        <v>729077.54000000376</v>
      </c>
      <c r="G40" s="3">
        <f>[1]PFIS!$F38+[2]PFIS!$F38</f>
        <v>2914501.3200000036</v>
      </c>
      <c r="H40" s="3">
        <f t="shared" si="47"/>
        <v>0</v>
      </c>
      <c r="I40" s="3">
        <f>[1]PFIS!$I38+[2]PFIS!$I38</f>
        <v>2914501.3200000036</v>
      </c>
      <c r="J40" s="3">
        <f t="shared" ref="J40" si="48">K40-I40</f>
        <v>0</v>
      </c>
      <c r="K40" s="3">
        <f>[1]PFIS!$L38+[2]PFIS!$L38</f>
        <v>2914501.3200000036</v>
      </c>
    </row>
    <row r="41" spans="2:14" x14ac:dyDescent="0.25">
      <c r="B41" s="8">
        <f>MAX(B$10:B40)+1</f>
        <v>31</v>
      </c>
      <c r="D41" t="s">
        <v>32</v>
      </c>
      <c r="E41" s="3">
        <f>[1]PFIS!$C39+[2]PFIS!$C39</f>
        <v>930798.03</v>
      </c>
      <c r="F41" s="3">
        <f t="shared" ref="F41:H41" si="49">G41-E41</f>
        <v>0</v>
      </c>
      <c r="G41" s="3">
        <f>[1]PFIS!$F39+[2]PFIS!$F39</f>
        <v>930798.03</v>
      </c>
      <c r="H41" s="3">
        <f t="shared" si="49"/>
        <v>109491.54155553621</v>
      </c>
      <c r="I41" s="3">
        <f>[1]PFIS!$I39+[2]PFIS!$I39</f>
        <v>1040289.5715555362</v>
      </c>
      <c r="J41" s="3">
        <f t="shared" ref="J41" si="50">K41-I41</f>
        <v>156684.52555687609</v>
      </c>
      <c r="K41" s="3">
        <f>[1]PFIS!$L39+[2]PFIS!$L39</f>
        <v>1196974.0971124123</v>
      </c>
    </row>
    <row r="42" spans="2:14" x14ac:dyDescent="0.25">
      <c r="B42" s="8">
        <f>MAX(B$10:B41)+1</f>
        <v>32</v>
      </c>
      <c r="D42" t="s">
        <v>33</v>
      </c>
      <c r="E42" s="3">
        <f>[1]PFIS!$C40+[2]PFIS!$C40</f>
        <v>382249.4</v>
      </c>
      <c r="F42" s="3">
        <f t="shared" ref="F42:H42" si="51">G42-E42</f>
        <v>0</v>
      </c>
      <c r="G42" s="3">
        <f>[1]PFIS!$F40+[2]PFIS!$F40</f>
        <v>382249.4</v>
      </c>
      <c r="H42" s="3">
        <f t="shared" si="51"/>
        <v>124254.48700000008</v>
      </c>
      <c r="I42" s="3">
        <f>[1]PFIS!$I40+[2]PFIS!$I40</f>
        <v>506503.8870000001</v>
      </c>
      <c r="J42" s="3">
        <f t="shared" ref="J42" si="52">K42-I42</f>
        <v>0</v>
      </c>
      <c r="K42" s="3">
        <f>[1]PFIS!$L40+[2]PFIS!$L40</f>
        <v>506503.8870000001</v>
      </c>
    </row>
    <row r="43" spans="2:14" x14ac:dyDescent="0.25">
      <c r="B43" s="8">
        <f>MAX(B$10:B42)+1</f>
        <v>33</v>
      </c>
      <c r="D43" t="s">
        <v>34</v>
      </c>
      <c r="E43" s="3">
        <f>[1]PFIS!$C41+[2]PFIS!$C41</f>
        <v>276233.86000000004</v>
      </c>
      <c r="F43" s="3">
        <f t="shared" ref="F43:H43" si="53">G43-E43</f>
        <v>0</v>
      </c>
      <c r="G43" s="3">
        <f>[1]PFIS!$F41+[2]PFIS!$F41</f>
        <v>276233.86000000004</v>
      </c>
      <c r="H43" s="3">
        <f t="shared" si="53"/>
        <v>0</v>
      </c>
      <c r="I43" s="3">
        <f>[1]PFIS!$I41+[2]PFIS!$I41</f>
        <v>276233.86000000004</v>
      </c>
      <c r="J43" s="3">
        <f t="shared" ref="J43" si="54">K43-I43</f>
        <v>0</v>
      </c>
      <c r="K43" s="3">
        <f>[1]PFIS!$L41+[2]PFIS!$L41</f>
        <v>276233.86000000004</v>
      </c>
    </row>
    <row r="44" spans="2:14" x14ac:dyDescent="0.25">
      <c r="B44" s="8">
        <f>MAX(B$10:B43)+1</f>
        <v>34</v>
      </c>
      <c r="D44" t="s">
        <v>35</v>
      </c>
      <c r="E44" s="3">
        <f>[1]PFIS!$C42+[2]PFIS!$C42</f>
        <v>27745.58</v>
      </c>
      <c r="F44" s="3">
        <f t="shared" ref="F44:H44" si="55">G44-E44</f>
        <v>11197.490000000005</v>
      </c>
      <c r="G44" s="3">
        <f>[1]PFIS!$F42+[2]PFIS!$F42</f>
        <v>38943.070000000007</v>
      </c>
      <c r="H44" s="3">
        <f t="shared" si="55"/>
        <v>11894.582791428562</v>
      </c>
      <c r="I44" s="3">
        <f>[1]PFIS!$I42+[2]PFIS!$I42</f>
        <v>50837.652791428569</v>
      </c>
      <c r="J44" s="3">
        <f t="shared" ref="J44" si="56">K44-I44</f>
        <v>0</v>
      </c>
      <c r="K44" s="3">
        <f>[1]PFIS!$L42+[2]PFIS!$L42</f>
        <v>50837.652791428569</v>
      </c>
    </row>
    <row r="45" spans="2:14" x14ac:dyDescent="0.25">
      <c r="B45" s="8">
        <f>MAX(B$10:B44)+1</f>
        <v>35</v>
      </c>
      <c r="D45" t="s">
        <v>36</v>
      </c>
      <c r="E45" s="4">
        <f>[1]PFIS!$C43+[2]PFIS!$C43</f>
        <v>1016253.88</v>
      </c>
      <c r="F45" s="4">
        <f t="shared" ref="F45:H45" si="57">G45-E45</f>
        <v>-218045.24</v>
      </c>
      <c r="G45" s="4">
        <f>[1]PFIS!$F43+[2]PFIS!$F43</f>
        <v>798208.64</v>
      </c>
      <c r="H45" s="4">
        <f t="shared" si="57"/>
        <v>-138044.95875624951</v>
      </c>
      <c r="I45" s="4">
        <f>[1]PFIS!$I43+[2]PFIS!$I43</f>
        <v>660163.6812437505</v>
      </c>
      <c r="J45" s="4">
        <f t="shared" ref="J45" si="58">K45-I45</f>
        <v>0</v>
      </c>
      <c r="K45" s="4">
        <f>[1]PFIS!$L43+[2]PFIS!$L43</f>
        <v>660163.6812437505</v>
      </c>
      <c r="M45" s="17" t="s">
        <v>68</v>
      </c>
      <c r="N45" s="18" t="s">
        <v>69</v>
      </c>
    </row>
    <row r="46" spans="2:14" s="1" customFormat="1" x14ac:dyDescent="0.25">
      <c r="B46" s="7">
        <f>MAX(B$10:B45)+1</f>
        <v>36</v>
      </c>
      <c r="D46" s="1" t="s">
        <v>37</v>
      </c>
      <c r="E46" s="5">
        <f t="shared" ref="E46:K46" si="59">SUM(E20:E45)</f>
        <v>16172446.680000002</v>
      </c>
      <c r="F46" s="5">
        <f t="shared" si="59"/>
        <v>185088.47753333719</v>
      </c>
      <c r="G46" s="5">
        <f t="shared" si="59"/>
        <v>16357535.157533336</v>
      </c>
      <c r="H46" s="5">
        <f t="shared" si="59"/>
        <v>3653087.7956572995</v>
      </c>
      <c r="I46" s="5">
        <f t="shared" si="59"/>
        <v>20010622.95319064</v>
      </c>
      <c r="J46" s="5">
        <f t="shared" si="59"/>
        <v>178493.86496626426</v>
      </c>
      <c r="K46" s="5">
        <f t="shared" si="59"/>
        <v>20189116.818156905</v>
      </c>
      <c r="M46" s="5">
        <f>[1]PFIS!$L$44+[2]PFIS!$L$44</f>
        <v>20189116.818156902</v>
      </c>
      <c r="N46" s="5">
        <f>M46-K46</f>
        <v>0</v>
      </c>
    </row>
    <row r="47" spans="2:14" ht="5.0999999999999996" customHeight="1" x14ac:dyDescent="0.25">
      <c r="M47" s="3"/>
      <c r="N47" s="3"/>
    </row>
    <row r="48" spans="2:14" x14ac:dyDescent="0.25">
      <c r="B48" s="8">
        <f>MAX(B$10:B47)+1</f>
        <v>37</v>
      </c>
      <c r="C48" t="s">
        <v>38</v>
      </c>
      <c r="E48" s="3">
        <f>E17-E46</f>
        <v>2378924.0699999947</v>
      </c>
      <c r="F48" s="3">
        <f t="shared" ref="F48:K48" si="60">F17-F46</f>
        <v>-471603.28753333725</v>
      </c>
      <c r="G48" s="3">
        <f t="shared" si="60"/>
        <v>1907320.7824666612</v>
      </c>
      <c r="H48" s="3">
        <f t="shared" si="60"/>
        <v>-1129185.8955023335</v>
      </c>
      <c r="I48" s="3">
        <f t="shared" si="60"/>
        <v>778134.88696432486</v>
      </c>
      <c r="J48" s="3">
        <f t="shared" si="60"/>
        <v>2937474.4111322425</v>
      </c>
      <c r="K48" s="3">
        <f t="shared" si="60"/>
        <v>3715609.2980965674</v>
      </c>
      <c r="M48" s="3">
        <f>[1]PFIS!$L46+[2]PFIS!$L46</f>
        <v>3715609.2980965711</v>
      </c>
      <c r="N48" s="5">
        <f t="shared" ref="N48:N50" si="61">M48-K48</f>
        <v>3.7252902984619141E-9</v>
      </c>
    </row>
    <row r="49" spans="2:14" x14ac:dyDescent="0.25">
      <c r="B49" s="8">
        <f>MAX(B$10:B48)+1</f>
        <v>38</v>
      </c>
      <c r="C49" t="s">
        <v>39</v>
      </c>
      <c r="E49" s="3">
        <f>[1]PFIS!$C47+[2]PFIS!$C47</f>
        <v>713898.03</v>
      </c>
      <c r="F49" s="3">
        <f>G49-E49</f>
        <v>0</v>
      </c>
      <c r="G49" s="3">
        <f>[1]PFIS!$F47+[2]PFIS!$F47</f>
        <v>713898.03</v>
      </c>
      <c r="H49" s="3">
        <f>I49-G49</f>
        <v>-50369.31563289708</v>
      </c>
      <c r="I49" s="3">
        <f>[1]PFIS!$I47+[2]PFIS!$I47</f>
        <v>663528.71436710295</v>
      </c>
      <c r="J49" s="3">
        <f>K49-I49</f>
        <v>0</v>
      </c>
      <c r="K49" s="3">
        <f>[1]PFIS!$L47+[2]PFIS!$L47</f>
        <v>663528.71436710295</v>
      </c>
      <c r="M49" s="3">
        <f>[1]PFIS!$L47+[2]PFIS!$L47</f>
        <v>663528.71436710295</v>
      </c>
      <c r="N49" s="5">
        <f t="shared" si="61"/>
        <v>0</v>
      </c>
    </row>
    <row r="50" spans="2:14" x14ac:dyDescent="0.25">
      <c r="B50" s="8">
        <f>MAX(B$10:B49)+1</f>
        <v>39</v>
      </c>
      <c r="C50" t="s">
        <v>40</v>
      </c>
      <c r="E50" s="3">
        <f>[1]PFIS!$C48+[2]PFIS!$C48</f>
        <v>381906.08999999997</v>
      </c>
      <c r="F50" s="3">
        <f>G50-E50</f>
        <v>19908.239999999991</v>
      </c>
      <c r="G50" s="3">
        <f>[1]PFIS!$F48+[2]PFIS!$F48</f>
        <v>401814.32999999996</v>
      </c>
      <c r="H50" s="3">
        <f>I50-G50</f>
        <v>171700.18094100966</v>
      </c>
      <c r="I50" s="3">
        <f>[1]PFIS!$I48+[2]PFIS!$I48</f>
        <v>573514.51094100962</v>
      </c>
      <c r="J50" s="3">
        <f>K50-I50</f>
        <v>10900.25594313757</v>
      </c>
      <c r="K50" s="3">
        <f>[1]PFIS!$L48+[2]PFIS!$L48</f>
        <v>584414.76688414719</v>
      </c>
      <c r="M50" s="3">
        <f>[1]PFIS!$L48+[2]PFIS!$L48</f>
        <v>584414.76688414719</v>
      </c>
      <c r="N50" s="5">
        <f t="shared" si="61"/>
        <v>0</v>
      </c>
    </row>
    <row r="51" spans="2:14" s="1" customFormat="1" x14ac:dyDescent="0.25">
      <c r="B51" s="7">
        <f>MAX(B$10:B50)+1</f>
        <v>40</v>
      </c>
      <c r="D51" s="1" t="s">
        <v>41</v>
      </c>
      <c r="E51" s="9">
        <f>SUM(E46,E49:E50)</f>
        <v>17268250.800000001</v>
      </c>
      <c r="F51" s="9">
        <f t="shared" ref="F51:K51" si="62">SUM(F46,F49:F50)</f>
        <v>204996.71753333719</v>
      </c>
      <c r="G51" s="9">
        <f t="shared" si="62"/>
        <v>17473247.517533336</v>
      </c>
      <c r="H51" s="9">
        <f t="shared" si="62"/>
        <v>3774418.6609654119</v>
      </c>
      <c r="I51" s="9">
        <f t="shared" si="62"/>
        <v>21247666.178498752</v>
      </c>
      <c r="J51" s="9">
        <f t="shared" si="62"/>
        <v>189394.12090940183</v>
      </c>
      <c r="K51" s="9">
        <f t="shared" si="62"/>
        <v>21437060.299408156</v>
      </c>
      <c r="M51" s="5"/>
      <c r="N51" s="5"/>
    </row>
    <row r="52" spans="2:14" s="1" customFormat="1" x14ac:dyDescent="0.25">
      <c r="B52" s="7">
        <f>MAX(B$10:B51)+1</f>
        <v>41</v>
      </c>
      <c r="D52" s="1" t="s">
        <v>42</v>
      </c>
      <c r="E52" s="5">
        <f>E48-E49-E50</f>
        <v>1283119.9499999946</v>
      </c>
      <c r="F52" s="5">
        <f t="shared" ref="F52:K52" si="63">F48-F49-F50</f>
        <v>-491511.52753333724</v>
      </c>
      <c r="G52" s="5">
        <f t="shared" si="63"/>
        <v>791608.4224666612</v>
      </c>
      <c r="H52" s="5">
        <f t="shared" si="63"/>
        <v>-1250516.7608104462</v>
      </c>
      <c r="I52" s="5">
        <f t="shared" si="63"/>
        <v>-458908.33834378771</v>
      </c>
      <c r="J52" s="5">
        <f t="shared" si="63"/>
        <v>2926574.1551891048</v>
      </c>
      <c r="K52" s="5">
        <f t="shared" si="63"/>
        <v>2467665.8168453174</v>
      </c>
      <c r="M52" s="5"/>
      <c r="N52" s="5"/>
    </row>
    <row r="53" spans="2:14" s="1" customFormat="1" x14ac:dyDescent="0.25">
      <c r="B53" s="7">
        <f>MAX(B$10:B52)+1</f>
        <v>42</v>
      </c>
      <c r="D53" s="1" t="s">
        <v>59</v>
      </c>
      <c r="E53" s="5">
        <f>E52+E49</f>
        <v>1997017.9799999946</v>
      </c>
      <c r="F53" s="5">
        <f t="shared" ref="F53:K53" si="64">F52+F49</f>
        <v>-491511.52753333724</v>
      </c>
      <c r="G53" s="5">
        <f t="shared" si="64"/>
        <v>1505506.4524666611</v>
      </c>
      <c r="H53" s="5">
        <f t="shared" si="64"/>
        <v>-1300886.0764433434</v>
      </c>
      <c r="I53" s="5">
        <f t="shared" si="64"/>
        <v>204620.37602331524</v>
      </c>
      <c r="J53" s="5">
        <f t="shared" si="64"/>
        <v>2926574.1551891048</v>
      </c>
      <c r="K53" s="5">
        <f t="shared" si="64"/>
        <v>3131194.5312124202</v>
      </c>
      <c r="M53" s="5">
        <f>[2]PFIS!$L$51+[1]PFIS!$L$51</f>
        <v>3131194.5312124239</v>
      </c>
      <c r="N53" s="5">
        <f>M53-K53</f>
        <v>3.7252902984619141E-9</v>
      </c>
    </row>
    <row r="54" spans="2:14" x14ac:dyDescent="0.25">
      <c r="M54" s="3"/>
      <c r="N54" s="3"/>
    </row>
    <row r="55" spans="2:14" x14ac:dyDescent="0.25">
      <c r="B55" s="7">
        <f>MAX(B$10:B54)+1</f>
        <v>43</v>
      </c>
      <c r="C55" s="1" t="s">
        <v>60</v>
      </c>
      <c r="E55" s="3">
        <f>[1]PFIS!$C54+[2]PFIS!$C54</f>
        <v>113404656.11999997</v>
      </c>
      <c r="F55" s="3">
        <f>G55-E55</f>
        <v>1359725.8200000823</v>
      </c>
      <c r="G55" s="3">
        <f>[1]PFIS!$F54+[2]PFIS!$F54</f>
        <v>114764381.94000006</v>
      </c>
      <c r="H55" s="3">
        <f>I55-G55</f>
        <v>0</v>
      </c>
      <c r="I55" s="3">
        <f>[1]PFIS!$I54+[2]PFIS!$I54</f>
        <v>114764381.94000006</v>
      </c>
      <c r="J55" s="3">
        <f>K55-I55</f>
        <v>0</v>
      </c>
      <c r="K55" s="3">
        <f>[1]PFIS!$L54+[2]PFIS!$L54</f>
        <v>114764381.94000006</v>
      </c>
      <c r="M55" s="3"/>
      <c r="N55" s="3"/>
    </row>
    <row r="56" spans="2:14" x14ac:dyDescent="0.25">
      <c r="B56" s="8">
        <f>MAX(B$10:B55)+1</f>
        <v>44</v>
      </c>
      <c r="D56" s="11" t="s">
        <v>61</v>
      </c>
      <c r="E56" s="12">
        <f>[1]PFIS!$C55+[2]PFIS!$C55</f>
        <v>-43932550.700000003</v>
      </c>
      <c r="F56" s="3">
        <f t="shared" ref="F56:H59" si="65">G56-E56</f>
        <v>-3069651.4500000775</v>
      </c>
      <c r="G56" s="12">
        <f>[1]PFIS!$F55+[2]PFIS!$F55</f>
        <v>-47002202.15000008</v>
      </c>
      <c r="H56" s="3">
        <f t="shared" si="65"/>
        <v>0</v>
      </c>
      <c r="I56" s="12">
        <f>[1]PFIS!$I55+[2]PFIS!$I55</f>
        <v>-47002202.15000008</v>
      </c>
      <c r="J56" s="3">
        <f t="shared" ref="J56" si="66">K56-I56</f>
        <v>0</v>
      </c>
      <c r="K56" s="12">
        <f>[1]PFIS!$L55+[2]PFIS!$L55</f>
        <v>-47002202.15000008</v>
      </c>
      <c r="M56" s="3"/>
      <c r="N56" s="3"/>
    </row>
    <row r="57" spans="2:14" x14ac:dyDescent="0.25">
      <c r="B57" s="8">
        <f>MAX(B$10:B56)+1</f>
        <v>45</v>
      </c>
      <c r="D57" s="11" t="s">
        <v>62</v>
      </c>
      <c r="E57" s="12">
        <f>[1]PFIS!$C56+[2]PFIS!$C56</f>
        <v>-1246397.8599999999</v>
      </c>
      <c r="F57" s="3">
        <f t="shared" si="65"/>
        <v>0</v>
      </c>
      <c r="G57" s="12">
        <f>[1]PFIS!$F56+[2]PFIS!$F56</f>
        <v>-1246397.8599999999</v>
      </c>
      <c r="H57" s="3">
        <f t="shared" si="65"/>
        <v>0</v>
      </c>
      <c r="I57" s="12">
        <f>[1]PFIS!$I56+[2]PFIS!$I56</f>
        <v>-1246397.8599999999</v>
      </c>
      <c r="J57" s="3">
        <f t="shared" ref="J57" si="67">K57-I57</f>
        <v>0</v>
      </c>
      <c r="K57" s="12">
        <f>[1]PFIS!$L56+[2]PFIS!$L56</f>
        <v>-1246397.8599999999</v>
      </c>
      <c r="M57" s="3"/>
      <c r="N57" s="3"/>
    </row>
    <row r="58" spans="2:14" x14ac:dyDescent="0.25">
      <c r="B58" s="8">
        <f>MAX(B$10:B57)+1</f>
        <v>46</v>
      </c>
      <c r="D58" s="11" t="s">
        <v>63</v>
      </c>
      <c r="E58" s="12">
        <f>[1]PFIS!$C57+[2]PFIS!$C57</f>
        <v>-50254930.979999997</v>
      </c>
      <c r="F58" s="3">
        <f t="shared" si="65"/>
        <v>155966.78000000119</v>
      </c>
      <c r="G58" s="12">
        <f>[1]PFIS!$F57+[2]PFIS!$F57</f>
        <v>-50098964.199999996</v>
      </c>
      <c r="H58" s="3">
        <f t="shared" si="65"/>
        <v>0</v>
      </c>
      <c r="I58" s="12">
        <f>[1]PFIS!$I57+[2]PFIS!$I57</f>
        <v>-50098964.199999996</v>
      </c>
      <c r="J58" s="3">
        <f t="shared" ref="J58" si="68">K58-I58</f>
        <v>0</v>
      </c>
      <c r="K58" s="12">
        <f>[1]PFIS!$L57+[2]PFIS!$L57</f>
        <v>-50098964.199999996</v>
      </c>
      <c r="M58" s="3"/>
      <c r="N58" s="3"/>
    </row>
    <row r="59" spans="2:14" x14ac:dyDescent="0.25">
      <c r="B59" s="8">
        <f>MAX(B$10:B58)+1</f>
        <v>47</v>
      </c>
      <c r="D59" s="11" t="s">
        <v>64</v>
      </c>
      <c r="E59" s="12">
        <f>[1]PFIS!$C58+[2]PFIS!$C58</f>
        <v>21445490.34</v>
      </c>
      <c r="F59" s="3">
        <f t="shared" si="65"/>
        <v>3733.1700000055134</v>
      </c>
      <c r="G59" s="12">
        <f>[1]PFIS!$F58+[2]PFIS!$F58</f>
        <v>21449223.510000005</v>
      </c>
      <c r="H59" s="3">
        <f t="shared" si="65"/>
        <v>0</v>
      </c>
      <c r="I59" s="12">
        <f>[1]PFIS!$I58+[2]PFIS!$I58</f>
        <v>21449223.510000005</v>
      </c>
      <c r="J59" s="3">
        <f t="shared" ref="J59" si="69">K59-I59</f>
        <v>0</v>
      </c>
      <c r="K59" s="12">
        <f>[1]PFIS!$L58+[2]PFIS!$L58</f>
        <v>21449223.510000005</v>
      </c>
      <c r="M59" s="3"/>
      <c r="N59" s="3"/>
    </row>
    <row r="60" spans="2:14" x14ac:dyDescent="0.25">
      <c r="B60" s="8">
        <f>MAX(B$10:B59)+1</f>
        <v>48</v>
      </c>
      <c r="D60" s="11" t="s">
        <v>101</v>
      </c>
      <c r="E60" s="12">
        <f>[1]PFIS!$C59+[2]PFIS!$C59</f>
        <v>0</v>
      </c>
      <c r="F60" s="3">
        <f t="shared" ref="F60" si="70">G60-E60</f>
        <v>0</v>
      </c>
      <c r="G60" s="12">
        <f>[1]PFIS!$F59+[2]PFIS!$F59</f>
        <v>0</v>
      </c>
      <c r="H60" s="3">
        <f t="shared" ref="H60" si="71">I60-G60</f>
        <v>-3611706.7680000002</v>
      </c>
      <c r="I60" s="12">
        <f>[1]PFIS!$I59+[2]PFIS!$I59</f>
        <v>-3611706.7680000002</v>
      </c>
      <c r="J60" s="3">
        <f t="shared" ref="J60" si="72">K60-I60</f>
        <v>0</v>
      </c>
      <c r="K60" s="12">
        <f>[1]PFIS!$L59+[2]PFIS!$L59</f>
        <v>-3611706.7680000002</v>
      </c>
      <c r="M60" s="3"/>
      <c r="N60" s="3"/>
    </row>
    <row r="61" spans="2:14" s="1" customFormat="1" x14ac:dyDescent="0.25">
      <c r="B61" s="7">
        <f>MAX(B$10:B60)+1</f>
        <v>49</v>
      </c>
      <c r="D61" s="1" t="s">
        <v>65</v>
      </c>
      <c r="E61" s="9">
        <f>SUM(E55:E60)</f>
        <v>39416266.919999972</v>
      </c>
      <c r="F61" s="9">
        <f t="shared" ref="F61:J61" si="73">SUM(F55:F60)</f>
        <v>-1550225.6799999885</v>
      </c>
      <c r="G61" s="9">
        <f t="shared" si="73"/>
        <v>37866041.239999987</v>
      </c>
      <c r="H61" s="9">
        <f t="shared" si="73"/>
        <v>-3611706.7680000002</v>
      </c>
      <c r="I61" s="9">
        <f t="shared" si="73"/>
        <v>34254334.471999988</v>
      </c>
      <c r="J61" s="9">
        <f t="shared" si="73"/>
        <v>0</v>
      </c>
      <c r="K61" s="9">
        <f>SUM(K55:K60)</f>
        <v>34254334.471999988</v>
      </c>
      <c r="M61" s="5">
        <f>[2]PFIS!$L$60+[1]PFIS!$L$60</f>
        <v>34254334.471999995</v>
      </c>
      <c r="N61" s="5">
        <f>M61-K61</f>
        <v>0</v>
      </c>
    </row>
    <row r="63" spans="2:14" x14ac:dyDescent="0.25">
      <c r="B63" s="8">
        <f>MAX(B$10:B62)+1</f>
        <v>50</v>
      </c>
      <c r="D63" t="s">
        <v>66</v>
      </c>
      <c r="E63" s="15">
        <f>E53/E61</f>
        <v>5.0664817752862835E-2</v>
      </c>
      <c r="F63" s="15"/>
      <c r="G63" s="15">
        <f t="shared" ref="G63:K63" si="74">G53/G61</f>
        <v>3.9758749612206927E-2</v>
      </c>
      <c r="H63" s="15"/>
      <c r="I63" s="15">
        <f t="shared" si="74"/>
        <v>5.9735615704510341E-3</v>
      </c>
      <c r="J63" s="15"/>
      <c r="K63" s="15">
        <f t="shared" si="74"/>
        <v>9.1410169821629611E-2</v>
      </c>
    </row>
    <row r="64" spans="2:14" x14ac:dyDescent="0.25">
      <c r="B64" s="8">
        <f>MAX(B$10:B63)+1</f>
        <v>51</v>
      </c>
      <c r="D64" t="s">
        <v>67</v>
      </c>
      <c r="E64" s="3">
        <f>[1]PFIS!$C62+[2]PFIS!$C62</f>
        <v>3.0317006561561576E-2</v>
      </c>
      <c r="G64" s="3">
        <f>[1]PFIS!$C62+[2]PFIS!$C62</f>
        <v>3.0317006561561576E-2</v>
      </c>
      <c r="I64" s="3">
        <f>[1]PFIS!$C62+[2]PFIS!$C62</f>
        <v>3.0317006561561576E-2</v>
      </c>
      <c r="K64" s="3">
        <f>[1]PFIS!$C62+[2]PFIS!$C62</f>
        <v>3.0317006561561576E-2</v>
      </c>
    </row>
  </sheetData>
  <mergeCells count="2">
    <mergeCell ref="C8:D8"/>
    <mergeCell ref="B4:D4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D13B-8561-4C66-862A-0973C94C068B}">
  <sheetPr>
    <pageSetUpPr fitToPage="1"/>
  </sheetPr>
  <dimension ref="B1:P71"/>
  <sheetViews>
    <sheetView topLeftCell="B19" zoomScale="80" zoomScaleNormal="80" workbookViewId="0">
      <selection activeCell="B40" sqref="B40:D40"/>
    </sheetView>
  </sheetViews>
  <sheetFormatPr defaultRowHeight="15" x14ac:dyDescent="0.25"/>
  <cols>
    <col min="1" max="1" width="1.85546875" customWidth="1"/>
    <col min="2" max="2" width="6.42578125" style="8" customWidth="1"/>
    <col min="3" max="3" width="0.85546875" customWidth="1"/>
    <col min="4" max="4" width="47.85546875" bestFit="1" customWidth="1"/>
    <col min="5" max="12" width="15.42578125" style="3" customWidth="1"/>
    <col min="13" max="13" width="1.85546875" customWidth="1"/>
    <col min="14" max="16" width="15.42578125" customWidth="1"/>
  </cols>
  <sheetData>
    <row r="1" spans="2:16" ht="5.0999999999999996" customHeight="1" x14ac:dyDescent="0.25">
      <c r="B1"/>
      <c r="E1"/>
      <c r="F1"/>
      <c r="G1"/>
      <c r="H1"/>
      <c r="I1"/>
      <c r="J1"/>
      <c r="K1"/>
      <c r="L1"/>
    </row>
    <row r="2" spans="2:16" x14ac:dyDescent="0.25">
      <c r="B2" s="1" t="s">
        <v>0</v>
      </c>
      <c r="C2" s="1"/>
      <c r="E2"/>
      <c r="F2"/>
      <c r="G2"/>
      <c r="H2"/>
      <c r="I2"/>
      <c r="J2"/>
      <c r="K2"/>
      <c r="L2"/>
    </row>
    <row r="3" spans="2:16" x14ac:dyDescent="0.25">
      <c r="B3" s="1" t="s">
        <v>79</v>
      </c>
      <c r="C3" s="1"/>
      <c r="E3"/>
      <c r="F3"/>
      <c r="G3"/>
      <c r="H3"/>
      <c r="I3"/>
      <c r="J3"/>
      <c r="K3"/>
      <c r="L3"/>
    </row>
    <row r="4" spans="2:16" x14ac:dyDescent="0.25">
      <c r="B4" s="48" t="str">
        <f>[1]PFIS!$B$2</f>
        <v>UW-0</v>
      </c>
      <c r="C4" s="48"/>
      <c r="D4" s="48"/>
      <c r="E4"/>
      <c r="F4"/>
      <c r="G4"/>
      <c r="H4"/>
      <c r="I4"/>
      <c r="J4"/>
      <c r="K4"/>
      <c r="L4"/>
    </row>
    <row r="5" spans="2:16" x14ac:dyDescent="0.25">
      <c r="B5" s="1" t="str">
        <f>[1]PFIS!$B$3</f>
        <v>For Test Year Ended December 31, 2020</v>
      </c>
      <c r="C5" s="1"/>
      <c r="E5"/>
      <c r="F5"/>
      <c r="G5"/>
      <c r="H5"/>
      <c r="I5"/>
      <c r="J5"/>
      <c r="K5"/>
      <c r="L5"/>
    </row>
    <row r="6" spans="2:16" x14ac:dyDescent="0.25">
      <c r="B6"/>
      <c r="E6"/>
      <c r="F6"/>
      <c r="G6"/>
      <c r="H6"/>
      <c r="I6"/>
      <c r="J6"/>
      <c r="K6"/>
      <c r="L6"/>
    </row>
    <row r="7" spans="2:16" ht="30.75" thickBot="1" x14ac:dyDescent="0.3">
      <c r="B7" s="2" t="s">
        <v>49</v>
      </c>
      <c r="C7" s="16" t="s">
        <v>50</v>
      </c>
      <c r="D7" s="16"/>
      <c r="E7" s="2" t="s">
        <v>70</v>
      </c>
      <c r="F7" s="2" t="s">
        <v>71</v>
      </c>
      <c r="G7" s="2" t="s">
        <v>72</v>
      </c>
      <c r="H7" s="2" t="s">
        <v>73</v>
      </c>
      <c r="I7" s="2" t="s">
        <v>82</v>
      </c>
      <c r="J7" s="2" t="s">
        <v>80</v>
      </c>
      <c r="K7" s="2" t="s">
        <v>81</v>
      </c>
      <c r="L7" s="2"/>
    </row>
    <row r="8" spans="2:16" x14ac:dyDescent="0.25">
      <c r="B8"/>
      <c r="C8" s="47" t="s">
        <v>51</v>
      </c>
      <c r="D8" s="47"/>
      <c r="E8" s="6" t="s">
        <v>52</v>
      </c>
      <c r="F8" s="6" t="s">
        <v>53</v>
      </c>
      <c r="G8" s="6" t="s">
        <v>54</v>
      </c>
      <c r="H8" s="6" t="s">
        <v>55</v>
      </c>
      <c r="I8" s="6" t="s">
        <v>56</v>
      </c>
      <c r="J8" s="6" t="s">
        <v>57</v>
      </c>
      <c r="K8" s="6" t="s">
        <v>58</v>
      </c>
      <c r="L8" s="6"/>
      <c r="O8" s="43" t="s">
        <v>83</v>
      </c>
    </row>
    <row r="9" spans="2:16" ht="5.0999999999999996" customHeight="1" x14ac:dyDescent="0.25">
      <c r="B9"/>
      <c r="E9" s="6"/>
      <c r="F9" s="6"/>
      <c r="G9" s="6"/>
      <c r="H9" s="6"/>
      <c r="I9" s="6"/>
      <c r="J9" s="6"/>
      <c r="K9" s="6"/>
      <c r="L9" s="6"/>
    </row>
    <row r="10" spans="2:16" x14ac:dyDescent="0.25">
      <c r="B10" s="10">
        <v>1</v>
      </c>
      <c r="C10" s="19"/>
      <c r="D10" s="22" t="s">
        <v>74</v>
      </c>
      <c r="E10" s="23">
        <v>2010</v>
      </c>
      <c r="F10" s="25" t="s">
        <v>77</v>
      </c>
      <c r="G10" s="30">
        <v>264530.02</v>
      </c>
      <c r="H10" s="33">
        <v>1.4999999999999999E-2</v>
      </c>
      <c r="I10" s="33">
        <f>H10</f>
        <v>1.4999999999999999E-2</v>
      </c>
      <c r="J10" s="33">
        <f>G10/G$22</f>
        <v>1.3166303808986245E-2</v>
      </c>
      <c r="K10" s="33">
        <f>I10*J10</f>
        <v>1.9749455713479367E-4</v>
      </c>
      <c r="L10" s="33"/>
      <c r="N10" s="43"/>
      <c r="O10" s="45" t="s">
        <v>70</v>
      </c>
      <c r="P10" s="46" t="s">
        <v>99</v>
      </c>
    </row>
    <row r="11" spans="2:16" x14ac:dyDescent="0.25">
      <c r="B11" s="10">
        <f>MAX(B$10:B10)+1</f>
        <v>2</v>
      </c>
      <c r="C11" s="20"/>
      <c r="D11" s="22" t="s">
        <v>75</v>
      </c>
      <c r="E11" s="23">
        <v>2007</v>
      </c>
      <c r="F11" s="26" t="s">
        <v>77</v>
      </c>
      <c r="G11" s="29">
        <v>99972.73000000001</v>
      </c>
      <c r="H11" s="33">
        <v>1.4999999999999999E-2</v>
      </c>
      <c r="I11" s="33">
        <f>H11</f>
        <v>1.4999999999999999E-2</v>
      </c>
      <c r="J11" s="33">
        <f t="shared" ref="J11:J20" si="0">G11/G$22</f>
        <v>4.9758864260236076E-3</v>
      </c>
      <c r="K11" s="33">
        <f t="shared" ref="K11:K20" si="1">I11*J11</f>
        <v>7.4638296390354113E-5</v>
      </c>
      <c r="L11" s="33"/>
      <c r="O11" s="39">
        <v>2021</v>
      </c>
      <c r="P11" s="15">
        <v>5.2499999999999998E-2</v>
      </c>
    </row>
    <row r="12" spans="2:16" x14ac:dyDescent="0.25">
      <c r="B12" s="10">
        <f>MAX(B$10:B11)+1</f>
        <v>3</v>
      </c>
      <c r="C12" s="20"/>
      <c r="D12" s="22" t="s">
        <v>76</v>
      </c>
      <c r="E12" s="23">
        <v>2011</v>
      </c>
      <c r="F12" s="27" t="s">
        <v>78</v>
      </c>
      <c r="G12" s="29">
        <v>227647.13795565537</v>
      </c>
      <c r="H12" s="33">
        <v>6.0299999999999999E-2</v>
      </c>
      <c r="I12" s="33">
        <f t="shared" ref="I12:I20" si="2">MIN(H12,VLOOKUP(E12,O$11:P$22,2,FALSE))</f>
        <v>5.2499999999999998E-2</v>
      </c>
      <c r="J12" s="33">
        <f t="shared" si="0"/>
        <v>1.1330552878536668E-2</v>
      </c>
      <c r="K12" s="33">
        <f t="shared" si="1"/>
        <v>5.9485402612317504E-4</v>
      </c>
      <c r="L12" s="33"/>
      <c r="O12" s="39">
        <v>2020</v>
      </c>
      <c r="P12" s="15">
        <v>5.6250000000000001E-2</v>
      </c>
    </row>
    <row r="13" spans="2:16" x14ac:dyDescent="0.25">
      <c r="B13" s="10">
        <f>MAX(B$10:B12)+1</f>
        <v>4</v>
      </c>
      <c r="C13" s="20"/>
      <c r="D13" s="22" t="s">
        <v>76</v>
      </c>
      <c r="E13" s="23">
        <v>2012</v>
      </c>
      <c r="F13" s="27" t="s">
        <v>78</v>
      </c>
      <c r="G13" s="29">
        <v>354411.7419596035</v>
      </c>
      <c r="H13" s="33">
        <v>5.5E-2</v>
      </c>
      <c r="I13" s="33">
        <f t="shared" si="2"/>
        <v>5.2499999999999998E-2</v>
      </c>
      <c r="J13" s="33">
        <f t="shared" si="0"/>
        <v>1.7639936170995553E-2</v>
      </c>
      <c r="K13" s="33">
        <f t="shared" si="1"/>
        <v>9.2609664897726652E-4</v>
      </c>
      <c r="L13" s="33"/>
      <c r="O13" s="39">
        <v>2019</v>
      </c>
      <c r="P13" s="15">
        <v>7.2499999999999995E-2</v>
      </c>
    </row>
    <row r="14" spans="2:16" x14ac:dyDescent="0.25">
      <c r="B14" s="10">
        <f>MAX(B$10:B13)+1</f>
        <v>5</v>
      </c>
      <c r="C14" s="20"/>
      <c r="D14" s="22" t="s">
        <v>76</v>
      </c>
      <c r="E14" s="23">
        <v>2016</v>
      </c>
      <c r="F14" s="27" t="s">
        <v>78</v>
      </c>
      <c r="G14" s="29">
        <v>540908.89302515809</v>
      </c>
      <c r="H14" s="33">
        <v>5.57E-2</v>
      </c>
      <c r="I14" s="33">
        <f t="shared" si="2"/>
        <v>5.5E-2</v>
      </c>
      <c r="J14" s="33">
        <f t="shared" si="0"/>
        <v>2.6922353911104951E-2</v>
      </c>
      <c r="K14" s="33">
        <f t="shared" si="1"/>
        <v>1.4807294651107722E-3</v>
      </c>
      <c r="L14" s="33"/>
      <c r="O14" s="39">
        <v>2018</v>
      </c>
      <c r="P14" s="15">
        <v>6.8750000000000006E-2</v>
      </c>
    </row>
    <row r="15" spans="2:16" x14ac:dyDescent="0.25">
      <c r="B15" s="10">
        <f>MAX(B$10:B14)+1</f>
        <v>6</v>
      </c>
      <c r="C15" s="20"/>
      <c r="D15" s="22" t="s">
        <v>76</v>
      </c>
      <c r="E15" s="23">
        <v>2016</v>
      </c>
      <c r="F15" s="27" t="s">
        <v>78</v>
      </c>
      <c r="G15" s="29">
        <v>1323995.3626551796</v>
      </c>
      <c r="H15" s="33">
        <v>5.2999999999999999E-2</v>
      </c>
      <c r="I15" s="33">
        <f t="shared" si="2"/>
        <v>5.2999999999999999E-2</v>
      </c>
      <c r="J15" s="33">
        <f t="shared" si="0"/>
        <v>6.5898476045958845E-2</v>
      </c>
      <c r="K15" s="33">
        <f t="shared" si="1"/>
        <v>3.4926192304358186E-3</v>
      </c>
      <c r="L15" s="33"/>
      <c r="O15" s="39">
        <v>2017</v>
      </c>
      <c r="P15" s="15">
        <v>6.0624999999999998E-2</v>
      </c>
    </row>
    <row r="16" spans="2:16" x14ac:dyDescent="0.25">
      <c r="B16" s="10">
        <f>MAX(B$10:B15)+1</f>
        <v>7</v>
      </c>
      <c r="C16" s="20"/>
      <c r="D16" s="22" t="s">
        <v>76</v>
      </c>
      <c r="E16" s="23">
        <v>2017</v>
      </c>
      <c r="F16" s="27" t="s">
        <v>78</v>
      </c>
      <c r="G16" s="29">
        <v>1740156.9809467278</v>
      </c>
      <c r="H16" s="33">
        <v>5.2999999999999999E-2</v>
      </c>
      <c r="I16" s="33">
        <f t="shared" si="2"/>
        <v>5.2999999999999999E-2</v>
      </c>
      <c r="J16" s="33">
        <f t="shared" si="0"/>
        <v>8.6611854059032337E-2</v>
      </c>
      <c r="K16" s="33">
        <f t="shared" si="1"/>
        <v>4.5904282651287138E-3</v>
      </c>
      <c r="L16" s="33"/>
      <c r="O16" s="39">
        <v>2016</v>
      </c>
      <c r="P16" s="15">
        <v>5.5E-2</v>
      </c>
    </row>
    <row r="17" spans="2:16" s="1" customFormat="1" x14ac:dyDescent="0.25">
      <c r="B17" s="10">
        <f>MAX(B$10:B16)+1</f>
        <v>8</v>
      </c>
      <c r="C17" s="19"/>
      <c r="D17" s="22" t="s">
        <v>76</v>
      </c>
      <c r="E17" s="23">
        <v>2018</v>
      </c>
      <c r="F17" s="27" t="s">
        <v>78</v>
      </c>
      <c r="G17" s="29">
        <v>2818466.2446585009</v>
      </c>
      <c r="H17" s="33">
        <v>5.5E-2</v>
      </c>
      <c r="I17" s="33">
        <f t="shared" si="2"/>
        <v>5.5E-2</v>
      </c>
      <c r="J17" s="33">
        <f t="shared" si="0"/>
        <v>0.14028193417346876</v>
      </c>
      <c r="K17" s="33">
        <f t="shared" si="1"/>
        <v>7.7155063795407821E-3</v>
      </c>
      <c r="L17" s="33"/>
      <c r="N17"/>
      <c r="O17" s="39">
        <v>2015</v>
      </c>
      <c r="P17" s="15">
        <v>5.2499999999999998E-2</v>
      </c>
    </row>
    <row r="18" spans="2:16" x14ac:dyDescent="0.25">
      <c r="B18" s="8">
        <f>MAX(B$10:B17)+1</f>
        <v>9</v>
      </c>
      <c r="D18" s="11" t="s">
        <v>76</v>
      </c>
      <c r="E18" s="24">
        <v>2019</v>
      </c>
      <c r="F18" s="28" t="s">
        <v>78</v>
      </c>
      <c r="G18" s="12">
        <v>3942563.1199725904</v>
      </c>
      <c r="H18" s="34">
        <v>3.9699999999999999E-2</v>
      </c>
      <c r="I18" s="33">
        <f t="shared" si="2"/>
        <v>3.9699999999999999E-2</v>
      </c>
      <c r="J18" s="33">
        <f t="shared" si="0"/>
        <v>0.19623097531109626</v>
      </c>
      <c r="K18" s="33">
        <f t="shared" si="1"/>
        <v>7.7903697198505213E-3</v>
      </c>
      <c r="L18" s="34"/>
      <c r="O18" s="39">
        <v>2014</v>
      </c>
      <c r="P18" s="15">
        <v>5.2499999999999998E-2</v>
      </c>
    </row>
    <row r="19" spans="2:16" x14ac:dyDescent="0.25">
      <c r="B19" s="8">
        <f>MAX(B$10:B18)+1</f>
        <v>10</v>
      </c>
      <c r="D19" s="11" t="s">
        <v>76</v>
      </c>
      <c r="E19" s="24">
        <v>2020</v>
      </c>
      <c r="F19" s="28" t="s">
        <v>78</v>
      </c>
      <c r="G19" s="12">
        <v>4075673.06</v>
      </c>
      <c r="H19" s="34">
        <v>4.3099999999999999E-2</v>
      </c>
      <c r="I19" s="33">
        <f t="shared" si="2"/>
        <v>4.3099999999999999E-2</v>
      </c>
      <c r="J19" s="33">
        <f t="shared" si="0"/>
        <v>0.20285618144232032</v>
      </c>
      <c r="K19" s="33">
        <f t="shared" si="1"/>
        <v>8.7431014201640057E-3</v>
      </c>
      <c r="L19" s="34"/>
      <c r="O19" s="39">
        <v>2013</v>
      </c>
      <c r="P19" s="15">
        <v>5.2499999999999998E-2</v>
      </c>
    </row>
    <row r="20" spans="2:16" x14ac:dyDescent="0.25">
      <c r="B20" s="8">
        <f>MAX(B$10:B19)+1</f>
        <v>11</v>
      </c>
      <c r="D20" s="11" t="s">
        <v>76</v>
      </c>
      <c r="E20" s="24">
        <v>2020</v>
      </c>
      <c r="F20" s="28" t="s">
        <v>78</v>
      </c>
      <c r="G20" s="29">
        <v>4703116</v>
      </c>
      <c r="H20" s="34">
        <v>4.3099999999999999E-2</v>
      </c>
      <c r="I20" s="33">
        <f t="shared" si="2"/>
        <v>4.3099999999999999E-2</v>
      </c>
      <c r="J20" s="33">
        <f t="shared" si="0"/>
        <v>0.23408554577247659</v>
      </c>
      <c r="K20" s="33">
        <f t="shared" si="1"/>
        <v>1.0089087022793741E-2</v>
      </c>
      <c r="L20" s="34"/>
      <c r="O20" s="39">
        <v>2012</v>
      </c>
      <c r="P20" s="15">
        <v>5.2499999999999998E-2</v>
      </c>
    </row>
    <row r="21" spans="2:16" ht="4.5" customHeight="1" x14ac:dyDescent="0.25">
      <c r="G21" s="35"/>
      <c r="H21" s="35"/>
      <c r="I21" s="35"/>
      <c r="J21" s="35"/>
      <c r="K21" s="35"/>
      <c r="O21" s="39">
        <v>2011</v>
      </c>
      <c r="P21" s="15">
        <v>5.2499999999999998E-2</v>
      </c>
    </row>
    <row r="22" spans="2:16" s="1" customFormat="1" x14ac:dyDescent="0.25">
      <c r="B22" s="7">
        <f>MAX(B$10:B21)+1</f>
        <v>12</v>
      </c>
      <c r="D22" s="1" t="s">
        <v>91</v>
      </c>
      <c r="E22" s="5"/>
      <c r="F22" s="5"/>
      <c r="G22" s="5">
        <f>SUM(G10:G20)</f>
        <v>20091441.291173413</v>
      </c>
      <c r="H22" s="5"/>
      <c r="I22" s="5"/>
      <c r="J22" s="36">
        <f>SUM(J10:J20)</f>
        <v>1</v>
      </c>
      <c r="K22" s="32">
        <f>SUM(K10:K20)</f>
        <v>4.5694925031649944E-2</v>
      </c>
      <c r="L22" s="5"/>
      <c r="N22"/>
      <c r="O22" s="39">
        <v>2010</v>
      </c>
      <c r="P22" s="15">
        <v>5.2499999999999998E-2</v>
      </c>
    </row>
    <row r="24" spans="2:16" x14ac:dyDescent="0.25">
      <c r="B24" s="1" t="s">
        <v>0</v>
      </c>
      <c r="C24" s="1"/>
      <c r="E24"/>
      <c r="F24"/>
      <c r="G24"/>
      <c r="H24"/>
      <c r="I24"/>
      <c r="J24"/>
      <c r="K24"/>
      <c r="L24"/>
    </row>
    <row r="25" spans="2:16" x14ac:dyDescent="0.25">
      <c r="B25" s="1" t="s">
        <v>85</v>
      </c>
      <c r="C25" s="1"/>
      <c r="E25"/>
      <c r="F25"/>
      <c r="G25"/>
      <c r="H25"/>
      <c r="I25"/>
      <c r="J25"/>
      <c r="K25"/>
      <c r="L25"/>
    </row>
    <row r="26" spans="2:16" x14ac:dyDescent="0.25">
      <c r="B26" s="48" t="str">
        <f>[1]PFIS!$B$2</f>
        <v>UW-0</v>
      </c>
      <c r="C26" s="48"/>
      <c r="D26" s="48"/>
      <c r="E26"/>
      <c r="F26"/>
      <c r="G26"/>
      <c r="H26"/>
      <c r="I26"/>
      <c r="J26"/>
      <c r="K26"/>
      <c r="L26"/>
    </row>
    <row r="27" spans="2:16" x14ac:dyDescent="0.25">
      <c r="B27" s="1" t="str">
        <f>[1]PFIS!$B$3</f>
        <v>For Test Year Ended December 31, 2020</v>
      </c>
      <c r="C27" s="1"/>
      <c r="E27"/>
      <c r="F27"/>
      <c r="G27"/>
      <c r="H27"/>
      <c r="I27"/>
      <c r="J27"/>
      <c r="K27"/>
      <c r="L27"/>
    </row>
    <row r="28" spans="2:16" x14ac:dyDescent="0.25">
      <c r="B28"/>
      <c r="E28"/>
      <c r="F28"/>
      <c r="G28"/>
      <c r="H28"/>
      <c r="I28"/>
      <c r="J28"/>
      <c r="K28"/>
      <c r="L28"/>
    </row>
    <row r="29" spans="2:16" ht="30.75" thickBot="1" x14ac:dyDescent="0.3">
      <c r="B29" s="2" t="s">
        <v>49</v>
      </c>
      <c r="C29" s="16" t="s">
        <v>50</v>
      </c>
      <c r="D29" s="16"/>
      <c r="E29" s="2"/>
      <c r="F29" s="2" t="s">
        <v>87</v>
      </c>
      <c r="G29" s="2" t="s">
        <v>80</v>
      </c>
      <c r="H29" s="2" t="s">
        <v>88</v>
      </c>
      <c r="I29" s="2" t="s">
        <v>89</v>
      </c>
      <c r="J29" s="2"/>
      <c r="K29" s="2"/>
      <c r="L29" s="2"/>
    </row>
    <row r="30" spans="2:16" x14ac:dyDescent="0.25">
      <c r="B30"/>
      <c r="C30" s="47" t="s">
        <v>51</v>
      </c>
      <c r="D30" s="47"/>
      <c r="E30" s="6"/>
      <c r="F30" s="6" t="s">
        <v>52</v>
      </c>
      <c r="G30" s="6" t="s">
        <v>53</v>
      </c>
      <c r="H30" s="6" t="s">
        <v>54</v>
      </c>
      <c r="I30" s="6" t="s">
        <v>55</v>
      </c>
      <c r="J30" s="6"/>
      <c r="K30" s="6"/>
      <c r="L30" s="6"/>
    </row>
    <row r="31" spans="2:16" ht="5.0999999999999996" customHeight="1" x14ac:dyDescent="0.25">
      <c r="B31"/>
      <c r="E31" s="6"/>
      <c r="F31" s="6"/>
      <c r="G31" s="6"/>
      <c r="H31" s="6"/>
      <c r="I31" s="6"/>
      <c r="J31" s="6"/>
      <c r="K31" s="6"/>
      <c r="L31" s="6"/>
    </row>
    <row r="32" spans="2:16" x14ac:dyDescent="0.25">
      <c r="B32" s="10">
        <f>MAX(B$31:B31)+1</f>
        <v>1</v>
      </c>
      <c r="C32" s="19"/>
      <c r="D32" s="22" t="s">
        <v>86</v>
      </c>
      <c r="E32" s="23"/>
      <c r="F32" s="30">
        <v>39732206.620000005</v>
      </c>
      <c r="G32" s="31">
        <f>F32/F$36</f>
        <v>0.83338739530722961</v>
      </c>
      <c r="H32" s="33">
        <v>0.12</v>
      </c>
      <c r="I32" s="33">
        <f>G32*H32</f>
        <v>0.10000648743686755</v>
      </c>
      <c r="J32" s="33"/>
      <c r="K32" s="33"/>
      <c r="L32" s="33"/>
      <c r="N32" s="37"/>
      <c r="O32" s="38"/>
    </row>
    <row r="33" spans="2:15" x14ac:dyDescent="0.25">
      <c r="B33" s="10">
        <f>MAX(B$31:B32)+1</f>
        <v>2</v>
      </c>
      <c r="C33" s="20"/>
      <c r="D33" s="22" t="s">
        <v>90</v>
      </c>
      <c r="E33" s="23"/>
      <c r="F33" s="29">
        <v>7151739.9800000004</v>
      </c>
      <c r="G33" s="31">
        <f t="shared" ref="G33:G34" si="3">F33/F$36</f>
        <v>0.15000853113571114</v>
      </c>
      <c r="H33" s="33">
        <v>0.12</v>
      </c>
      <c r="I33" s="33">
        <f t="shared" ref="I33:I34" si="4">G33*H33</f>
        <v>1.8001023736285336E-2</v>
      </c>
      <c r="J33" s="33"/>
      <c r="K33" s="33"/>
      <c r="L33" s="33"/>
      <c r="N33" s="37"/>
      <c r="O33" s="38"/>
    </row>
    <row r="34" spans="2:15" x14ac:dyDescent="0.25">
      <c r="B34" s="10">
        <f>MAX(B$31:B33)+1</f>
        <v>3</v>
      </c>
      <c r="C34" s="20"/>
      <c r="D34" s="22" t="s">
        <v>97</v>
      </c>
      <c r="E34" s="23"/>
      <c r="F34" s="29">
        <f>'RR Summary'!G52</f>
        <v>791608.4224666612</v>
      </c>
      <c r="G34" s="31">
        <f t="shared" si="3"/>
        <v>1.6604073557059233E-2</v>
      </c>
      <c r="H34" s="33">
        <v>0.12</v>
      </c>
      <c r="I34" s="33">
        <f t="shared" si="4"/>
        <v>1.9924888268471079E-3</v>
      </c>
      <c r="J34" s="33"/>
      <c r="K34" s="33"/>
      <c r="L34" s="33"/>
      <c r="N34" s="37"/>
      <c r="O34" s="38"/>
    </row>
    <row r="35" spans="2:15" ht="4.5" customHeight="1" x14ac:dyDescent="0.25">
      <c r="F35" s="35"/>
      <c r="G35" s="35"/>
      <c r="H35" s="35"/>
      <c r="I35" s="35"/>
      <c r="J35" s="21"/>
      <c r="K35" s="21"/>
      <c r="L35" s="21"/>
    </row>
    <row r="36" spans="2:15" s="1" customFormat="1" x14ac:dyDescent="0.25">
      <c r="B36" s="7">
        <f>MAX(B$31:B35)+1</f>
        <v>4</v>
      </c>
      <c r="D36" s="1" t="s">
        <v>91</v>
      </c>
      <c r="E36" s="5"/>
      <c r="F36" s="5">
        <f>SUM(F32:F34)</f>
        <v>47675555.022466667</v>
      </c>
      <c r="G36" s="36">
        <f>SUM(G32:G34)</f>
        <v>1</v>
      </c>
      <c r="H36" s="5"/>
      <c r="I36" s="32">
        <f>SUM(I32:I34)</f>
        <v>0.12</v>
      </c>
      <c r="J36" s="36"/>
      <c r="K36" s="32"/>
      <c r="L36" s="5"/>
    </row>
    <row r="38" spans="2:15" x14ac:dyDescent="0.25">
      <c r="B38" s="1" t="s">
        <v>0</v>
      </c>
      <c r="C38" s="1"/>
      <c r="E38"/>
      <c r="F38"/>
      <c r="G38"/>
      <c r="H38"/>
      <c r="I38"/>
      <c r="J38"/>
      <c r="K38"/>
      <c r="L38"/>
    </row>
    <row r="39" spans="2:15" x14ac:dyDescent="0.25">
      <c r="B39" s="1" t="s">
        <v>92</v>
      </c>
      <c r="C39" s="1"/>
      <c r="E39"/>
      <c r="F39"/>
      <c r="G39"/>
      <c r="H39"/>
      <c r="I39"/>
      <c r="J39"/>
      <c r="K39"/>
      <c r="L39"/>
    </row>
    <row r="40" spans="2:15" x14ac:dyDescent="0.25">
      <c r="B40" s="48" t="str">
        <f>[1]PFIS!$B$2</f>
        <v>UW-0</v>
      </c>
      <c r="C40" s="48"/>
      <c r="D40" s="48"/>
      <c r="E40"/>
      <c r="F40"/>
      <c r="G40"/>
      <c r="H40"/>
      <c r="I40"/>
      <c r="J40"/>
      <c r="K40"/>
      <c r="L40"/>
    </row>
    <row r="41" spans="2:15" x14ac:dyDescent="0.25">
      <c r="B41" s="1" t="str">
        <f>[1]PFIS!$B$3</f>
        <v>For Test Year Ended December 31, 2020</v>
      </c>
      <c r="C41" s="1"/>
      <c r="E41"/>
      <c r="F41"/>
      <c r="G41"/>
      <c r="H41"/>
      <c r="I41"/>
      <c r="J41"/>
      <c r="K41"/>
      <c r="L41"/>
    </row>
    <row r="42" spans="2:15" x14ac:dyDescent="0.25">
      <c r="B42"/>
      <c r="E42"/>
      <c r="F42"/>
      <c r="G42"/>
      <c r="H42"/>
      <c r="I42"/>
      <c r="J42"/>
      <c r="K42"/>
      <c r="L42"/>
    </row>
    <row r="43" spans="2:15" ht="45.75" thickBot="1" x14ac:dyDescent="0.3">
      <c r="B43" s="2" t="s">
        <v>49</v>
      </c>
      <c r="C43" s="16" t="s">
        <v>50</v>
      </c>
      <c r="D43" s="16"/>
      <c r="E43" s="2"/>
      <c r="F43" s="2" t="s">
        <v>87</v>
      </c>
      <c r="G43" s="2" t="s">
        <v>93</v>
      </c>
      <c r="H43" s="2" t="s">
        <v>88</v>
      </c>
      <c r="I43" s="2" t="s">
        <v>94</v>
      </c>
      <c r="J43" s="2" t="s">
        <v>95</v>
      </c>
      <c r="K43" s="2" t="s">
        <v>88</v>
      </c>
      <c r="L43" s="2" t="s">
        <v>96</v>
      </c>
    </row>
    <row r="44" spans="2:15" x14ac:dyDescent="0.25">
      <c r="B44"/>
      <c r="C44" s="47" t="s">
        <v>51</v>
      </c>
      <c r="D44" s="47"/>
      <c r="E44" s="6"/>
      <c r="F44" s="6" t="s">
        <v>52</v>
      </c>
      <c r="G44" s="6" t="s">
        <v>53</v>
      </c>
      <c r="H44" s="6" t="s">
        <v>54</v>
      </c>
      <c r="I44" s="6" t="s">
        <v>55</v>
      </c>
      <c r="J44" s="6" t="s">
        <v>56</v>
      </c>
      <c r="K44" s="6" t="s">
        <v>57</v>
      </c>
      <c r="L44" s="6" t="s">
        <v>58</v>
      </c>
    </row>
    <row r="45" spans="2:15" ht="5.0999999999999996" customHeight="1" x14ac:dyDescent="0.25">
      <c r="B45"/>
      <c r="E45" s="6"/>
      <c r="F45" s="6"/>
      <c r="G45" s="6"/>
      <c r="H45" s="6"/>
      <c r="I45" s="6"/>
      <c r="J45" s="6"/>
      <c r="K45" s="6"/>
      <c r="L45" s="6"/>
    </row>
    <row r="46" spans="2:15" x14ac:dyDescent="0.25">
      <c r="B46" s="10">
        <f>MAX(B$44:B45)+1</f>
        <v>1</v>
      </c>
      <c r="C46" t="s">
        <v>84</v>
      </c>
      <c r="F46" s="3">
        <f>G22</f>
        <v>20091441.291173413</v>
      </c>
      <c r="G46" s="15">
        <f>F46/F$50</f>
        <v>0.29647826204640892</v>
      </c>
      <c r="H46" s="37">
        <f>K22</f>
        <v>4.5694925031649944E-2</v>
      </c>
      <c r="I46" s="15">
        <f>G46*H46</f>
        <v>1.3547551957724523E-2</v>
      </c>
      <c r="J46" s="40">
        <f>G46</f>
        <v>0.29647826204640892</v>
      </c>
      <c r="K46" s="37">
        <f>K22</f>
        <v>4.5694925031649944E-2</v>
      </c>
      <c r="L46" s="15">
        <f>J46*K46</f>
        <v>1.3547551957724523E-2</v>
      </c>
    </row>
    <row r="47" spans="2:15" x14ac:dyDescent="0.25">
      <c r="B47" s="8">
        <f>MAX(B$44:B46)+1</f>
        <v>2</v>
      </c>
      <c r="C47" t="s">
        <v>100</v>
      </c>
      <c r="F47" s="3">
        <v>0</v>
      </c>
      <c r="G47" s="15">
        <v>0</v>
      </c>
      <c r="H47" s="37">
        <v>0</v>
      </c>
      <c r="I47" s="15">
        <f t="shared" ref="I47:I48" si="5">G47*H47</f>
        <v>0</v>
      </c>
      <c r="J47" s="40">
        <f>1-J46-J48</f>
        <v>0.1035217379535911</v>
      </c>
      <c r="K47" s="37">
        <f>P12</f>
        <v>5.6250000000000001E-2</v>
      </c>
      <c r="L47" s="15">
        <f t="shared" ref="L47:L48" si="6">J47*K47</f>
        <v>5.8230977598894996E-3</v>
      </c>
    </row>
    <row r="48" spans="2:15" x14ac:dyDescent="0.25">
      <c r="B48" s="8">
        <f>MAX(B$44:B47)+1</f>
        <v>3</v>
      </c>
      <c r="C48" t="s">
        <v>85</v>
      </c>
      <c r="F48" s="3">
        <f>F36</f>
        <v>47675555.022466667</v>
      </c>
      <c r="G48" s="15">
        <f>F48/F$50</f>
        <v>0.70352173795359096</v>
      </c>
      <c r="H48" s="37">
        <f>I36</f>
        <v>0.12</v>
      </c>
      <c r="I48" s="15">
        <f t="shared" si="5"/>
        <v>8.4422608554430914E-2</v>
      </c>
      <c r="J48" s="40">
        <v>0.6</v>
      </c>
      <c r="K48" s="37">
        <f>H48</f>
        <v>0.12</v>
      </c>
      <c r="L48" s="15">
        <f t="shared" si="6"/>
        <v>7.1999999999999995E-2</v>
      </c>
    </row>
    <row r="49" spans="2:12" ht="2.4500000000000002" customHeight="1" x14ac:dyDescent="0.25">
      <c r="F49" s="35"/>
      <c r="G49" s="35"/>
      <c r="H49" s="35"/>
      <c r="I49" s="35"/>
      <c r="J49" s="35"/>
      <c r="K49" s="35"/>
      <c r="L49" s="41"/>
    </row>
    <row r="50" spans="2:12" s="1" customFormat="1" x14ac:dyDescent="0.25">
      <c r="B50" s="7">
        <f>MAX(B$44:B49)+1</f>
        <v>4</v>
      </c>
      <c r="C50" s="1" t="s">
        <v>91</v>
      </c>
      <c r="E50" s="5"/>
      <c r="F50" s="5">
        <f>SUM(F46:F48)</f>
        <v>67766996.313640088</v>
      </c>
      <c r="G50" s="32">
        <f>SUM(G46:G48)</f>
        <v>0.99999999999999989</v>
      </c>
      <c r="H50" s="5"/>
      <c r="I50" s="32">
        <f>SUM(I46:I48)</f>
        <v>9.797016051215543E-2</v>
      </c>
      <c r="J50" s="32">
        <f>SUM(J46:J48)</f>
        <v>1</v>
      </c>
      <c r="K50" s="5"/>
      <c r="L50" s="32">
        <f>SUM(L46:L48)</f>
        <v>9.1370649717614022E-2</v>
      </c>
    </row>
    <row r="52" spans="2:12" s="1" customFormat="1" x14ac:dyDescent="0.25">
      <c r="B52" s="7">
        <f>MAX(B$44:B51)+1</f>
        <v>5</v>
      </c>
      <c r="C52" s="1" t="s">
        <v>98</v>
      </c>
      <c r="E52" s="42">
        <f>MIN(I50,L50)</f>
        <v>9.1370649717614022E-2</v>
      </c>
      <c r="F52" s="5"/>
      <c r="G52" s="5"/>
      <c r="H52" s="5"/>
      <c r="I52" s="5"/>
      <c r="J52" s="5"/>
      <c r="K52" s="5"/>
      <c r="L52" s="5"/>
    </row>
    <row r="59" spans="2:12" x14ac:dyDescent="0.25">
      <c r="B59" s="44"/>
    </row>
    <row r="60" spans="2:12" x14ac:dyDescent="0.25">
      <c r="F60" s="14"/>
    </row>
    <row r="61" spans="2:12" x14ac:dyDescent="0.25">
      <c r="F61" s="14"/>
    </row>
    <row r="62" spans="2:12" x14ac:dyDescent="0.25">
      <c r="F62" s="14"/>
    </row>
    <row r="63" spans="2:12" x14ac:dyDescent="0.25">
      <c r="F63" s="14"/>
    </row>
    <row r="64" spans="2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</sheetData>
  <mergeCells count="6">
    <mergeCell ref="C8:D8"/>
    <mergeCell ref="C30:D30"/>
    <mergeCell ref="C44:D44"/>
    <mergeCell ref="B4:D4"/>
    <mergeCell ref="B26:D26"/>
    <mergeCell ref="B40:D40"/>
  </mergeCells>
  <pageMargins left="0.7" right="0.7" top="0.75" bottom="0.75" header="0.3" footer="0.3"/>
  <pageSetup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CB43EAF26C7A46B3E747AE9B6D49E9" ma:contentTypeVersion="36" ma:contentTypeDescription="" ma:contentTypeScope="" ma:versionID="6050b4054bf1581e971805daa116a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2021-07-15T07:00:00+00:00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C06A78-A4A9-4B04-B75F-663378C82004}"/>
</file>

<file path=customXml/itemProps2.xml><?xml version="1.0" encoding="utf-8"?>
<ds:datastoreItem xmlns:ds="http://schemas.openxmlformats.org/officeDocument/2006/customXml" ds:itemID="{B15B0A5F-3C8C-4AAB-9557-0CF90E23FBB0}"/>
</file>

<file path=customXml/itemProps3.xml><?xml version="1.0" encoding="utf-8"?>
<ds:datastoreItem xmlns:ds="http://schemas.openxmlformats.org/officeDocument/2006/customXml" ds:itemID="{FC1C2258-1E1E-4E5D-A7F1-4DA202A37657}"/>
</file>

<file path=customXml/itemProps4.xml><?xml version="1.0" encoding="utf-8"?>
<ds:datastoreItem xmlns:ds="http://schemas.openxmlformats.org/officeDocument/2006/customXml" ds:itemID="{464D05F4-E2DD-4D5E-B3A8-9D07DDD2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RR Summary</vt:lpstr>
      <vt:lpstr>Capital Structure</vt:lpstr>
      <vt:lpstr>'Capital Structure'!Print_Area</vt:lpstr>
      <vt:lpstr>'RR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Weaver</dc:creator>
  <cp:lastModifiedBy>Richard Finnigan</cp:lastModifiedBy>
  <cp:lastPrinted>2021-07-01T15:36:37Z</cp:lastPrinted>
  <dcterms:created xsi:type="dcterms:W3CDTF">2021-07-01T11:58:53Z</dcterms:created>
  <dcterms:modified xsi:type="dcterms:W3CDTF">2021-07-14T18:10:15Z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0x0101006E56B4D1795A2E4DB2F0B01679ED314A002ACB43EAF26C7A46B3E747AE9B6D49E9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