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7.xml" ContentType="application/vnd.openxmlformats-officedocument.spreadsheetml.externalLink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1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Western Region\WUTC\WUTC-Empire 2120\Dump Fee\Whitman Spokane 1-1-2021\"/>
    </mc:Choice>
  </mc:AlternateContent>
  <bookViews>
    <workbookView xWindow="13830" yWindow="105" windowWidth="16980" windowHeight="11865" activeTab="1"/>
  </bookViews>
  <sheets>
    <sheet name="References" sheetId="2" r:id="rId1"/>
    <sheet name="Whitman DF Calc" sheetId="3" r:id="rId2"/>
    <sheet name="Proposed Rates" sheetId="4" r:id="rId3"/>
    <sheet name="Disposal Schedule" sheetId="6" r:id="rId4"/>
    <sheet name="Whitman Reg - Price Out" sheetId="7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____________CYA1">[1]Hidden!$N$11</definedName>
    <definedName name="_____________CYA10">[1]Hidden!$E$11</definedName>
    <definedName name="_____________CYA11">[1]Hidden!$P$11</definedName>
    <definedName name="_____________CYA2">[1]Hidden!$M$11</definedName>
    <definedName name="_____________CYA3">[1]Hidden!$L$11</definedName>
    <definedName name="_____________CYA4">[1]Hidden!$K$11</definedName>
    <definedName name="_____________CYA5">[1]Hidden!$J$11</definedName>
    <definedName name="_____________CYA6">[1]Hidden!$I$11</definedName>
    <definedName name="_____________CYA7">[1]Hidden!$H$11</definedName>
    <definedName name="_____________CYA8">[1]Hidden!$G$11</definedName>
    <definedName name="_____________CYA9">[1]Hidden!$F$11</definedName>
    <definedName name="_____________LYA12">[1]Hidden!$O$11</definedName>
    <definedName name="____________CYA1">[1]Hidden!$N$11</definedName>
    <definedName name="____________CYA10">[1]Hidden!$E$11</definedName>
    <definedName name="____________CYA11">[1]Hidden!$P$11</definedName>
    <definedName name="____________CYA2">[1]Hidden!$M$11</definedName>
    <definedName name="____________CYA3">[1]Hidden!$L$11</definedName>
    <definedName name="____________CYA4">[1]Hidden!$K$11</definedName>
    <definedName name="____________CYA5">[1]Hidden!$J$11</definedName>
    <definedName name="____________CYA6">[1]Hidden!$I$11</definedName>
    <definedName name="____________CYA7">[1]Hidden!$H$11</definedName>
    <definedName name="____________CYA8">[1]Hidden!$G$11</definedName>
    <definedName name="____________CYA9">[1]Hidden!$F$11</definedName>
    <definedName name="____________LYA12">[1]Hidden!$O$11</definedName>
    <definedName name="___________CYA1">[1]Hidden!$N$11</definedName>
    <definedName name="___________CYA10">[1]Hidden!$E$11</definedName>
    <definedName name="___________CYA11">[1]Hidden!$P$11</definedName>
    <definedName name="___________CYA2">[1]Hidden!$M$11</definedName>
    <definedName name="___________CYA3">[1]Hidden!$L$11</definedName>
    <definedName name="___________CYA4">[1]Hidden!$K$11</definedName>
    <definedName name="___________CYA5">[1]Hidden!$J$11</definedName>
    <definedName name="___________CYA6">[1]Hidden!$I$11</definedName>
    <definedName name="___________CYA7">[1]Hidden!$H$11</definedName>
    <definedName name="___________CYA8">[1]Hidden!$G$11</definedName>
    <definedName name="___________CYA9">[1]Hidden!$F$11</definedName>
    <definedName name="___________LYA12">[1]Hidden!$O$11</definedName>
    <definedName name="__________CYA1">[1]Hidden!$N$11</definedName>
    <definedName name="__________CYA10">[1]Hidden!$E$11</definedName>
    <definedName name="__________CYA11">[1]Hidden!$P$11</definedName>
    <definedName name="__________CYA2">[1]Hidden!$M$11</definedName>
    <definedName name="__________CYA3">[1]Hidden!$L$11</definedName>
    <definedName name="__________CYA4">[1]Hidden!$K$11</definedName>
    <definedName name="__________CYA5">[1]Hidden!$J$11</definedName>
    <definedName name="__________CYA6">[1]Hidden!$I$11</definedName>
    <definedName name="__________CYA7">[1]Hidden!$H$11</definedName>
    <definedName name="__________CYA8">[1]Hidden!$G$11</definedName>
    <definedName name="__________CYA9">[1]Hidden!$F$11</definedName>
    <definedName name="__________LYA12">[1]Hidden!$O$11</definedName>
    <definedName name="_________CYA1">[1]Hidden!$N$11</definedName>
    <definedName name="_________CYA10">[1]Hidden!$E$11</definedName>
    <definedName name="_________CYA11">[1]Hidden!$P$11</definedName>
    <definedName name="_________CYA2">[1]Hidden!$M$11</definedName>
    <definedName name="_________CYA3">[1]Hidden!$L$11</definedName>
    <definedName name="_________CYA4">[1]Hidden!$K$11</definedName>
    <definedName name="_________CYA5">[1]Hidden!$J$11</definedName>
    <definedName name="_________CYA6">[1]Hidden!$I$11</definedName>
    <definedName name="_________CYA7">[1]Hidden!$H$11</definedName>
    <definedName name="_________CYA8">[1]Hidden!$G$11</definedName>
    <definedName name="_________CYA9">[1]Hidden!$F$11</definedName>
    <definedName name="_________LYA12">[1]Hidden!$O$11</definedName>
    <definedName name="________CYA1">[1]Hidden!$N$11</definedName>
    <definedName name="________CYA10">[1]Hidden!$E$11</definedName>
    <definedName name="________CYA11">[1]Hidden!$P$11</definedName>
    <definedName name="________CYA2">[1]Hidden!$M$11</definedName>
    <definedName name="________CYA3">[1]Hidden!$L$11</definedName>
    <definedName name="________CYA4">[1]Hidden!$K$11</definedName>
    <definedName name="________CYA5">[1]Hidden!$J$11</definedName>
    <definedName name="________CYA6">[1]Hidden!$I$11</definedName>
    <definedName name="________CYA7">[1]Hidden!$H$11</definedName>
    <definedName name="________CYA8">[1]Hidden!$G$11</definedName>
    <definedName name="________CYA9">[1]Hidden!$F$11</definedName>
    <definedName name="________LYA12">[1]Hidden!$O$11</definedName>
    <definedName name="_______CYA1">[1]Hidden!$N$11</definedName>
    <definedName name="_______CYA10">[1]Hidden!$E$11</definedName>
    <definedName name="_______CYA11">[1]Hidden!$P$11</definedName>
    <definedName name="_______CYA2">[1]Hidden!$M$11</definedName>
    <definedName name="_______CYA3">[1]Hidden!$L$11</definedName>
    <definedName name="_______CYA4">[1]Hidden!$K$11</definedName>
    <definedName name="_______CYA5">[1]Hidden!$J$11</definedName>
    <definedName name="_______CYA6">[1]Hidden!$I$11</definedName>
    <definedName name="_______CYA7">[1]Hidden!$H$11</definedName>
    <definedName name="_______CYA8">[1]Hidden!$G$11</definedName>
    <definedName name="_______CYA9">[1]Hidden!$F$11</definedName>
    <definedName name="_______LYA12">[1]Hidden!$O$11</definedName>
    <definedName name="______CYA1">[1]Hidden!$N$11</definedName>
    <definedName name="______CYA10">[1]Hidden!$E$11</definedName>
    <definedName name="______CYA11">[1]Hidden!$P$11</definedName>
    <definedName name="______CYA2">[1]Hidden!$M$11</definedName>
    <definedName name="______CYA3">[1]Hidden!$L$11</definedName>
    <definedName name="______CYA4">[1]Hidden!$K$11</definedName>
    <definedName name="______CYA5">[1]Hidden!$J$11</definedName>
    <definedName name="______CYA6">[1]Hidden!$I$11</definedName>
    <definedName name="______CYA7">[1]Hidden!$H$11</definedName>
    <definedName name="______CYA8">[1]Hidden!$G$11</definedName>
    <definedName name="______CYA9">[1]Hidden!$F$11</definedName>
    <definedName name="______LYA12">[1]Hidden!$O$11</definedName>
    <definedName name="_____CYA1">[1]Hidden!$N$11</definedName>
    <definedName name="_____CYA10">[1]Hidden!$E$11</definedName>
    <definedName name="_____CYA11">[1]Hidden!$P$11</definedName>
    <definedName name="_____CYA2">[1]Hidden!$M$11</definedName>
    <definedName name="_____CYA3">[1]Hidden!$L$11</definedName>
    <definedName name="_____CYA4">[1]Hidden!$K$11</definedName>
    <definedName name="_____CYA5">[1]Hidden!$J$11</definedName>
    <definedName name="_____CYA6">[1]Hidden!$I$11</definedName>
    <definedName name="_____CYA7">[1]Hidden!$H$11</definedName>
    <definedName name="_____CYA8">[1]Hidden!$G$11</definedName>
    <definedName name="_____CYA9">[1]Hidden!$F$11</definedName>
    <definedName name="_____LYA12">[1]Hidden!$O$11</definedName>
    <definedName name="____CYA1">[1]Hidden!$N$11</definedName>
    <definedName name="____CYA10">[1]Hidden!$E$11</definedName>
    <definedName name="____CYA11">[1]Hidden!$P$11</definedName>
    <definedName name="____CYA2">[1]Hidden!$M$11</definedName>
    <definedName name="____CYA3">[1]Hidden!$L$11</definedName>
    <definedName name="____CYA4">[1]Hidden!$K$11</definedName>
    <definedName name="____CYA5">[1]Hidden!$J$11</definedName>
    <definedName name="____CYA6">[1]Hidden!$I$11</definedName>
    <definedName name="____CYA7">[1]Hidden!$H$11</definedName>
    <definedName name="____CYA8">[1]Hidden!$G$11</definedName>
    <definedName name="____CYA9">[1]Hidden!$F$11</definedName>
    <definedName name="____LYA12">[1]Hidden!$O$11</definedName>
    <definedName name="___CYA1">[1]Hidden!$N$11</definedName>
    <definedName name="___CYA10">[1]Hidden!$E$11</definedName>
    <definedName name="___CYA11">[1]Hidden!$P$11</definedName>
    <definedName name="___CYA2">[1]Hidden!$M$11</definedName>
    <definedName name="___CYA3">[1]Hidden!$L$11</definedName>
    <definedName name="___CYA4">[1]Hidden!$K$11</definedName>
    <definedName name="___CYA5">[1]Hidden!$J$11</definedName>
    <definedName name="___CYA6">[1]Hidden!$I$11</definedName>
    <definedName name="___CYA7">[1]Hidden!$H$11</definedName>
    <definedName name="___CYA8">[1]Hidden!$G$11</definedName>
    <definedName name="___CYA9">[1]Hidden!$F$11</definedName>
    <definedName name="___LYA12">[1]Hidden!$O$11</definedName>
    <definedName name="__CYA1">[1]Hidden!$N$11</definedName>
    <definedName name="__CYA10">[1]Hidden!$E$11</definedName>
    <definedName name="__CYA11">[1]Hidden!$P$11</definedName>
    <definedName name="__CYA2">[1]Hidden!$M$11</definedName>
    <definedName name="__CYA3">[1]Hidden!$L$11</definedName>
    <definedName name="__CYA4">[1]Hidden!$K$11</definedName>
    <definedName name="__CYA5">[1]Hidden!$J$11</definedName>
    <definedName name="__CYA6">[1]Hidden!$I$11</definedName>
    <definedName name="__CYA7">[1]Hidden!$H$11</definedName>
    <definedName name="__CYA8">[1]Hidden!$G$11</definedName>
    <definedName name="__CYA9">[1]Hidden!$F$11</definedName>
    <definedName name="__LYA12">[1]Hidden!$O$11</definedName>
    <definedName name="_123Graph_g" hidden="1">'[2]#REF'!$F$9:$F$83</definedName>
    <definedName name="_132" hidden="1">[3]XXXXXX!$B$10:$B$10</definedName>
    <definedName name="_132Graph_h" localSheetId="4" hidden="1">#REF!</definedName>
    <definedName name="_132Graph_h" hidden="1">#REF!</definedName>
    <definedName name="_ACT1" localSheetId="3">[4]Hidden!#REF!</definedName>
    <definedName name="_ACT1" localSheetId="4">[5]Hidden!#REF!</definedName>
    <definedName name="_ACT1">[6]Hidden!#REF!</definedName>
    <definedName name="_ACT2" localSheetId="3">[4]Hidden!#REF!</definedName>
    <definedName name="_ACT2" localSheetId="4">[5]Hidden!#REF!</definedName>
    <definedName name="_ACT2">[6]Hidden!#REF!</definedName>
    <definedName name="_ACT3" localSheetId="3">[4]Hidden!#REF!</definedName>
    <definedName name="_ACT3" localSheetId="4">[5]Hidden!#REF!</definedName>
    <definedName name="_ACT3">[6]Hidden!#REF!</definedName>
    <definedName name="_COS1">#REF!</definedName>
    <definedName name="_COS2">#REF!</definedName>
    <definedName name="_CYA1">[1]Hidden!$N$11</definedName>
    <definedName name="_CYA10">[1]Hidden!$E$11</definedName>
    <definedName name="_CYA11">[1]Hidden!$P$11</definedName>
    <definedName name="_CYA2">[1]Hidden!$M$11</definedName>
    <definedName name="_CYA3">[1]Hidden!$L$11</definedName>
    <definedName name="_CYA4">[1]Hidden!$K$11</definedName>
    <definedName name="_CYA5">[1]Hidden!$J$11</definedName>
    <definedName name="_CYA6">[1]Hidden!$I$11</definedName>
    <definedName name="_CYA7">[1]Hidden!$H$11</definedName>
    <definedName name="_CYA8">[1]Hidden!$G$11</definedName>
    <definedName name="_CYA9">[1]Hidden!$F$11</definedName>
    <definedName name="_Fill" localSheetId="4" hidden="1">#REF!</definedName>
    <definedName name="_Fill" hidden="1">#REF!</definedName>
    <definedName name="_xlnm._FilterDatabase" localSheetId="1" hidden="1">'Whitman DF Calc'!$A$1:$W$82</definedName>
    <definedName name="_Key1" localSheetId="4" hidden="1">#REF!</definedName>
    <definedName name="_Key1" hidden="1">#REF!</definedName>
    <definedName name="_Key2" hidden="1">'[2]#REF'!$D$12</definedName>
    <definedName name="_key5" hidden="1">[3]XXXXXX!$H$10</definedName>
    <definedName name="_LYA12">[1]Hidden!$O$11</definedName>
    <definedName name="_max" localSheetId="4" hidden="1">#REF!</definedName>
    <definedName name="_max" hidden="1">#REF!</definedName>
    <definedName name="_Mon" localSheetId="4" hidden="1">#REF!</definedName>
    <definedName name="_Mon" hidden="1">#REF!</definedName>
    <definedName name="_Order1" hidden="1">255</definedName>
    <definedName name="_Order2" hidden="1">255</definedName>
    <definedName name="_Order3" hidden="1">0</definedName>
    <definedName name="_Sort" localSheetId="4" hidden="1">#REF!</definedName>
    <definedName name="_Sort" hidden="1">#REF!</definedName>
    <definedName name="_Sort1" hidden="1">'[2]#REF'!$A$10:$Z$281</definedName>
    <definedName name="_sort3" hidden="1">[3]XXXXXX!$G$10:$J$11</definedName>
    <definedName name="ACCT" localSheetId="3">[4]Hidden!#REF!</definedName>
    <definedName name="ACCT" localSheetId="4">[5]Hidden!#REF!</definedName>
    <definedName name="ACCT">[6]Hidden!#REF!</definedName>
    <definedName name="ACCT.ConsolSum">[1]Hidden!$Q$11</definedName>
    <definedName name="ACT_CUR" localSheetId="3">[4]Hidden!#REF!</definedName>
    <definedName name="ACT_CUR" localSheetId="4">[5]Hidden!#REF!</definedName>
    <definedName name="ACT_CUR">[6]Hidden!#REF!</definedName>
    <definedName name="ACT_YTD" localSheetId="3">[4]Hidden!#REF!</definedName>
    <definedName name="ACT_YTD" localSheetId="4">[5]Hidden!#REF!</definedName>
    <definedName name="ACT_YTD">[6]Hidden!#REF!</definedName>
    <definedName name="AmountCount" localSheetId="3">#REF!</definedName>
    <definedName name="AmountCount" localSheetId="4">#REF!</definedName>
    <definedName name="AmountCount">#REF!</definedName>
    <definedName name="AmountCount1">#REF!</definedName>
    <definedName name="AmountTotal" localSheetId="4">#REF!</definedName>
    <definedName name="AmountTotal">#REF!</definedName>
    <definedName name="AmountTotal1">#REF!</definedName>
    <definedName name="BookRev" localSheetId="3">'[7]Pacific Regulated - Price Out'!$F$50</definedName>
    <definedName name="BookRev" localSheetId="4">'[7]Pacific Regulated - Price Out'!$F$50</definedName>
    <definedName name="BookRev">'[8]Pacific Regulated - Price Out'!$F$50</definedName>
    <definedName name="BookRev_com" localSheetId="3">'[7]Pacific Regulated - Price Out'!$F$214</definedName>
    <definedName name="BookRev_com" localSheetId="4">'[7]Pacific Regulated - Price Out'!$F$214</definedName>
    <definedName name="BookRev_com">'[8]Pacific Regulated - Price Out'!$F$214</definedName>
    <definedName name="BookRev_mfr" localSheetId="3">'[7]Pacific Regulated - Price Out'!$F$222</definedName>
    <definedName name="BookRev_mfr" localSheetId="4">'[7]Pacific Regulated - Price Out'!$F$222</definedName>
    <definedName name="BookRev_mfr">'[8]Pacific Regulated - Price Out'!$F$222</definedName>
    <definedName name="BookRev_ro" localSheetId="3">'[7]Pacific Regulated - Price Out'!$F$282</definedName>
    <definedName name="BookRev_ro" localSheetId="4">'[7]Pacific Regulated - Price Out'!$F$282</definedName>
    <definedName name="BookRev_ro">'[8]Pacific Regulated - Price Out'!$F$282</definedName>
    <definedName name="BookRev_rr" localSheetId="3">'[7]Pacific Regulated - Price Out'!$F$59</definedName>
    <definedName name="BookRev_rr" localSheetId="4">'[7]Pacific Regulated - Price Out'!$F$59</definedName>
    <definedName name="BookRev_rr">'[8]Pacific Regulated - Price Out'!$F$59</definedName>
    <definedName name="BookRev_yw" localSheetId="3">'[7]Pacific Regulated - Price Out'!$F$70</definedName>
    <definedName name="BookRev_yw" localSheetId="4">'[7]Pacific Regulated - Price Out'!$F$70</definedName>
    <definedName name="BookRev_yw">'[8]Pacific Regulated - Price Out'!$F$70</definedName>
    <definedName name="BREMAIR_COST_of_SERVICE_STUDY" localSheetId="3">#REF!</definedName>
    <definedName name="BREMAIR_COST_of_SERVICE_STUDY" localSheetId="4">#REF!</definedName>
    <definedName name="BREMAIR_COST_of_SERVICE_STUDY">#REF!</definedName>
    <definedName name="BUD_CUR" localSheetId="3">[4]Hidden!#REF!</definedName>
    <definedName name="BUD_CUR" localSheetId="4">[5]Hidden!#REF!</definedName>
    <definedName name="BUD_CUR">[6]Hidden!#REF!</definedName>
    <definedName name="BUD_YTD" localSheetId="3">[4]Hidden!#REF!</definedName>
    <definedName name="BUD_YTD" localSheetId="4">[5]Hidden!#REF!</definedName>
    <definedName name="BUD_YTD">[6]Hidden!#REF!</definedName>
    <definedName name="CalRecyTons" localSheetId="3">'[9]Recycl Tons, Commodity Value'!$L$23</definedName>
    <definedName name="CalRecyTons" localSheetId="4">'[9]Recycl Tons, Commodity Value'!$L$23</definedName>
    <definedName name="CalRecyTons">'[10]Recycl Tons, Commodity Value'!$L$23</definedName>
    <definedName name="CheckTotals" localSheetId="3">#REF!</definedName>
    <definedName name="CheckTotals" localSheetId="4">#REF!</definedName>
    <definedName name="CheckTotals">#REF!</definedName>
    <definedName name="colgroup">[1]Orientation!$G$6</definedName>
    <definedName name="colsegment">[1]Orientation!$F$6</definedName>
    <definedName name="CommlStaffPriceOut">'[11]Price Out-Reg EASTSIDE-Resi'!#REF!</definedName>
    <definedName name="CRCTable" localSheetId="3">#REF!</definedName>
    <definedName name="CRCTable" localSheetId="4">#REF!</definedName>
    <definedName name="CRCTable">#REF!</definedName>
    <definedName name="CRCTableOLD" localSheetId="4">#REF!</definedName>
    <definedName name="CRCTableOLD">#REF!</definedName>
    <definedName name="CriteriaType">[12]ControlPanel!$Z$2:$Z$5</definedName>
    <definedName name="CurrentMonth">'[13]38000 Other Rev'!$H$8</definedName>
    <definedName name="Cutomers" localSheetId="3">#REF!</definedName>
    <definedName name="Cutomers" localSheetId="4">#REF!</definedName>
    <definedName name="Cutomers">#REF!</definedName>
    <definedName name="_xlnm.Database" localSheetId="4">#REF!</definedName>
    <definedName name="_xlnm.Database">#REF!</definedName>
    <definedName name="Database1" localSheetId="4">#REF!</definedName>
    <definedName name="Database1">#REF!</definedName>
    <definedName name="DateFrom">'[13]38000 Other Rev'!$G$12</definedName>
    <definedName name="DateTo">'[13]38000 Other Rev'!$G$13</definedName>
    <definedName name="DBxStaffPriceOut">'[11]Price Out-Reg EASTSIDE-Resi'!#REF!</definedName>
    <definedName name="DEPT" localSheetId="3">[4]Hidden!#REF!</definedName>
    <definedName name="DEPT" localSheetId="4">[5]Hidden!#REF!</definedName>
    <definedName name="DEPT">[6]Hidden!#REF!</definedName>
    <definedName name="Dist">[14]Data!$E$3</definedName>
    <definedName name="District" localSheetId="3">'[15]Vashon BS'!#REF!</definedName>
    <definedName name="District" localSheetId="4">#REF!</definedName>
    <definedName name="District">'[16]Vashon BS'!#REF!</definedName>
    <definedName name="DistrictNum" localSheetId="3">#REF!</definedName>
    <definedName name="DistrictNum" localSheetId="4">#REF!</definedName>
    <definedName name="DistrictNum">#REF!</definedName>
    <definedName name="dOG" localSheetId="3">#REF!</definedName>
    <definedName name="dOG">#REF!</definedName>
    <definedName name="drlFilter">[1]Settings!$D$27</definedName>
    <definedName name="End" localSheetId="3">#REF!</definedName>
    <definedName name="End" localSheetId="4">#REF!</definedName>
    <definedName name="End">'[17]IS-2120'!#REF!</definedName>
    <definedName name="EntrieShownLimit">'[13]38000 Other Rev'!$D$6</definedName>
    <definedName name="ExcludeIC" localSheetId="3">'[13]2025 BS'!#REF!</definedName>
    <definedName name="ExcludeIC" localSheetId="4">#REF!</definedName>
    <definedName name="ExcludeIC">'[16]Vashon BS'!#REF!</definedName>
    <definedName name="EXT">#REF!</definedName>
    <definedName name="FBTable" localSheetId="3">#REF!</definedName>
    <definedName name="FBTable" localSheetId="4">#REF!</definedName>
    <definedName name="FBTable">#REF!</definedName>
    <definedName name="FBTableOld" localSheetId="4">#REF!</definedName>
    <definedName name="FBTableOld">#REF!</definedName>
    <definedName name="filter">[1]Settings!$B$14:$H$25</definedName>
    <definedName name="FundsApprPend" localSheetId="4">[14]Data!#REF!</definedName>
    <definedName name="FundsApprPend">[14]Data!#REF!</definedName>
    <definedName name="FundsBudUnbud" localSheetId="4">[14]Data!#REF!</definedName>
    <definedName name="FundsBudUnbud">[14]Data!#REF!</definedName>
    <definedName name="GLMappingStart" localSheetId="3">#REF!</definedName>
    <definedName name="GLMappingStart" localSheetId="4">#REF!</definedName>
    <definedName name="GLMappingStart">#REF!</definedName>
    <definedName name="GLMappingStart1">#REF!</definedName>
    <definedName name="Import_Range" localSheetId="4">[14]Data!#REF!</definedName>
    <definedName name="Import_Range">[14]Data!#REF!</definedName>
    <definedName name="IncomeStmnt" localSheetId="4">#REF!</definedName>
    <definedName name="IncomeStmnt">#REF!</definedName>
    <definedName name="INPUT" localSheetId="3">#REF!</definedName>
    <definedName name="INPUT" localSheetId="4">#REF!</definedName>
    <definedName name="INPUT">#REF!</definedName>
    <definedName name="Insurance" localSheetId="4">#REF!</definedName>
    <definedName name="Insurance">#REF!</definedName>
    <definedName name="Interject_LastPulledValues_BalanceRange">#REF!</definedName>
    <definedName name="Interject_LastPulledValues_DescriptionRange">#REF!</definedName>
    <definedName name="Interject_LastPulledValues_LastChangeGUID">#REF!</definedName>
    <definedName name="Interject_LastPulledValues_PreviousLastChangeGUID">#REF!</definedName>
    <definedName name="Invoice_Start" localSheetId="4">[14]Invoice_Drill!#REF!</definedName>
    <definedName name="Invoice_Start">[14]Invoice_Drill!#REF!</definedName>
    <definedName name="JEDetail" localSheetId="4">#REF!</definedName>
    <definedName name="JEDetail">#REF!</definedName>
    <definedName name="JEDetail1" localSheetId="4">#REF!</definedName>
    <definedName name="JEDetail1">#REF!</definedName>
    <definedName name="JEType" localSheetId="4">#REF!</definedName>
    <definedName name="JEType">#REF!</definedName>
    <definedName name="JEType1">#REF!</definedName>
    <definedName name="lblBillAreaStatus" localSheetId="4">#REF!</definedName>
    <definedName name="lblBillAreaStatus">#REF!</definedName>
    <definedName name="lblBillCycleStatus" localSheetId="4">#REF!</definedName>
    <definedName name="lblBillCycleStatus">#REF!</definedName>
    <definedName name="lblCategoryStatus" localSheetId="4">#REF!</definedName>
    <definedName name="lblCategoryStatus">#REF!</definedName>
    <definedName name="lblCompanyStatus" localSheetId="4">#REF!</definedName>
    <definedName name="lblCompanyStatus">#REF!</definedName>
    <definedName name="lblDatabaseStatus" localSheetId="4">#REF!</definedName>
    <definedName name="lblDatabaseStatus">#REF!</definedName>
    <definedName name="lblPullStatus" localSheetId="4">#REF!</definedName>
    <definedName name="lblPullStatus">#REF!</definedName>
    <definedName name="lllllllllllllllllllll" localSheetId="4">#REF!</definedName>
    <definedName name="lllllllllllllllllllll">#REF!</definedName>
    <definedName name="MainDataEnd" localSheetId="4">#REF!</definedName>
    <definedName name="MainDataEnd">#REF!</definedName>
    <definedName name="MainDataStart" localSheetId="4">#REF!</definedName>
    <definedName name="MainDataStart">#REF!</definedName>
    <definedName name="MapKeyStart" localSheetId="4">#REF!</definedName>
    <definedName name="MapKeyStart">#REF!</definedName>
    <definedName name="master_def" localSheetId="3">#REF!</definedName>
    <definedName name="master_def" localSheetId="4">#REF!</definedName>
    <definedName name="master_def">'[17]IS-2120'!#REF!</definedName>
    <definedName name="MATRIX">#REF!</definedName>
    <definedName name="MemoAttachment" localSheetId="3">#REF!</definedName>
    <definedName name="MemoAttachment" localSheetId="4">#REF!</definedName>
    <definedName name="MemoAttachment">#REF!</definedName>
    <definedName name="MetaSet">[1]Orientation!$C$22</definedName>
    <definedName name="MFStaffPriceOut">'[11]Price Out-Reg EASTSIDE-Resi'!#REF!</definedName>
    <definedName name="MonthList">'[14]Lookup Tables'!$A$1:$A$13</definedName>
    <definedName name="NewOnlyOrg">#N/A</definedName>
    <definedName name="nn">#REF!</definedName>
    <definedName name="NOTES" localSheetId="3">#REF!</definedName>
    <definedName name="NOTES" localSheetId="4">#REF!</definedName>
    <definedName name="NOTES">#REF!</definedName>
    <definedName name="NR">#REF!</definedName>
    <definedName name="OfficerSalary">#N/A</definedName>
    <definedName name="OffsetAcctBil">[18]JEexport!$L$10</definedName>
    <definedName name="OffsetAcctPmt">[18]JEexport!$L$9</definedName>
    <definedName name="Org11_13">#N/A</definedName>
    <definedName name="Org7_10">#N/A</definedName>
    <definedName name="p" localSheetId="3">#REF!</definedName>
    <definedName name="p" localSheetId="4">#REF!</definedName>
    <definedName name="p">#REF!</definedName>
    <definedName name="PAGE_1" localSheetId="4">#REF!</definedName>
    <definedName name="PAGE_1">#REF!</definedName>
    <definedName name="Page16">#REF!</definedName>
    <definedName name="Page17">#REF!</definedName>
    <definedName name="Page18">#REF!</definedName>
    <definedName name="Page7a">#REF!</definedName>
    <definedName name="pBatchID" localSheetId="4">#REF!</definedName>
    <definedName name="pBatchID">#REF!</definedName>
    <definedName name="pBillArea" localSheetId="4">#REF!</definedName>
    <definedName name="pBillArea">#REF!</definedName>
    <definedName name="pBillCycle" localSheetId="4">#REF!</definedName>
    <definedName name="pBillCycle">#REF!</definedName>
    <definedName name="pCategory" localSheetId="4">#REF!</definedName>
    <definedName name="pCategory">#REF!</definedName>
    <definedName name="pCompany" localSheetId="4">#REF!</definedName>
    <definedName name="pCompany">#REF!</definedName>
    <definedName name="pCustomerNumber" localSheetId="4">#REF!</definedName>
    <definedName name="pCustomerNumber">#REF!</definedName>
    <definedName name="pDatabase" localSheetId="4">#REF!</definedName>
    <definedName name="pDatabase">#REF!</definedName>
    <definedName name="pEndPostDate" localSheetId="4">#REF!</definedName>
    <definedName name="pEndPostDate">#REF!</definedName>
    <definedName name="Period" localSheetId="4">#REF!</definedName>
    <definedName name="Period">#REF!</definedName>
    <definedName name="pMonth" localSheetId="4">#REF!</definedName>
    <definedName name="pMonth">#REF!</definedName>
    <definedName name="pOnlyShowLastTranx" localSheetId="4">#REF!</definedName>
    <definedName name="pOnlyShowLastTranx">#REF!</definedName>
    <definedName name="primtbl">[1]Orientation!$C$23</definedName>
    <definedName name="_xlnm.Print_Area" localSheetId="3">'Disposal Schedule'!$A$1:$H$33</definedName>
    <definedName name="_xlnm.Print_Area" localSheetId="2">'Proposed Rates'!$A$1:$D$87</definedName>
    <definedName name="_xlnm.Print_Area" localSheetId="1">'Whitman DF Calc'!$A$1:$W$101</definedName>
    <definedName name="_xlnm.Print_Area" localSheetId="4">'Whitman Reg - Price Out'!$A$1:$P$174</definedName>
    <definedName name="_xlnm.Print_Area">#REF!</definedName>
    <definedName name="Print_Area_MI" localSheetId="3">#REF!</definedName>
    <definedName name="Print_Area_MI" localSheetId="4">#REF!</definedName>
    <definedName name="Print_Area_MI">#REF!</definedName>
    <definedName name="Print_Area1" localSheetId="4">#REF!</definedName>
    <definedName name="Print_Area1">#REF!</definedName>
    <definedName name="Print_Area2" localSheetId="4">#REF!</definedName>
    <definedName name="Print_Area2">#REF!</definedName>
    <definedName name="Print_Area3" localSheetId="4">#REF!</definedName>
    <definedName name="Print_Area3">#REF!</definedName>
    <definedName name="Print_Area5" localSheetId="4">#REF!</definedName>
    <definedName name="Print_Area5">#REF!</definedName>
    <definedName name="_xlnm.Print_Titles" localSheetId="2">'Proposed Rates'!$1:$5</definedName>
    <definedName name="_xlnm.Print_Titles" localSheetId="1">'Whitman DF Calc'!$1:$5</definedName>
    <definedName name="Print1" localSheetId="3">#REF!</definedName>
    <definedName name="Print1" localSheetId="4">#REF!</definedName>
    <definedName name="Print1">#REF!</definedName>
    <definedName name="Print2" localSheetId="4">#REF!</definedName>
    <definedName name="Print2">#REF!</definedName>
    <definedName name="Print5" localSheetId="4">#REF!</definedName>
    <definedName name="Print5">#REF!</definedName>
    <definedName name="ProRev" localSheetId="3">'[7]Pacific Regulated - Price Out'!$M$49</definedName>
    <definedName name="ProRev" localSheetId="4">'[7]Pacific Regulated - Price Out'!$M$49</definedName>
    <definedName name="ProRev">'[8]Pacific Regulated - Price Out'!$M$49</definedName>
    <definedName name="ProRev_com" localSheetId="3">'[7]Pacific Regulated - Price Out'!$M$213</definedName>
    <definedName name="ProRev_com" localSheetId="4">'[7]Pacific Regulated - Price Out'!$M$213</definedName>
    <definedName name="ProRev_com">'[8]Pacific Regulated - Price Out'!$M$213</definedName>
    <definedName name="ProRev_mfr" localSheetId="3">'[7]Pacific Regulated - Price Out'!$M$221</definedName>
    <definedName name="ProRev_mfr" localSheetId="4">'[7]Pacific Regulated - Price Out'!$M$221</definedName>
    <definedName name="ProRev_mfr">'[8]Pacific Regulated - Price Out'!$M$221</definedName>
    <definedName name="ProRev_ro" localSheetId="3">'[7]Pacific Regulated - Price Out'!$M$281</definedName>
    <definedName name="ProRev_ro" localSheetId="4">'[7]Pacific Regulated - Price Out'!$M$281</definedName>
    <definedName name="ProRev_ro">'[8]Pacific Regulated - Price Out'!$M$281</definedName>
    <definedName name="ProRev_rr" localSheetId="3">'[7]Pacific Regulated - Price Out'!$M$58</definedName>
    <definedName name="ProRev_rr" localSheetId="4">'[7]Pacific Regulated - Price Out'!$M$58</definedName>
    <definedName name="ProRev_rr">'[8]Pacific Regulated - Price Out'!$M$58</definedName>
    <definedName name="ProRev_yw" localSheetId="3">'[7]Pacific Regulated - Price Out'!$M$69</definedName>
    <definedName name="ProRev_yw" localSheetId="4">'[7]Pacific Regulated - Price Out'!$M$69</definedName>
    <definedName name="ProRev_yw">'[8]Pacific Regulated - Price Out'!$M$69</definedName>
    <definedName name="pServer" localSheetId="3">#REF!</definedName>
    <definedName name="pServer" localSheetId="4">#REF!</definedName>
    <definedName name="pServer">#REF!</definedName>
    <definedName name="pServiceCode" localSheetId="4">#REF!</definedName>
    <definedName name="pServiceCode">#REF!</definedName>
    <definedName name="pShowAllUnposted" localSheetId="4">#REF!</definedName>
    <definedName name="pShowAllUnposted">#REF!</definedName>
    <definedName name="pShowCustomerDetail" localSheetId="4">#REF!</definedName>
    <definedName name="pShowCustomerDetail">#REF!</definedName>
    <definedName name="pSortOption" localSheetId="4">#REF!</definedName>
    <definedName name="pSortOption">#REF!</definedName>
    <definedName name="pStartPostDate" localSheetId="4">#REF!</definedName>
    <definedName name="pStartPostDate">#REF!</definedName>
    <definedName name="pTransType" localSheetId="4">#REF!</definedName>
    <definedName name="pTransType">#REF!</definedName>
    <definedName name="RCW_81.04.080">#N/A</definedName>
    <definedName name="RecyDisposal">#N/A</definedName>
    <definedName name="Reg_Cust_Billed_Percent">'[19]Consolidated IS 2009 2010'!$AK$20</definedName>
    <definedName name="Reg_Cust_Percent">'[19]Consolidated IS 2009 2010'!$AC$20</definedName>
    <definedName name="Reg_Drive_Percent">'[19]Consolidated IS 2009 2010'!$AC$40</definedName>
    <definedName name="Reg_Haul_Rev_Percent">'[19]Consolidated IS 2009 2010'!$Z$18</definedName>
    <definedName name="Reg_Lab_Percent">'[19]Consolidated IS 2009 2010'!$AC$39</definedName>
    <definedName name="Reg_Steel_Cont_Percent">'[19]Consolidated IS 2009 2010'!$AE$120</definedName>
    <definedName name="RegulatedIS">'[19]2009 IS'!$A$12:$Q$655</definedName>
    <definedName name="RelatedSalary">#N/A</definedName>
    <definedName name="report_type">[1]Orientation!$C$24</definedName>
    <definedName name="ReportNames">[20]ControlPanel!$S$2:$S$16</definedName>
    <definedName name="ReportVersion">[1]Settings!$D$5</definedName>
    <definedName name="ReslStaffPriceOut">'[11]Price Out-Reg EASTSIDE-Resi'!#REF!</definedName>
    <definedName name="RetainedEarnings" localSheetId="3">#REF!</definedName>
    <definedName name="RetainedEarnings" localSheetId="4">#REF!</definedName>
    <definedName name="RetainedEarnings">#REF!</definedName>
    <definedName name="RevCust" localSheetId="3">[21]RevenuesCust!#REF!</definedName>
    <definedName name="RevCust" localSheetId="4">[22]RevenuesCust!#REF!</definedName>
    <definedName name="RevCust">[23]RevenuesCust!#REF!</definedName>
    <definedName name="RevCustomer" localSheetId="3">#REF!</definedName>
    <definedName name="RevCustomer" localSheetId="4">#REF!</definedName>
    <definedName name="RevCustomer">#REF!</definedName>
    <definedName name="rngCreateLog">[1]Delivery!$B$12</definedName>
    <definedName name="rngFilePassword">[1]Delivery!$B$6</definedName>
    <definedName name="rngSourceTab">[1]Delivery!$E$8</definedName>
    <definedName name="rowgroup">[1]Orientation!$C$17</definedName>
    <definedName name="rowsegment">[1]Orientation!$B$17</definedName>
    <definedName name="Sequential_Group">[1]Settings!$J$6</definedName>
    <definedName name="Sequential_Segment">[1]Settings!$I$6</definedName>
    <definedName name="Sequential_sort">[1]Settings!$I$10:$J$11</definedName>
    <definedName name="sortcol" localSheetId="3">#REF!</definedName>
    <definedName name="sortcol" localSheetId="4">#REF!</definedName>
    <definedName name="sortcol">'[17]IS-2120'!#REF!</definedName>
    <definedName name="sSRCDate" localSheetId="3">'[24]Feb''12 FAR Data'!#REF!</definedName>
    <definedName name="sSRCDate" localSheetId="4">'[24]Feb''12 FAR Data'!#REF!</definedName>
    <definedName name="sSRCDate">'[25]Feb''12 FAR Data'!#REF!</definedName>
    <definedName name="Supplemental_filter">[1]Settings!$C$31</definedName>
    <definedName name="SWDisposal">#N/A</definedName>
    <definedName name="System" localSheetId="4">#REF!</definedName>
    <definedName name="System">[26]BS_Close!$V$8</definedName>
    <definedName name="TemplateEnd" localSheetId="3">#REF!</definedName>
    <definedName name="TemplateEnd" localSheetId="4">#REF!</definedName>
    <definedName name="TemplateEnd">#REF!</definedName>
    <definedName name="TemplateStart" localSheetId="4">#REF!</definedName>
    <definedName name="TemplateStart">#REF!</definedName>
    <definedName name="TheTable" localSheetId="4">#REF!</definedName>
    <definedName name="TheTable">#REF!</definedName>
    <definedName name="TheTableOLD" localSheetId="4">#REF!</definedName>
    <definedName name="TheTableOLD">#REF!</definedName>
    <definedName name="timeseries">[1]Orientation!$B$6:$C$13</definedName>
    <definedName name="Tons">#REF!</definedName>
    <definedName name="Total_Comm" localSheetId="3">'[9]Tariff Rate Sheet'!$L$214</definedName>
    <definedName name="Total_Comm" localSheetId="4">'[9]Tariff Rate Sheet'!$L$214</definedName>
    <definedName name="Total_Comm">'[10]Tariff Rate Sheet'!$L$214</definedName>
    <definedName name="Total_DB" localSheetId="3">'[9]Tariff Rate Sheet'!$L$278</definedName>
    <definedName name="Total_DB" localSheetId="4">'[9]Tariff Rate Sheet'!$L$278</definedName>
    <definedName name="Total_DB">'[10]Tariff Rate Sheet'!$L$278</definedName>
    <definedName name="Total_Resi" localSheetId="3">'[9]Tariff Rate Sheet'!$L$107</definedName>
    <definedName name="Total_Resi" localSheetId="4">'[9]Tariff Rate Sheet'!$L$107</definedName>
    <definedName name="Total_Resi">'[10]Tariff Rate Sheet'!$L$107</definedName>
    <definedName name="Transactions" localSheetId="3">#REF!</definedName>
    <definedName name="Transactions" localSheetId="4">#REF!</definedName>
    <definedName name="Transactions">#REF!</definedName>
    <definedName name="UnregulatedIS">'[19]2010 IS'!$A$12:$Q$654</definedName>
    <definedName name="Version" localSheetId="4">[14]Data!#REF!</definedName>
    <definedName name="Version">[14]Data!#REF!</definedName>
    <definedName name="wrn.PrintReview.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nPg1_Pg11.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test." hidden="1">{"Page1",#N/A,TRUE,"SUMM";"Page2",#N/A,TRUE,"Rev";"Page3",#N/A,TRUE,"Dir_Costs"}</definedName>
    <definedName name="WTable" localSheetId="4">#REF!</definedName>
    <definedName name="WTable">#REF!</definedName>
    <definedName name="WTableOld" localSheetId="4">#REF!</definedName>
    <definedName name="WTableOld">#REF!</definedName>
    <definedName name="ww">#REF!</definedName>
    <definedName name="xperiod">[1]Orientation!$G$15</definedName>
    <definedName name="xtabin" localSheetId="3">[4]Hidden!#REF!</definedName>
    <definedName name="xtabin" localSheetId="4">[5]Hidden!#REF!</definedName>
    <definedName name="xtabin">[6]Hidden!#REF!</definedName>
    <definedName name="xx" localSheetId="3">#REF!</definedName>
    <definedName name="xx" localSheetId="4">#REF!</definedName>
    <definedName name="xx">#REF!</definedName>
    <definedName name="xxx">#REF!</definedName>
    <definedName name="xxxx">#REF!</definedName>
    <definedName name="YearMonth" localSheetId="3">'[15]Vashon BS'!#REF!</definedName>
    <definedName name="YearMonth" localSheetId="4">#REF!</definedName>
    <definedName name="YearMonth">'[16]Vashon BS'!#REF!</definedName>
    <definedName name="YWMedWasteDisp">#N/A</definedName>
    <definedName name="yy" localSheetId="3">#REF!</definedName>
    <definedName name="yy" localSheetId="4">#REF!</definedName>
    <definedName name="yy">#REF!</definedName>
  </definedNames>
  <calcPr calcId="162913" iterate="1" concurrentManualCount="4"/>
</workbook>
</file>

<file path=xl/calcChain.xml><?xml version="1.0" encoding="utf-8"?>
<calcChain xmlns="http://schemas.openxmlformats.org/spreadsheetml/2006/main">
  <c r="G53" i="2" l="1"/>
  <c r="K140" i="7" l="1"/>
  <c r="K139" i="7"/>
  <c r="M31" i="3" l="1"/>
  <c r="G74" i="3"/>
  <c r="M74" i="3"/>
  <c r="M46" i="3"/>
  <c r="G46" i="3"/>
  <c r="M43" i="3"/>
  <c r="G43" i="3"/>
  <c r="M26" i="3"/>
  <c r="G26" i="3"/>
  <c r="D170" i="7" l="1"/>
  <c r="D163" i="7"/>
  <c r="O161" i="7"/>
  <c r="F152" i="7"/>
  <c r="G152" i="7" s="1"/>
  <c r="F149" i="7"/>
  <c r="G149" i="7" s="1"/>
  <c r="D158" i="7"/>
  <c r="F141" i="7"/>
  <c r="G141" i="7" s="1"/>
  <c r="F140" i="7"/>
  <c r="G140" i="7" s="1"/>
  <c r="F139" i="7"/>
  <c r="G139" i="7" s="1"/>
  <c r="P136" i="7"/>
  <c r="F134" i="7"/>
  <c r="G134" i="7" s="1"/>
  <c r="M134" i="7" s="1"/>
  <c r="M136" i="7" s="1"/>
  <c r="D136" i="7"/>
  <c r="F129" i="7"/>
  <c r="G129" i="7" s="1"/>
  <c r="F128" i="7"/>
  <c r="G128" i="7" s="1"/>
  <c r="F127" i="7"/>
  <c r="G127" i="7" s="1"/>
  <c r="F125" i="7"/>
  <c r="G125" i="7" s="1"/>
  <c r="F124" i="7"/>
  <c r="G124" i="7" s="1"/>
  <c r="F123" i="7"/>
  <c r="G123" i="7" s="1"/>
  <c r="F121" i="7"/>
  <c r="G121" i="7" s="1"/>
  <c r="F119" i="7"/>
  <c r="G119" i="7" s="1"/>
  <c r="F118" i="7"/>
  <c r="G118" i="7" s="1"/>
  <c r="F113" i="7"/>
  <c r="G113" i="7" s="1"/>
  <c r="F111" i="7"/>
  <c r="G111" i="7" s="1"/>
  <c r="F110" i="7"/>
  <c r="G110" i="7" s="1"/>
  <c r="F106" i="7"/>
  <c r="G106" i="7" s="1"/>
  <c r="F105" i="7"/>
  <c r="G105" i="7" s="1"/>
  <c r="D65" i="3" s="1"/>
  <c r="F104" i="7"/>
  <c r="G104" i="7" s="1"/>
  <c r="D74" i="3" s="1"/>
  <c r="F74" i="3" s="1"/>
  <c r="F102" i="7"/>
  <c r="G102" i="7" s="1"/>
  <c r="D72" i="3" s="1"/>
  <c r="F100" i="7"/>
  <c r="G100" i="7" s="1"/>
  <c r="D70" i="3" s="1"/>
  <c r="F96" i="7"/>
  <c r="G96" i="7" s="1"/>
  <c r="D67" i="3" s="1"/>
  <c r="F92" i="7"/>
  <c r="G92" i="7" s="1"/>
  <c r="D77" i="3" s="1"/>
  <c r="F87" i="7"/>
  <c r="G87" i="7" s="1"/>
  <c r="D62" i="3" s="1"/>
  <c r="G85" i="7"/>
  <c r="D60" i="3" s="1"/>
  <c r="F85" i="7"/>
  <c r="F79" i="7"/>
  <c r="G79" i="7" s="1"/>
  <c r="D55" i="3" s="1"/>
  <c r="F77" i="7"/>
  <c r="G77" i="7" s="1"/>
  <c r="D53" i="3" s="1"/>
  <c r="F76" i="7"/>
  <c r="G76" i="7" s="1"/>
  <c r="D52" i="3" s="1"/>
  <c r="F75" i="7"/>
  <c r="G75" i="7" s="1"/>
  <c r="D51" i="3" s="1"/>
  <c r="F74" i="7"/>
  <c r="G74" i="7" s="1"/>
  <c r="D50" i="3" s="1"/>
  <c r="F71" i="7"/>
  <c r="G71" i="7" s="1"/>
  <c r="D47" i="3" s="1"/>
  <c r="F67" i="7"/>
  <c r="G67" i="7" s="1"/>
  <c r="D43" i="3" s="1"/>
  <c r="F63" i="7"/>
  <c r="G63" i="7" s="1"/>
  <c r="D39" i="3" s="1"/>
  <c r="F61" i="7"/>
  <c r="G61" i="7" s="1"/>
  <c r="D37" i="3" s="1"/>
  <c r="F59" i="7"/>
  <c r="G59" i="7" s="1"/>
  <c r="D35" i="3" s="1"/>
  <c r="F57" i="7"/>
  <c r="G57" i="7" s="1"/>
  <c r="D33" i="3" s="1"/>
  <c r="F56" i="7"/>
  <c r="G56" i="7" s="1"/>
  <c r="D32" i="3" s="1"/>
  <c r="F55" i="7"/>
  <c r="G55" i="7" s="1"/>
  <c r="D31" i="3" s="1"/>
  <c r="F54" i="7"/>
  <c r="G54" i="7" s="1"/>
  <c r="D30" i="3" s="1"/>
  <c r="F53" i="7"/>
  <c r="G53" i="7" s="1"/>
  <c r="D29" i="3" s="1"/>
  <c r="F52" i="7"/>
  <c r="G52" i="7" s="1"/>
  <c r="D28" i="3" s="1"/>
  <c r="F51" i="7"/>
  <c r="G51" i="7" s="1"/>
  <c r="D26" i="3" s="1"/>
  <c r="F50" i="7"/>
  <c r="G50" i="7" s="1"/>
  <c r="D27" i="3" s="1"/>
  <c r="F49" i="7"/>
  <c r="G49" i="7" s="1"/>
  <c r="D25" i="3" s="1"/>
  <c r="D43" i="7"/>
  <c r="D38" i="7"/>
  <c r="I36" i="7"/>
  <c r="I35" i="7"/>
  <c r="I34" i="7"/>
  <c r="I33" i="7"/>
  <c r="I31" i="7"/>
  <c r="I30" i="7"/>
  <c r="I27" i="7"/>
  <c r="I26" i="7"/>
  <c r="I24" i="7"/>
  <c r="I22" i="7"/>
  <c r="I20" i="7"/>
  <c r="I18" i="7"/>
  <c r="I17" i="7"/>
  <c r="I14" i="7"/>
  <c r="I13" i="7"/>
  <c r="H74" i="3" l="1"/>
  <c r="P74" i="3"/>
  <c r="F19" i="7"/>
  <c r="G19" i="7" s="1"/>
  <c r="D13" i="3" s="1"/>
  <c r="F23" i="7"/>
  <c r="G23" i="7" s="1"/>
  <c r="D17" i="3" s="1"/>
  <c r="F27" i="7"/>
  <c r="G27" i="7" s="1"/>
  <c r="F29" i="7"/>
  <c r="G29" i="7" s="1"/>
  <c r="D23" i="3" s="1"/>
  <c r="J41" i="7"/>
  <c r="I62" i="7"/>
  <c r="F12" i="7"/>
  <c r="G12" i="7" s="1"/>
  <c r="D6" i="3" s="1"/>
  <c r="F20" i="7"/>
  <c r="G20" i="7" s="1"/>
  <c r="F22" i="7"/>
  <c r="G22" i="7" s="1"/>
  <c r="F24" i="7"/>
  <c r="G24" i="7" s="1"/>
  <c r="F26" i="7"/>
  <c r="G26" i="7" s="1"/>
  <c r="F28" i="7"/>
  <c r="G28" i="7" s="1"/>
  <c r="D22" i="3" s="1"/>
  <c r="F30" i="7"/>
  <c r="G30" i="7" s="1"/>
  <c r="M30" i="7" s="1"/>
  <c r="P30" i="7" s="1"/>
  <c r="F32" i="7"/>
  <c r="G32" i="7" s="1"/>
  <c r="F34" i="7"/>
  <c r="G34" i="7" s="1"/>
  <c r="M34" i="7" s="1"/>
  <c r="P34" i="7" s="1"/>
  <c r="F36" i="7"/>
  <c r="G36" i="7" s="1"/>
  <c r="M36" i="7" s="1"/>
  <c r="P36" i="7" s="1"/>
  <c r="F70" i="7"/>
  <c r="G70" i="7" s="1"/>
  <c r="D46" i="3" s="1"/>
  <c r="F83" i="7"/>
  <c r="G83" i="7" s="1"/>
  <c r="D58" i="3" s="1"/>
  <c r="F103" i="7"/>
  <c r="G103" i="7" s="1"/>
  <c r="D73" i="3" s="1"/>
  <c r="F107" i="7"/>
  <c r="G107" i="7" s="1"/>
  <c r="D80" i="3" s="1"/>
  <c r="F109" i="7"/>
  <c r="G109" i="7" s="1"/>
  <c r="F114" i="7"/>
  <c r="G114" i="7" s="1"/>
  <c r="F117" i="7"/>
  <c r="G117" i="7" s="1"/>
  <c r="F120" i="7"/>
  <c r="G120" i="7" s="1"/>
  <c r="F153" i="7"/>
  <c r="G153" i="7" s="1"/>
  <c r="F21" i="7"/>
  <c r="G21" i="7" s="1"/>
  <c r="D15" i="3" s="1"/>
  <c r="F25" i="7"/>
  <c r="G25" i="7" s="1"/>
  <c r="D19" i="3" s="1"/>
  <c r="F31" i="7"/>
  <c r="G31" i="7" s="1"/>
  <c r="F148" i="7"/>
  <c r="G148" i="7" s="1"/>
  <c r="F33" i="7"/>
  <c r="G33" i="7" s="1"/>
  <c r="M33" i="7" s="1"/>
  <c r="P33" i="7" s="1"/>
  <c r="F35" i="7"/>
  <c r="G35" i="7" s="1"/>
  <c r="F66" i="7"/>
  <c r="G66" i="7" s="1"/>
  <c r="D42" i="3" s="1"/>
  <c r="F81" i="7"/>
  <c r="G81" i="7" s="1"/>
  <c r="D57" i="3" s="1"/>
  <c r="F89" i="7"/>
  <c r="G89" i="7" s="1"/>
  <c r="D64" i="3" s="1"/>
  <c r="F115" i="7"/>
  <c r="G115" i="7" s="1"/>
  <c r="O62" i="7"/>
  <c r="M31" i="7"/>
  <c r="P31" i="7" s="1"/>
  <c r="M35" i="7"/>
  <c r="P35" i="7" s="1"/>
  <c r="I12" i="7"/>
  <c r="O12" i="7" s="1"/>
  <c r="I15" i="7"/>
  <c r="O15" i="7" s="1"/>
  <c r="I16" i="7"/>
  <c r="O16" i="7" s="1"/>
  <c r="I19" i="7"/>
  <c r="O19" i="7" s="1"/>
  <c r="I21" i="7"/>
  <c r="O21" i="7" s="1"/>
  <c r="I23" i="7"/>
  <c r="O23" i="7" s="1"/>
  <c r="I25" i="7"/>
  <c r="O25" i="7" s="1"/>
  <c r="I28" i="7"/>
  <c r="M28" i="7" s="1"/>
  <c r="P28" i="7" s="1"/>
  <c r="I29" i="7"/>
  <c r="O29" i="7" s="1"/>
  <c r="I32" i="7"/>
  <c r="M32" i="7" s="1"/>
  <c r="P32" i="7" s="1"/>
  <c r="F13" i="7"/>
  <c r="G13" i="7" s="1"/>
  <c r="O13" i="7"/>
  <c r="F14" i="7"/>
  <c r="G14" i="7" s="1"/>
  <c r="O14" i="7"/>
  <c r="F15" i="7"/>
  <c r="G15" i="7" s="1"/>
  <c r="F16" i="7"/>
  <c r="G16" i="7" s="1"/>
  <c r="F17" i="7"/>
  <c r="G17" i="7" s="1"/>
  <c r="O17" i="7"/>
  <c r="F18" i="7"/>
  <c r="G18" i="7" s="1"/>
  <c r="O18" i="7"/>
  <c r="O20" i="7"/>
  <c r="O22" i="7"/>
  <c r="O24" i="7"/>
  <c r="O26" i="7"/>
  <c r="O27" i="7"/>
  <c r="O30" i="7"/>
  <c r="O31" i="7"/>
  <c r="O33" i="7"/>
  <c r="O34" i="7"/>
  <c r="O35" i="7"/>
  <c r="O36" i="7"/>
  <c r="F41" i="7"/>
  <c r="G41" i="7" s="1"/>
  <c r="D131" i="7"/>
  <c r="I58" i="7"/>
  <c r="O58" i="7" s="1"/>
  <c r="I60" i="7"/>
  <c r="O60" i="7" s="1"/>
  <c r="I105" i="7"/>
  <c r="O105" i="7" s="1"/>
  <c r="I104" i="7"/>
  <c r="I103" i="7"/>
  <c r="M103" i="7" s="1"/>
  <c r="P103" i="7" s="1"/>
  <c r="I102" i="7"/>
  <c r="I120" i="7"/>
  <c r="I119" i="7"/>
  <c r="I118" i="7"/>
  <c r="M118" i="7" s="1"/>
  <c r="P118" i="7" s="1"/>
  <c r="I117" i="7"/>
  <c r="I116" i="7"/>
  <c r="I115" i="7"/>
  <c r="I114" i="7"/>
  <c r="M114" i="7" s="1"/>
  <c r="P114" i="7" s="1"/>
  <c r="I113" i="7"/>
  <c r="I112" i="7"/>
  <c r="I111" i="7"/>
  <c r="I110" i="7"/>
  <c r="M110" i="7" s="1"/>
  <c r="P110" i="7" s="1"/>
  <c r="I109" i="7"/>
  <c r="I108" i="7"/>
  <c r="O108" i="7" s="1"/>
  <c r="I152" i="7"/>
  <c r="I148" i="7"/>
  <c r="I128" i="7"/>
  <c r="I124" i="7"/>
  <c r="I106" i="7"/>
  <c r="O106" i="7" s="1"/>
  <c r="I155" i="7"/>
  <c r="I151" i="7"/>
  <c r="I127" i="7"/>
  <c r="I123" i="7"/>
  <c r="I154" i="7"/>
  <c r="I150" i="7"/>
  <c r="I126" i="7"/>
  <c r="I122" i="7"/>
  <c r="I153" i="7"/>
  <c r="I149" i="7"/>
  <c r="I129" i="7"/>
  <c r="I125" i="7"/>
  <c r="I121" i="7"/>
  <c r="O121" i="7" s="1"/>
  <c r="I107" i="7"/>
  <c r="I100" i="7"/>
  <c r="I98" i="7"/>
  <c r="I96" i="7"/>
  <c r="M96" i="7" s="1"/>
  <c r="P96" i="7" s="1"/>
  <c r="I94" i="7"/>
  <c r="I92" i="7"/>
  <c r="I99" i="7"/>
  <c r="I95" i="7"/>
  <c r="O95" i="7" s="1"/>
  <c r="I91" i="7"/>
  <c r="I89" i="7"/>
  <c r="M89" i="7" s="1"/>
  <c r="P89" i="7" s="1"/>
  <c r="I87" i="7"/>
  <c r="I85" i="7"/>
  <c r="O85" i="7" s="1"/>
  <c r="I83" i="7"/>
  <c r="M83" i="7" s="1"/>
  <c r="P83" i="7" s="1"/>
  <c r="I81" i="7"/>
  <c r="I79" i="7"/>
  <c r="M79" i="7" s="1"/>
  <c r="P79" i="7" s="1"/>
  <c r="I77" i="7"/>
  <c r="M77" i="7" s="1"/>
  <c r="P77" i="7" s="1"/>
  <c r="I101" i="7"/>
  <c r="I97" i="7"/>
  <c r="I93" i="7"/>
  <c r="I90" i="7"/>
  <c r="O90" i="7" s="1"/>
  <c r="I88" i="7"/>
  <c r="I86" i="7"/>
  <c r="I84" i="7"/>
  <c r="I82" i="7"/>
  <c r="O82" i="7" s="1"/>
  <c r="I80" i="7"/>
  <c r="I78" i="7"/>
  <c r="I76" i="7"/>
  <c r="O76" i="7" s="1"/>
  <c r="I75" i="7"/>
  <c r="O75" i="7" s="1"/>
  <c r="I74" i="7"/>
  <c r="O74" i="7" s="1"/>
  <c r="I73" i="7"/>
  <c r="O73" i="7" s="1"/>
  <c r="I72" i="7"/>
  <c r="O72" i="7" s="1"/>
  <c r="I71" i="7"/>
  <c r="O71" i="7" s="1"/>
  <c r="I70" i="7"/>
  <c r="O70" i="7" s="1"/>
  <c r="I69" i="7"/>
  <c r="O69" i="7" s="1"/>
  <c r="I68" i="7"/>
  <c r="O68" i="7" s="1"/>
  <c r="I67" i="7"/>
  <c r="O67" i="7" s="1"/>
  <c r="I66" i="7"/>
  <c r="O66" i="7" s="1"/>
  <c r="I65" i="7"/>
  <c r="O65" i="7" s="1"/>
  <c r="I64" i="7"/>
  <c r="O64" i="7" s="1"/>
  <c r="I63" i="7"/>
  <c r="O63" i="7" s="1"/>
  <c r="O140" i="7"/>
  <c r="K141" i="7"/>
  <c r="O141" i="7" s="1"/>
  <c r="O139" i="7"/>
  <c r="O41" i="7"/>
  <c r="O80" i="7"/>
  <c r="O84" i="7"/>
  <c r="M105" i="7"/>
  <c r="I57" i="7"/>
  <c r="M57" i="7" s="1"/>
  <c r="P57" i="7" s="1"/>
  <c r="I59" i="7"/>
  <c r="M59" i="7" s="1"/>
  <c r="P59" i="7" s="1"/>
  <c r="I61" i="7"/>
  <c r="M61" i="7" s="1"/>
  <c r="P61" i="7" s="1"/>
  <c r="F64" i="7"/>
  <c r="G64" i="7" s="1"/>
  <c r="F68" i="7"/>
  <c r="G68" i="7" s="1"/>
  <c r="F72" i="7"/>
  <c r="G72" i="7" s="1"/>
  <c r="M76" i="7"/>
  <c r="P76" i="7" s="1"/>
  <c r="M81" i="7"/>
  <c r="M85" i="7"/>
  <c r="P85" i="7" s="1"/>
  <c r="M92" i="7"/>
  <c r="M100" i="7"/>
  <c r="P100" i="7" s="1"/>
  <c r="K41" i="7"/>
  <c r="I49" i="7"/>
  <c r="O49" i="7" s="1"/>
  <c r="I50" i="7"/>
  <c r="O50" i="7" s="1"/>
  <c r="I51" i="7"/>
  <c r="O51" i="7" s="1"/>
  <c r="I52" i="7"/>
  <c r="O52" i="7" s="1"/>
  <c r="I53" i="7"/>
  <c r="O53" i="7" s="1"/>
  <c r="I54" i="7"/>
  <c r="O54" i="7" s="1"/>
  <c r="I55" i="7"/>
  <c r="O55" i="7" s="1"/>
  <c r="I56" i="7"/>
  <c r="O56" i="7" s="1"/>
  <c r="F58" i="7"/>
  <c r="G58" i="7" s="1"/>
  <c r="F60" i="7"/>
  <c r="G60" i="7" s="1"/>
  <c r="F62" i="7"/>
  <c r="G62" i="7" s="1"/>
  <c r="F65" i="7"/>
  <c r="G65" i="7" s="1"/>
  <c r="F69" i="7"/>
  <c r="G69" i="7" s="1"/>
  <c r="F73" i="7"/>
  <c r="G73" i="7" s="1"/>
  <c r="O78" i="7"/>
  <c r="O86" i="7"/>
  <c r="M87" i="7"/>
  <c r="P87" i="7" s="1"/>
  <c r="O79" i="7"/>
  <c r="O81" i="7"/>
  <c r="O83" i="7"/>
  <c r="O87" i="7"/>
  <c r="O89" i="7"/>
  <c r="O91" i="7"/>
  <c r="F94" i="7"/>
  <c r="G94" i="7" s="1"/>
  <c r="F98" i="7"/>
  <c r="G98" i="7" s="1"/>
  <c r="O99" i="7"/>
  <c r="F108" i="7"/>
  <c r="G108" i="7" s="1"/>
  <c r="M108" i="7" s="1"/>
  <c r="P108" i="7" s="1"/>
  <c r="F112" i="7"/>
  <c r="G112" i="7" s="1"/>
  <c r="M112" i="7" s="1"/>
  <c r="P112" i="7" s="1"/>
  <c r="F116" i="7"/>
  <c r="G116" i="7" s="1"/>
  <c r="M116" i="7" s="1"/>
  <c r="P116" i="7" s="1"/>
  <c r="M120" i="7"/>
  <c r="P120" i="7" s="1"/>
  <c r="O124" i="7"/>
  <c r="O148" i="7"/>
  <c r="M153" i="7"/>
  <c r="O155" i="7"/>
  <c r="P81" i="7"/>
  <c r="F91" i="7"/>
  <c r="G91" i="7" s="1"/>
  <c r="O92" i="7"/>
  <c r="P92" i="7"/>
  <c r="O100" i="7"/>
  <c r="O103" i="7"/>
  <c r="M106" i="7"/>
  <c r="P106" i="7" s="1"/>
  <c r="O109" i="7"/>
  <c r="O113" i="7"/>
  <c r="O117" i="7"/>
  <c r="O123" i="7"/>
  <c r="O126" i="7"/>
  <c r="M129" i="7"/>
  <c r="P129" i="7" s="1"/>
  <c r="M140" i="7"/>
  <c r="O150" i="7"/>
  <c r="O152" i="7"/>
  <c r="O88" i="7"/>
  <c r="O93" i="7"/>
  <c r="O97" i="7"/>
  <c r="O101" i="7"/>
  <c r="O102" i="7"/>
  <c r="M107" i="7"/>
  <c r="P107" i="7" s="1"/>
  <c r="M109" i="7"/>
  <c r="P109" i="7" s="1"/>
  <c r="M111" i="7"/>
  <c r="P111" i="7" s="1"/>
  <c r="M113" i="7"/>
  <c r="P113" i="7" s="1"/>
  <c r="M115" i="7"/>
  <c r="P115" i="7" s="1"/>
  <c r="M117" i="7"/>
  <c r="P117" i="7" s="1"/>
  <c r="M119" i="7"/>
  <c r="P119" i="7" s="1"/>
  <c r="O128" i="7"/>
  <c r="O154" i="7"/>
  <c r="F78" i="7"/>
  <c r="G78" i="7" s="1"/>
  <c r="F80" i="7"/>
  <c r="G80" i="7" s="1"/>
  <c r="F82" i="7"/>
  <c r="G82" i="7" s="1"/>
  <c r="M82" i="7" s="1"/>
  <c r="P82" i="7" s="1"/>
  <c r="F84" i="7"/>
  <c r="G84" i="7" s="1"/>
  <c r="F86" i="7"/>
  <c r="G86" i="7" s="1"/>
  <c r="F88" i="7"/>
  <c r="G88" i="7" s="1"/>
  <c r="F90" i="7"/>
  <c r="G90" i="7" s="1"/>
  <c r="O94" i="7"/>
  <c r="O98" i="7"/>
  <c r="M102" i="7"/>
  <c r="P102" i="7" s="1"/>
  <c r="O122" i="7"/>
  <c r="M125" i="7"/>
  <c r="P125" i="7" s="1"/>
  <c r="O127" i="7"/>
  <c r="M149" i="7"/>
  <c r="P149" i="7" s="1"/>
  <c r="O151" i="7"/>
  <c r="F93" i="7"/>
  <c r="G93" i="7" s="1"/>
  <c r="F95" i="7"/>
  <c r="G95" i="7" s="1"/>
  <c r="F97" i="7"/>
  <c r="G97" i="7" s="1"/>
  <c r="M97" i="7" s="1"/>
  <c r="P97" i="7" s="1"/>
  <c r="F99" i="7"/>
  <c r="G99" i="7" s="1"/>
  <c r="F101" i="7"/>
  <c r="G101" i="7" s="1"/>
  <c r="P105" i="7"/>
  <c r="O111" i="7"/>
  <c r="O115" i="7"/>
  <c r="O119" i="7"/>
  <c r="F122" i="7"/>
  <c r="G122" i="7" s="1"/>
  <c r="M122" i="7" s="1"/>
  <c r="P122" i="7" s="1"/>
  <c r="F126" i="7"/>
  <c r="G126" i="7" s="1"/>
  <c r="M126" i="7" s="1"/>
  <c r="P126" i="7" s="1"/>
  <c r="G136" i="7"/>
  <c r="F150" i="7"/>
  <c r="G150" i="7" s="1"/>
  <c r="M150" i="7" s="1"/>
  <c r="P150" i="7" s="1"/>
  <c r="F154" i="7"/>
  <c r="G154" i="7" s="1"/>
  <c r="M154" i="7" s="1"/>
  <c r="F161" i="7"/>
  <c r="G161" i="7" s="1"/>
  <c r="M161" i="7" s="1"/>
  <c r="O107" i="7"/>
  <c r="O112" i="7"/>
  <c r="O116" i="7"/>
  <c r="O120" i="7"/>
  <c r="M123" i="7"/>
  <c r="P123" i="7" s="1"/>
  <c r="O125" i="7"/>
  <c r="M127" i="7"/>
  <c r="P127" i="7" s="1"/>
  <c r="O129" i="7"/>
  <c r="P140" i="7"/>
  <c r="O149" i="7"/>
  <c r="F151" i="7"/>
  <c r="G151" i="7" s="1"/>
  <c r="M151" i="7" s="1"/>
  <c r="P151" i="7" s="1"/>
  <c r="O153" i="7"/>
  <c r="F155" i="7"/>
  <c r="G155" i="7" s="1"/>
  <c r="M155" i="7" s="1"/>
  <c r="P155" i="7" s="1"/>
  <c r="M124" i="7"/>
  <c r="P124" i="7" s="1"/>
  <c r="M128" i="7"/>
  <c r="P128" i="7" s="1"/>
  <c r="D143" i="7"/>
  <c r="M148" i="7"/>
  <c r="P148" i="7" s="1"/>
  <c r="M152" i="7"/>
  <c r="P152" i="7" s="1"/>
  <c r="P153" i="7"/>
  <c r="O110" i="7"/>
  <c r="O114" i="7"/>
  <c r="O118" i="7"/>
  <c r="M121" i="7"/>
  <c r="P121" i="7" s="1"/>
  <c r="G143" i="7"/>
  <c r="M139" i="7"/>
  <c r="M141" i="7"/>
  <c r="P141" i="7" s="1"/>
  <c r="P154" i="7"/>
  <c r="O32" i="7" l="1"/>
  <c r="O96" i="7"/>
  <c r="O77" i="7"/>
  <c r="M86" i="7"/>
  <c r="P86" i="7" s="1"/>
  <c r="D61" i="3"/>
  <c r="G158" i="7"/>
  <c r="M88" i="7"/>
  <c r="P88" i="7" s="1"/>
  <c r="D63" i="3"/>
  <c r="M78" i="7"/>
  <c r="P78" i="7" s="1"/>
  <c r="D54" i="3"/>
  <c r="M91" i="7"/>
  <c r="P91" i="7" s="1"/>
  <c r="D75" i="3"/>
  <c r="M62" i="7"/>
  <c r="P62" i="7" s="1"/>
  <c r="D38" i="3"/>
  <c r="M16" i="7"/>
  <c r="P16" i="7" s="1"/>
  <c r="D10" i="3"/>
  <c r="M24" i="7"/>
  <c r="P24" i="7" s="1"/>
  <c r="D18" i="3"/>
  <c r="M101" i="7"/>
  <c r="P101" i="7" s="1"/>
  <c r="D71" i="3"/>
  <c r="M95" i="7"/>
  <c r="P95" i="7" s="1"/>
  <c r="D66" i="3"/>
  <c r="M94" i="7"/>
  <c r="P94" i="7" s="1"/>
  <c r="D79" i="3"/>
  <c r="M73" i="7"/>
  <c r="P73" i="7" s="1"/>
  <c r="D49" i="3"/>
  <c r="M60" i="7"/>
  <c r="P60" i="7" s="1"/>
  <c r="D36" i="3"/>
  <c r="M72" i="7"/>
  <c r="P72" i="7" s="1"/>
  <c r="D48" i="3"/>
  <c r="M18" i="7"/>
  <c r="P18" i="7" s="1"/>
  <c r="D12" i="3"/>
  <c r="M15" i="7"/>
  <c r="P15" i="7" s="1"/>
  <c r="D9" i="3"/>
  <c r="M13" i="7"/>
  <c r="P13" i="7" s="1"/>
  <c r="D7" i="3"/>
  <c r="M25" i="7"/>
  <c r="P25" i="7" s="1"/>
  <c r="M23" i="7"/>
  <c r="P23" i="7" s="1"/>
  <c r="M22" i="7"/>
  <c r="P22" i="7" s="1"/>
  <c r="D16" i="3"/>
  <c r="M80" i="7"/>
  <c r="P80" i="7" s="1"/>
  <c r="D56" i="3"/>
  <c r="M69" i="7"/>
  <c r="P69" i="7" s="1"/>
  <c r="D45" i="3"/>
  <c r="M58" i="7"/>
  <c r="P58" i="7" s="1"/>
  <c r="D34" i="3"/>
  <c r="M68" i="7"/>
  <c r="P68" i="7" s="1"/>
  <c r="D44" i="3"/>
  <c r="M20" i="7"/>
  <c r="P20" i="7" s="1"/>
  <c r="D14" i="3"/>
  <c r="M99" i="7"/>
  <c r="P99" i="7" s="1"/>
  <c r="D69" i="3"/>
  <c r="M93" i="7"/>
  <c r="P93" i="7" s="1"/>
  <c r="D78" i="3"/>
  <c r="M90" i="7"/>
  <c r="P90" i="7" s="1"/>
  <c r="D76" i="3"/>
  <c r="M84" i="7"/>
  <c r="P84" i="7" s="1"/>
  <c r="D59" i="3"/>
  <c r="M98" i="7"/>
  <c r="P98" i="7" s="1"/>
  <c r="D68" i="3"/>
  <c r="M65" i="7"/>
  <c r="P65" i="7" s="1"/>
  <c r="D41" i="3"/>
  <c r="M64" i="7"/>
  <c r="P64" i="7" s="1"/>
  <c r="D40" i="3"/>
  <c r="D172" i="7"/>
  <c r="M17" i="7"/>
  <c r="P17" i="7" s="1"/>
  <c r="D11" i="3"/>
  <c r="M14" i="7"/>
  <c r="P14" i="7" s="1"/>
  <c r="D8" i="3"/>
  <c r="M26" i="7"/>
  <c r="P26" i="7" s="1"/>
  <c r="D20" i="3"/>
  <c r="M27" i="7"/>
  <c r="P27" i="7" s="1"/>
  <c r="D21" i="3"/>
  <c r="M163" i="7"/>
  <c r="P161" i="7"/>
  <c r="P163" i="7" s="1"/>
  <c r="M53" i="7"/>
  <c r="P53" i="7" s="1"/>
  <c r="M49" i="7"/>
  <c r="M63" i="7"/>
  <c r="P63" i="7" s="1"/>
  <c r="M158" i="7"/>
  <c r="G38" i="7"/>
  <c r="M12" i="7"/>
  <c r="M71" i="7"/>
  <c r="P71" i="7" s="1"/>
  <c r="M56" i="7"/>
  <c r="P56" i="7" s="1"/>
  <c r="M52" i="7"/>
  <c r="P52" i="7" s="1"/>
  <c r="M67" i="7"/>
  <c r="P67" i="7" s="1"/>
  <c r="M19" i="7"/>
  <c r="P19" i="7" s="1"/>
  <c r="M75" i="7"/>
  <c r="P75" i="7" s="1"/>
  <c r="O57" i="7"/>
  <c r="P158" i="7"/>
  <c r="G131" i="7"/>
  <c r="M66" i="7"/>
  <c r="P66" i="7" s="1"/>
  <c r="M55" i="7"/>
  <c r="P55" i="7" s="1"/>
  <c r="M51" i="7"/>
  <c r="P51" i="7" s="1"/>
  <c r="O28" i="7"/>
  <c r="M21" i="7"/>
  <c r="P21" i="7" s="1"/>
  <c r="O61" i="7"/>
  <c r="O59" i="7"/>
  <c r="M70" i="7"/>
  <c r="P70" i="7" s="1"/>
  <c r="P139" i="7"/>
  <c r="P143" i="7" s="1"/>
  <c r="M143" i="7"/>
  <c r="O104" i="7"/>
  <c r="M104" i="7"/>
  <c r="P104" i="7" s="1"/>
  <c r="G43" i="7"/>
  <c r="M41" i="7"/>
  <c r="M54" i="7"/>
  <c r="P54" i="7" s="1"/>
  <c r="M50" i="7"/>
  <c r="P50" i="7" s="1"/>
  <c r="M29" i="7"/>
  <c r="P29" i="7" s="1"/>
  <c r="M74" i="7"/>
  <c r="P74" i="7" s="1"/>
  <c r="M38" i="7" l="1"/>
  <c r="P12" i="7"/>
  <c r="P38" i="7" s="1"/>
  <c r="M131" i="7"/>
  <c r="P49" i="7"/>
  <c r="P131" i="7" s="1"/>
  <c r="P41" i="7"/>
  <c r="P43" i="7" s="1"/>
  <c r="M43" i="7"/>
  <c r="M167" i="7" l="1"/>
  <c r="M168" i="7" s="1"/>
  <c r="M170" i="7" s="1"/>
  <c r="O2" i="7" s="1"/>
  <c r="P169" i="7"/>
  <c r="G40" i="3" l="1"/>
  <c r="G13" i="3"/>
  <c r="G67" i="3" l="1"/>
  <c r="G64" i="3" l="1"/>
  <c r="G62" i="3"/>
  <c r="G60" i="3"/>
  <c r="G59" i="3"/>
  <c r="G57" i="3"/>
  <c r="G50" i="3"/>
  <c r="G45" i="3"/>
  <c r="G32" i="3"/>
  <c r="G31" i="3"/>
  <c r="G16" i="3"/>
  <c r="G14" i="3"/>
  <c r="M18" i="3" l="1"/>
  <c r="M64" i="3" l="1"/>
  <c r="M63" i="3"/>
  <c r="M62" i="3"/>
  <c r="M60" i="3"/>
  <c r="M59" i="3"/>
  <c r="M57" i="3"/>
  <c r="M55" i="3"/>
  <c r="M53" i="3"/>
  <c r="M52" i="3"/>
  <c r="M51" i="3"/>
  <c r="M50" i="3"/>
  <c r="M48" i="3"/>
  <c r="M47" i="3"/>
  <c r="M45" i="3"/>
  <c r="M42" i="3"/>
  <c r="M41" i="3"/>
  <c r="M40" i="3"/>
  <c r="M38" i="3"/>
  <c r="M37" i="3"/>
  <c r="M34" i="3"/>
  <c r="M33" i="3"/>
  <c r="M32" i="3"/>
  <c r="M28" i="3"/>
  <c r="G91" i="3"/>
  <c r="G90" i="3"/>
  <c r="G89" i="3"/>
  <c r="G88" i="3"/>
  <c r="G87" i="3"/>
  <c r="G86" i="3"/>
  <c r="M7" i="3"/>
  <c r="M11" i="3"/>
  <c r="M10" i="3"/>
  <c r="M9" i="3"/>
  <c r="M8" i="3"/>
  <c r="M23" i="3"/>
  <c r="M20" i="3"/>
  <c r="M80" i="3"/>
  <c r="M78" i="3"/>
  <c r="M79" i="3"/>
  <c r="M77" i="3"/>
  <c r="M76" i="3"/>
  <c r="M75" i="3"/>
  <c r="M27" i="3"/>
  <c r="M25" i="3"/>
  <c r="M73" i="3"/>
  <c r="M69" i="3"/>
  <c r="M70" i="3"/>
  <c r="M71" i="3"/>
  <c r="M72" i="3"/>
  <c r="M68" i="3"/>
  <c r="M67" i="3"/>
  <c r="M66" i="3"/>
  <c r="M65" i="3"/>
  <c r="M61" i="3"/>
  <c r="M58" i="3"/>
  <c r="M56" i="3"/>
  <c r="M54" i="3"/>
  <c r="M49" i="3"/>
  <c r="M44" i="3"/>
  <c r="M39" i="3"/>
  <c r="M36" i="3"/>
  <c r="M35" i="3"/>
  <c r="M16" i="3"/>
  <c r="M14" i="3"/>
  <c r="M13" i="3"/>
  <c r="M30" i="3"/>
  <c r="M29" i="3"/>
  <c r="M22" i="3"/>
  <c r="M21" i="3"/>
  <c r="M19" i="3"/>
  <c r="M17" i="3"/>
  <c r="M15" i="3"/>
  <c r="M12" i="3"/>
  <c r="M6" i="3"/>
  <c r="G80" i="3"/>
  <c r="G79" i="3"/>
  <c r="G78" i="3"/>
  <c r="G77" i="3"/>
  <c r="G76" i="3"/>
  <c r="G75" i="3"/>
  <c r="G73" i="3"/>
  <c r="G72" i="3"/>
  <c r="G71" i="3"/>
  <c r="G70" i="3"/>
  <c r="G69" i="3"/>
  <c r="G68" i="3"/>
  <c r="G66" i="3"/>
  <c r="G65" i="3"/>
  <c r="G63" i="3"/>
  <c r="G61" i="3"/>
  <c r="G58" i="3"/>
  <c r="G56" i="3"/>
  <c r="G55" i="3"/>
  <c r="G54" i="3"/>
  <c r="G53" i="3"/>
  <c r="G52" i="3"/>
  <c r="G51" i="3"/>
  <c r="G49" i="3"/>
  <c r="G48" i="3"/>
  <c r="G47" i="3"/>
  <c r="G44" i="3"/>
  <c r="G42" i="3"/>
  <c r="G41" i="3"/>
  <c r="G39" i="3"/>
  <c r="G38" i="3"/>
  <c r="G37" i="3"/>
  <c r="G36" i="3"/>
  <c r="G35" i="3"/>
  <c r="G34" i="3"/>
  <c r="G33" i="3"/>
  <c r="G30" i="3"/>
  <c r="G29" i="3"/>
  <c r="G28" i="3"/>
  <c r="G27" i="3"/>
  <c r="G25" i="3"/>
  <c r="G23" i="3" l="1"/>
  <c r="G22" i="3"/>
  <c r="G21" i="3"/>
  <c r="G20" i="3"/>
  <c r="G19" i="3"/>
  <c r="G18" i="3"/>
  <c r="G17" i="3"/>
  <c r="G15" i="3"/>
  <c r="G12" i="3"/>
  <c r="G11" i="3"/>
  <c r="G10" i="3"/>
  <c r="G9" i="3"/>
  <c r="G8" i="3"/>
  <c r="G7" i="3"/>
  <c r="G6" i="3"/>
  <c r="E22" i="6" l="1"/>
  <c r="D22" i="6"/>
  <c r="C22" i="6"/>
  <c r="B22" i="6"/>
  <c r="P11" i="3"/>
  <c r="P8" i="3"/>
  <c r="P7" i="3"/>
  <c r="P10" i="3" l="1"/>
  <c r="P12" i="3"/>
  <c r="P56" i="3"/>
  <c r="G22" i="6"/>
  <c r="H22" i="6"/>
  <c r="B60" i="2"/>
  <c r="P15" i="3" l="1"/>
  <c r="P60" i="3"/>
  <c r="P62" i="3"/>
  <c r="P14" i="3"/>
  <c r="P9" i="3"/>
  <c r="P6" i="3"/>
  <c r="P57" i="3"/>
  <c r="P13" i="3"/>
  <c r="P61" i="3"/>
  <c r="P63" i="3"/>
  <c r="P64" i="3"/>
  <c r="P16" i="3" l="1"/>
  <c r="P59" i="3"/>
  <c r="D24" i="3"/>
  <c r="P58" i="3"/>
  <c r="M91" i="3"/>
  <c r="M90" i="3"/>
  <c r="M89" i="3"/>
  <c r="M88" i="3"/>
  <c r="M87" i="3"/>
  <c r="M86" i="3"/>
  <c r="F91" i="3"/>
  <c r="F90" i="3"/>
  <c r="F89" i="3"/>
  <c r="F88" i="3"/>
  <c r="H89" i="3" l="1"/>
  <c r="H91" i="3"/>
  <c r="H88" i="3"/>
  <c r="H90" i="3"/>
  <c r="D98" i="3" l="1"/>
  <c r="D99" i="3" s="1"/>
  <c r="B55" i="2" l="1"/>
  <c r="C54" i="2"/>
  <c r="G56" i="2"/>
  <c r="G58" i="2" s="1"/>
  <c r="C53" i="2"/>
  <c r="B12" i="2"/>
  <c r="B11" i="2"/>
  <c r="H11" i="2" s="1"/>
  <c r="B10" i="2"/>
  <c r="B9" i="2"/>
  <c r="B8" i="2"/>
  <c r="B7" i="2"/>
  <c r="B6" i="2"/>
  <c r="E46" i="3" l="1"/>
  <c r="F46" i="3" s="1"/>
  <c r="E41" i="3"/>
  <c r="F41" i="3" s="1"/>
  <c r="P41" i="3" s="1"/>
  <c r="E64" i="3"/>
  <c r="F64" i="3" s="1"/>
  <c r="E63" i="3"/>
  <c r="F63" i="3" s="1"/>
  <c r="E55" i="3"/>
  <c r="F55" i="3" s="1"/>
  <c r="P55" i="3" s="1"/>
  <c r="E33" i="3"/>
  <c r="F33" i="3" s="1"/>
  <c r="P33" i="3" s="1"/>
  <c r="E51" i="3"/>
  <c r="F51" i="3" s="1"/>
  <c r="P51" i="3" s="1"/>
  <c r="E37" i="3"/>
  <c r="F37" i="3" s="1"/>
  <c r="P37" i="3" s="1"/>
  <c r="E26" i="3"/>
  <c r="F26" i="3" s="1"/>
  <c r="E40" i="3"/>
  <c r="F40" i="3" s="1"/>
  <c r="P40" i="3" s="1"/>
  <c r="E13" i="3"/>
  <c r="E59" i="3"/>
  <c r="F59" i="3" s="1"/>
  <c r="H59" i="3" s="1"/>
  <c r="E30" i="3"/>
  <c r="F30" i="3" s="1"/>
  <c r="P30" i="3" s="1"/>
  <c r="E14" i="3"/>
  <c r="E50" i="3"/>
  <c r="F50" i="3" s="1"/>
  <c r="P50" i="3" s="1"/>
  <c r="E12" i="3"/>
  <c r="E62" i="3"/>
  <c r="F62" i="3" s="1"/>
  <c r="E57" i="3"/>
  <c r="F57" i="3" s="1"/>
  <c r="E32" i="3"/>
  <c r="F32" i="3" s="1"/>
  <c r="P32" i="3" s="1"/>
  <c r="E60" i="3"/>
  <c r="F60" i="3" s="1"/>
  <c r="E56" i="3"/>
  <c r="F56" i="3" s="1"/>
  <c r="E45" i="3"/>
  <c r="F45" i="3" s="1"/>
  <c r="P45" i="3" s="1"/>
  <c r="E31" i="3"/>
  <c r="F31" i="3" s="1"/>
  <c r="P31" i="3" s="1"/>
  <c r="E16" i="3"/>
  <c r="E61" i="3"/>
  <c r="F61" i="3" s="1"/>
  <c r="E44" i="3"/>
  <c r="F44" i="3" s="1"/>
  <c r="P44" i="3" s="1"/>
  <c r="E25" i="3"/>
  <c r="F25" i="3" s="1"/>
  <c r="P25" i="3" s="1"/>
  <c r="E87" i="3"/>
  <c r="F87" i="3" s="1"/>
  <c r="E58" i="3"/>
  <c r="F58" i="3" s="1"/>
  <c r="E39" i="3"/>
  <c r="F39" i="3" s="1"/>
  <c r="P39" i="3" s="1"/>
  <c r="E49" i="3"/>
  <c r="F49" i="3" s="1"/>
  <c r="P49" i="3" s="1"/>
  <c r="E86" i="3"/>
  <c r="F86" i="3" s="1"/>
  <c r="E54" i="3"/>
  <c r="F54" i="3" s="1"/>
  <c r="P54" i="3" s="1"/>
  <c r="E36" i="3"/>
  <c r="F36" i="3" s="1"/>
  <c r="P36" i="3" s="1"/>
  <c r="H10" i="2"/>
  <c r="C6" i="2"/>
  <c r="E53" i="3"/>
  <c r="F53" i="3" s="1"/>
  <c r="E67" i="3"/>
  <c r="F67" i="3" s="1"/>
  <c r="P67" i="3" s="1"/>
  <c r="E72" i="3"/>
  <c r="F72" i="3" s="1"/>
  <c r="P72" i="3" s="1"/>
  <c r="E68" i="3"/>
  <c r="F68" i="3" s="1"/>
  <c r="P68" i="3" s="1"/>
  <c r="E77" i="3"/>
  <c r="F77" i="3" s="1"/>
  <c r="P77" i="3" s="1"/>
  <c r="E29" i="3"/>
  <c r="F29" i="3" s="1"/>
  <c r="P29" i="3" s="1"/>
  <c r="E69" i="3"/>
  <c r="F69" i="3" s="1"/>
  <c r="P69" i="3" s="1"/>
  <c r="E66" i="3"/>
  <c r="F66" i="3" s="1"/>
  <c r="P66" i="3" s="1"/>
  <c r="E71" i="3"/>
  <c r="F71" i="3" s="1"/>
  <c r="P71" i="3" s="1"/>
  <c r="E80" i="3"/>
  <c r="F80" i="3" s="1"/>
  <c r="P80" i="3" s="1"/>
  <c r="E76" i="3"/>
  <c r="F76" i="3" s="1"/>
  <c r="P76" i="3" s="1"/>
  <c r="E27" i="3"/>
  <c r="F27" i="3" s="1"/>
  <c r="E78" i="3"/>
  <c r="F78" i="3" s="1"/>
  <c r="P78" i="3" s="1"/>
  <c r="E65" i="3"/>
  <c r="F65" i="3" s="1"/>
  <c r="P65" i="3" s="1"/>
  <c r="E70" i="3"/>
  <c r="F70" i="3" s="1"/>
  <c r="P70" i="3" s="1"/>
  <c r="E79" i="3"/>
  <c r="F79" i="3" s="1"/>
  <c r="P79" i="3" s="1"/>
  <c r="E75" i="3"/>
  <c r="F75" i="3" s="1"/>
  <c r="P75" i="3" s="1"/>
  <c r="E73" i="3"/>
  <c r="F73" i="3" s="1"/>
  <c r="E35" i="3"/>
  <c r="F35" i="3" s="1"/>
  <c r="P35" i="3" s="1"/>
  <c r="H7" i="2"/>
  <c r="E52" i="3"/>
  <c r="F52" i="3" s="1"/>
  <c r="P52" i="3" s="1"/>
  <c r="E48" i="3"/>
  <c r="F48" i="3" s="1"/>
  <c r="P48" i="3" s="1"/>
  <c r="E7" i="2"/>
  <c r="E8" i="2"/>
  <c r="E43" i="3"/>
  <c r="F43" i="3" s="1"/>
  <c r="E42" i="3"/>
  <c r="F42" i="3" s="1"/>
  <c r="P42" i="3" s="1"/>
  <c r="E47" i="3"/>
  <c r="F47" i="3" s="1"/>
  <c r="P47" i="3" s="1"/>
  <c r="E38" i="3"/>
  <c r="F38" i="3" s="1"/>
  <c r="P38" i="3" s="1"/>
  <c r="E28" i="3"/>
  <c r="F28" i="3" s="1"/>
  <c r="P28" i="3" s="1"/>
  <c r="E34" i="3"/>
  <c r="F34" i="3" s="1"/>
  <c r="P34" i="3" s="1"/>
  <c r="D55" i="2"/>
  <c r="S89" i="3" s="1"/>
  <c r="R89" i="3"/>
  <c r="F6" i="2"/>
  <c r="E23" i="3"/>
  <c r="E19" i="3"/>
  <c r="E22" i="3"/>
  <c r="E18" i="3"/>
  <c r="E21" i="3"/>
  <c r="E17" i="3"/>
  <c r="E20" i="3"/>
  <c r="E7" i="3"/>
  <c r="E10" i="3"/>
  <c r="E6" i="3"/>
  <c r="E15" i="3"/>
  <c r="E9" i="3"/>
  <c r="E8" i="3"/>
  <c r="E11" i="3"/>
  <c r="E6" i="2"/>
  <c r="H6" i="2"/>
  <c r="D6" i="2"/>
  <c r="F9" i="2"/>
  <c r="F7" i="2"/>
  <c r="G9" i="2"/>
  <c r="G8" i="2"/>
  <c r="H9" i="2"/>
  <c r="D12" i="2"/>
  <c r="F8" i="2"/>
  <c r="C7" i="2"/>
  <c r="G7" i="2"/>
  <c r="G6" i="2"/>
  <c r="D7" i="2"/>
  <c r="H8" i="2"/>
  <c r="G10" i="2"/>
  <c r="C32" i="4"/>
  <c r="D32" i="4" s="1"/>
  <c r="B58" i="2"/>
  <c r="B59" i="2" s="1"/>
  <c r="B61" i="2" s="1"/>
  <c r="C55" i="2"/>
  <c r="C11" i="2"/>
  <c r="C10" i="2"/>
  <c r="E12" i="2"/>
  <c r="C8" i="2"/>
  <c r="D9" i="2"/>
  <c r="E10" i="2"/>
  <c r="F11" i="2"/>
  <c r="G12" i="2"/>
  <c r="C12" i="2"/>
  <c r="D11" i="2"/>
  <c r="C9" i="2"/>
  <c r="E11" i="2"/>
  <c r="F12" i="2"/>
  <c r="D8" i="2"/>
  <c r="E9" i="2"/>
  <c r="F10" i="2"/>
  <c r="G11" i="2"/>
  <c r="H12" i="2"/>
  <c r="D10" i="2"/>
  <c r="P73" i="3" l="1"/>
  <c r="H73" i="3"/>
  <c r="P43" i="3"/>
  <c r="H43" i="3"/>
  <c r="P27" i="3"/>
  <c r="H27" i="3"/>
  <c r="P53" i="3"/>
  <c r="H53" i="3"/>
  <c r="H26" i="3"/>
  <c r="P26" i="3"/>
  <c r="P46" i="3"/>
  <c r="H46" i="3"/>
  <c r="F13" i="3"/>
  <c r="H13" i="3" s="1"/>
  <c r="H86" i="3"/>
  <c r="H87" i="3"/>
  <c r="F19" i="3" l="1"/>
  <c r="H35" i="3"/>
  <c r="H49" i="3"/>
  <c r="H34" i="3"/>
  <c r="D81" i="3"/>
  <c r="D82" i="3" s="1"/>
  <c r="H19" i="3" l="1"/>
  <c r="P19" i="3"/>
  <c r="F10" i="3"/>
  <c r="H10" i="3" s="1"/>
  <c r="H57" i="3"/>
  <c r="H63" i="3"/>
  <c r="H60" i="3"/>
  <c r="H62" i="3"/>
  <c r="H64" i="3"/>
  <c r="H61" i="3"/>
  <c r="H58" i="3"/>
  <c r="H56" i="3"/>
  <c r="H28" i="3"/>
  <c r="H50" i="3"/>
  <c r="H48" i="3"/>
  <c r="H31" i="3"/>
  <c r="F7" i="3"/>
  <c r="H7" i="3" s="1"/>
  <c r="F22" i="3"/>
  <c r="F9" i="3"/>
  <c r="H9" i="3" s="1"/>
  <c r="H79" i="3"/>
  <c r="H76" i="3"/>
  <c r="F18" i="3"/>
  <c r="H54" i="3"/>
  <c r="F20" i="3"/>
  <c r="H33" i="3"/>
  <c r="H72" i="3"/>
  <c r="H75" i="3"/>
  <c r="H65" i="3"/>
  <c r="H41" i="3"/>
  <c r="H66" i="3"/>
  <c r="H32" i="3"/>
  <c r="H47" i="3"/>
  <c r="H29" i="3"/>
  <c r="H30" i="3"/>
  <c r="F21" i="3"/>
  <c r="H42" i="3"/>
  <c r="H36" i="3"/>
  <c r="H45" i="3"/>
  <c r="H44" i="3"/>
  <c r="H38" i="3"/>
  <c r="H70" i="3"/>
  <c r="H40" i="3"/>
  <c r="H39" i="3"/>
  <c r="H25" i="3"/>
  <c r="F16" i="3"/>
  <c r="H16" i="3" s="1"/>
  <c r="H51" i="3"/>
  <c r="F6" i="3"/>
  <c r="F12" i="3"/>
  <c r="H12" i="3" s="1"/>
  <c r="H71" i="3"/>
  <c r="F17" i="3"/>
  <c r="H37" i="3"/>
  <c r="H80" i="3"/>
  <c r="F14" i="3"/>
  <c r="H14" i="3" s="1"/>
  <c r="H55" i="3"/>
  <c r="H78" i="3"/>
  <c r="F23" i="3"/>
  <c r="H77" i="3"/>
  <c r="H68" i="3"/>
  <c r="F15" i="3"/>
  <c r="H15" i="3" s="1"/>
  <c r="H67" i="3"/>
  <c r="F11" i="3"/>
  <c r="H11" i="3" s="1"/>
  <c r="F8" i="3"/>
  <c r="H8" i="3" s="1"/>
  <c r="H69" i="3"/>
  <c r="H18" i="3" l="1"/>
  <c r="P18" i="3"/>
  <c r="H21" i="3"/>
  <c r="P21" i="3"/>
  <c r="H20" i="3"/>
  <c r="P20" i="3"/>
  <c r="H23" i="3"/>
  <c r="P23" i="3"/>
  <c r="H17" i="3"/>
  <c r="P17" i="3"/>
  <c r="H22" i="3"/>
  <c r="P22" i="3"/>
  <c r="F24" i="3"/>
  <c r="F81" i="3"/>
  <c r="H6" i="3"/>
  <c r="H52" i="3"/>
  <c r="H81" i="3" s="1"/>
  <c r="P81" i="3"/>
  <c r="H24" i="3" l="1"/>
  <c r="H82" i="3" s="1"/>
  <c r="D101" i="3" s="1"/>
  <c r="P24" i="3"/>
  <c r="P82" i="3" s="1"/>
  <c r="F82" i="3"/>
  <c r="D100" i="3" s="1"/>
  <c r="AA26" i="3" l="1"/>
  <c r="AA43" i="3"/>
  <c r="AA46" i="3"/>
  <c r="AA74" i="3"/>
  <c r="AA40" i="3"/>
  <c r="AA13" i="3"/>
  <c r="AA67" i="3"/>
  <c r="AA60" i="3"/>
  <c r="AA64" i="3"/>
  <c r="AA57" i="3"/>
  <c r="AA16" i="3"/>
  <c r="AA14" i="3"/>
  <c r="AA32" i="3"/>
  <c r="AA50" i="3"/>
  <c r="AA45" i="3"/>
  <c r="AA59" i="3"/>
  <c r="AA62" i="3"/>
  <c r="AA31" i="3"/>
  <c r="AA30" i="3"/>
  <c r="AA35" i="3"/>
  <c r="AA56" i="3"/>
  <c r="AA79" i="3"/>
  <c r="AA80" i="3"/>
  <c r="AA49" i="3"/>
  <c r="AA72" i="3"/>
  <c r="AA66" i="3"/>
  <c r="AA34" i="3"/>
  <c r="AA55" i="3"/>
  <c r="AA78" i="3"/>
  <c r="AA48" i="3"/>
  <c r="AA39" i="3"/>
  <c r="AA65" i="3"/>
  <c r="AA53" i="3"/>
  <c r="AA33" i="3"/>
  <c r="AA54" i="3"/>
  <c r="AA77" i="3"/>
  <c r="AA76" i="3"/>
  <c r="AA38" i="3"/>
  <c r="AA63" i="3"/>
  <c r="AA52" i="3"/>
  <c r="AA75" i="3"/>
  <c r="AA58" i="3"/>
  <c r="AA68" i="3"/>
  <c r="AA28" i="3"/>
  <c r="AA73" i="3"/>
  <c r="AA71" i="3"/>
  <c r="AA47" i="3"/>
  <c r="AA70" i="3"/>
  <c r="AA36" i="3"/>
  <c r="AA37" i="3"/>
  <c r="AA61" i="3"/>
  <c r="AA25" i="3"/>
  <c r="AA27" i="3"/>
  <c r="AA44" i="3"/>
  <c r="AA69" i="3"/>
  <c r="AA41" i="3"/>
  <c r="AA29" i="3"/>
  <c r="AA42" i="3"/>
  <c r="AA51" i="3"/>
  <c r="AA10" i="3"/>
  <c r="AA17" i="3"/>
  <c r="AA8" i="3"/>
  <c r="AA9" i="3"/>
  <c r="AA19" i="3"/>
  <c r="AA18" i="3"/>
  <c r="AA21" i="3"/>
  <c r="AA7" i="3"/>
  <c r="AA12" i="3"/>
  <c r="AA15" i="3"/>
  <c r="AA22" i="3"/>
  <c r="AA11" i="3"/>
  <c r="AA20" i="3"/>
  <c r="AA6" i="3"/>
  <c r="AA23" i="3"/>
  <c r="I46" i="3"/>
  <c r="J46" i="3" s="1"/>
  <c r="K46" i="3" s="1"/>
  <c r="I74" i="3"/>
  <c r="I26" i="3"/>
  <c r="J26" i="3" s="1"/>
  <c r="K26" i="3" s="1"/>
  <c r="I43" i="3"/>
  <c r="X43" i="3" s="1"/>
  <c r="I73" i="3"/>
  <c r="I59" i="3"/>
  <c r="X59" i="3" s="1"/>
  <c r="I27" i="3"/>
  <c r="X27" i="3" s="1"/>
  <c r="I53" i="3"/>
  <c r="X53" i="3" s="1"/>
  <c r="I86" i="3"/>
  <c r="I13" i="3"/>
  <c r="X13" i="3" s="1"/>
  <c r="I14" i="3"/>
  <c r="X14" i="3" s="1"/>
  <c r="I68" i="3"/>
  <c r="X68" i="3" s="1"/>
  <c r="I28" i="3"/>
  <c r="X28" i="3" s="1"/>
  <c r="I38" i="3"/>
  <c r="X38" i="3" s="1"/>
  <c r="I12" i="3"/>
  <c r="X12" i="3" s="1"/>
  <c r="I62" i="3"/>
  <c r="I34" i="3"/>
  <c r="X34" i="3" s="1"/>
  <c r="I80" i="3"/>
  <c r="X80" i="3" s="1"/>
  <c r="I31" i="3"/>
  <c r="X31" i="3" s="1"/>
  <c r="I44" i="3"/>
  <c r="X44" i="3" s="1"/>
  <c r="I54" i="3"/>
  <c r="X54" i="3" s="1"/>
  <c r="I55" i="3"/>
  <c r="X55" i="3" s="1"/>
  <c r="I41" i="3"/>
  <c r="X41" i="3" s="1"/>
  <c r="I10" i="3"/>
  <c r="X10" i="3" s="1"/>
  <c r="I71" i="3"/>
  <c r="X71" i="3" s="1"/>
  <c r="I66" i="3"/>
  <c r="X66" i="3" s="1"/>
  <c r="I37" i="3"/>
  <c r="X37" i="3" s="1"/>
  <c r="I42" i="3"/>
  <c r="X42" i="3" s="1"/>
  <c r="I60" i="3"/>
  <c r="X60" i="3" s="1"/>
  <c r="I21" i="3"/>
  <c r="X21" i="3" s="1"/>
  <c r="I47" i="3"/>
  <c r="X47" i="3" s="1"/>
  <c r="I17" i="3"/>
  <c r="X17" i="3" s="1"/>
  <c r="I58" i="3"/>
  <c r="X58" i="3" s="1"/>
  <c r="I61" i="3"/>
  <c r="X61" i="3" s="1"/>
  <c r="I75" i="3"/>
  <c r="X75" i="3" s="1"/>
  <c r="I15" i="3"/>
  <c r="X15" i="3" s="1"/>
  <c r="I77" i="3"/>
  <c r="X77" i="3" s="1"/>
  <c r="I63" i="3"/>
  <c r="X63" i="3" s="1"/>
  <c r="I48" i="3"/>
  <c r="X48" i="3" s="1"/>
  <c r="I35" i="3"/>
  <c r="X35" i="3" s="1"/>
  <c r="I18" i="3"/>
  <c r="X18" i="3" s="1"/>
  <c r="I11" i="3"/>
  <c r="X11" i="3" s="1"/>
  <c r="I72" i="3"/>
  <c r="X72" i="3" s="1"/>
  <c r="I7" i="3"/>
  <c r="X7" i="3" s="1"/>
  <c r="I67" i="3"/>
  <c r="X67" i="3" s="1"/>
  <c r="I45" i="3"/>
  <c r="X45" i="3" s="1"/>
  <c r="I32" i="3"/>
  <c r="X32" i="3" s="1"/>
  <c r="I16" i="3"/>
  <c r="X16" i="3" s="1"/>
  <c r="I78" i="3"/>
  <c r="X78" i="3" s="1"/>
  <c r="I64" i="3"/>
  <c r="X64" i="3" s="1"/>
  <c r="I49" i="3"/>
  <c r="X49" i="3" s="1"/>
  <c r="I36" i="3"/>
  <c r="X36" i="3" s="1"/>
  <c r="I29" i="3"/>
  <c r="X29" i="3" s="1"/>
  <c r="I87" i="3"/>
  <c r="I6" i="3"/>
  <c r="I76" i="3"/>
  <c r="X76" i="3" s="1"/>
  <c r="I39" i="3"/>
  <c r="X39" i="3" s="1"/>
  <c r="I23" i="3"/>
  <c r="X23" i="3" s="1"/>
  <c r="I8" i="3"/>
  <c r="X8" i="3" s="1"/>
  <c r="I69" i="3"/>
  <c r="X69" i="3" s="1"/>
  <c r="I56" i="3"/>
  <c r="X56" i="3" s="1"/>
  <c r="I22" i="3"/>
  <c r="X22" i="3" s="1"/>
  <c r="I19" i="3"/>
  <c r="X19" i="3" s="1"/>
  <c r="I20" i="3"/>
  <c r="X20" i="3" s="1"/>
  <c r="I33" i="3"/>
  <c r="X33" i="3" s="1"/>
  <c r="I79" i="3"/>
  <c r="X79" i="3" s="1"/>
  <c r="I65" i="3"/>
  <c r="X65" i="3" s="1"/>
  <c r="I50" i="3"/>
  <c r="X50" i="3" s="1"/>
  <c r="I30" i="3"/>
  <c r="X30" i="3" s="1"/>
  <c r="I52" i="3"/>
  <c r="X52" i="3" s="1"/>
  <c r="I40" i="3"/>
  <c r="X40" i="3" s="1"/>
  <c r="I25" i="3"/>
  <c r="I9" i="3"/>
  <c r="X9" i="3" s="1"/>
  <c r="I70" i="3"/>
  <c r="X70" i="3" s="1"/>
  <c r="I57" i="3"/>
  <c r="X57" i="3" s="1"/>
  <c r="I51" i="3"/>
  <c r="X51" i="3" s="1"/>
  <c r="I89" i="3"/>
  <c r="J89" i="3" s="1"/>
  <c r="K89" i="3" s="1"/>
  <c r="I91" i="3"/>
  <c r="J91" i="3" s="1"/>
  <c r="K91" i="3" s="1"/>
  <c r="I88" i="3"/>
  <c r="J88" i="3" s="1"/>
  <c r="K88" i="3" s="1"/>
  <c r="I90" i="3"/>
  <c r="J90" i="3" s="1"/>
  <c r="K90" i="3" s="1"/>
  <c r="AB6" i="3" l="1"/>
  <c r="L46" i="3"/>
  <c r="L26" i="3"/>
  <c r="X46" i="3"/>
  <c r="J74" i="3"/>
  <c r="K74" i="3" s="1"/>
  <c r="L74" i="3" s="1"/>
  <c r="N74" i="3" s="1"/>
  <c r="X74" i="3"/>
  <c r="X26" i="3"/>
  <c r="J43" i="3"/>
  <c r="K43" i="3" s="1"/>
  <c r="J25" i="3"/>
  <c r="K25" i="3" s="1"/>
  <c r="L25" i="3" s="1"/>
  <c r="AB25" i="3" s="1"/>
  <c r="X25" i="3"/>
  <c r="J6" i="3"/>
  <c r="K6" i="3" s="1"/>
  <c r="L6" i="3" s="1"/>
  <c r="X6" i="3"/>
  <c r="J62" i="3"/>
  <c r="K62" i="3" s="1"/>
  <c r="L62" i="3" s="1"/>
  <c r="AB62" i="3" s="1"/>
  <c r="X62" i="3"/>
  <c r="J73" i="3"/>
  <c r="K73" i="3" s="1"/>
  <c r="L73" i="3" s="1"/>
  <c r="X73" i="3"/>
  <c r="J86" i="3"/>
  <c r="K86" i="3" s="1"/>
  <c r="J87" i="3"/>
  <c r="K87" i="3" s="1"/>
  <c r="J49" i="3"/>
  <c r="K49" i="3" s="1"/>
  <c r="L49" i="3" s="1"/>
  <c r="AB49" i="3" s="1"/>
  <c r="J72" i="3"/>
  <c r="K72" i="3" s="1"/>
  <c r="J47" i="3"/>
  <c r="K47" i="3" s="1"/>
  <c r="J37" i="3"/>
  <c r="K37" i="3" s="1"/>
  <c r="J54" i="3"/>
  <c r="K54" i="3" s="1"/>
  <c r="L54" i="3" s="1"/>
  <c r="AB54" i="3" s="1"/>
  <c r="J80" i="3"/>
  <c r="K80" i="3" s="1"/>
  <c r="J38" i="3"/>
  <c r="K38" i="3" s="1"/>
  <c r="J13" i="3"/>
  <c r="K13" i="3" s="1"/>
  <c r="L13" i="3" s="1"/>
  <c r="J59" i="3"/>
  <c r="K59" i="3" s="1"/>
  <c r="J52" i="3"/>
  <c r="K52" i="3" s="1"/>
  <c r="J48" i="3"/>
  <c r="K48" i="3" s="1"/>
  <c r="J65" i="3"/>
  <c r="K65" i="3" s="1"/>
  <c r="J22" i="3"/>
  <c r="K22" i="3" s="1"/>
  <c r="J23" i="3"/>
  <c r="K23" i="3" s="1"/>
  <c r="L23" i="3" s="1"/>
  <c r="AB23" i="3" s="1"/>
  <c r="J64" i="3"/>
  <c r="K64" i="3" s="1"/>
  <c r="J63" i="3"/>
  <c r="K63" i="3" s="1"/>
  <c r="J21" i="3"/>
  <c r="K21" i="3" s="1"/>
  <c r="L21" i="3" s="1"/>
  <c r="AB21" i="3" s="1"/>
  <c r="J66" i="3"/>
  <c r="K66" i="3" s="1"/>
  <c r="J41" i="3"/>
  <c r="K41" i="3" s="1"/>
  <c r="J44" i="3"/>
  <c r="K44" i="3" s="1"/>
  <c r="J34" i="3"/>
  <c r="K34" i="3" s="1"/>
  <c r="J28" i="3"/>
  <c r="K28" i="3" s="1"/>
  <c r="J9" i="3"/>
  <c r="K9" i="3" s="1"/>
  <c r="L9" i="3" s="1"/>
  <c r="AB9" i="3" s="1"/>
  <c r="J33" i="3"/>
  <c r="K33" i="3" s="1"/>
  <c r="J45" i="3"/>
  <c r="K45" i="3" s="1"/>
  <c r="L45" i="3" s="1"/>
  <c r="AB45" i="3" s="1"/>
  <c r="J61" i="3"/>
  <c r="K61" i="3" s="1"/>
  <c r="L61" i="3" s="1"/>
  <c r="AB61" i="3" s="1"/>
  <c r="J40" i="3"/>
  <c r="K40" i="3" s="1"/>
  <c r="L40" i="3" s="1"/>
  <c r="AB40" i="3" s="1"/>
  <c r="J79" i="3"/>
  <c r="K79" i="3" s="1"/>
  <c r="J56" i="3"/>
  <c r="K56" i="3" s="1"/>
  <c r="L56" i="3" s="1"/>
  <c r="AB56" i="3" s="1"/>
  <c r="J39" i="3"/>
  <c r="K39" i="3" s="1"/>
  <c r="L39" i="3" s="1"/>
  <c r="AB39" i="3" s="1"/>
  <c r="J29" i="3"/>
  <c r="K29" i="3" s="1"/>
  <c r="J78" i="3"/>
  <c r="K78" i="3" s="1"/>
  <c r="J67" i="3"/>
  <c r="K67" i="3" s="1"/>
  <c r="J18" i="3"/>
  <c r="K18" i="3" s="1"/>
  <c r="J77" i="3"/>
  <c r="K77" i="3" s="1"/>
  <c r="J58" i="3"/>
  <c r="K58" i="3" s="1"/>
  <c r="L58" i="3" s="1"/>
  <c r="AB58" i="3" s="1"/>
  <c r="J60" i="3"/>
  <c r="K60" i="3" s="1"/>
  <c r="J71" i="3"/>
  <c r="K71" i="3" s="1"/>
  <c r="L71" i="3" s="1"/>
  <c r="AB71" i="3" s="1"/>
  <c r="J55" i="3"/>
  <c r="K55" i="3" s="1"/>
  <c r="J31" i="3"/>
  <c r="K31" i="3" s="1"/>
  <c r="J68" i="3"/>
  <c r="K68" i="3" s="1"/>
  <c r="J53" i="3"/>
  <c r="K53" i="3" s="1"/>
  <c r="J50" i="3"/>
  <c r="K50" i="3" s="1"/>
  <c r="L50" i="3" s="1"/>
  <c r="AB50" i="3" s="1"/>
  <c r="J8" i="3"/>
  <c r="K8" i="3" s="1"/>
  <c r="L8" i="3" s="1"/>
  <c r="AB8" i="3" s="1"/>
  <c r="J32" i="3"/>
  <c r="K32" i="3" s="1"/>
  <c r="L32" i="3" s="1"/>
  <c r="AB32" i="3" s="1"/>
  <c r="J75" i="3"/>
  <c r="K75" i="3" s="1"/>
  <c r="J51" i="3"/>
  <c r="K51" i="3" s="1"/>
  <c r="J11" i="3"/>
  <c r="K11" i="3" s="1"/>
  <c r="L11" i="3" s="1"/>
  <c r="AB11" i="3" s="1"/>
  <c r="J57" i="3"/>
  <c r="K57" i="3" s="1"/>
  <c r="J30" i="3"/>
  <c r="K30" i="3" s="1"/>
  <c r="J20" i="3"/>
  <c r="K20" i="3" s="1"/>
  <c r="J70" i="3"/>
  <c r="K70" i="3" s="1"/>
  <c r="L70" i="3" s="1"/>
  <c r="AB70" i="3" s="1"/>
  <c r="J19" i="3"/>
  <c r="K19" i="3" s="1"/>
  <c r="L19" i="3" s="1"/>
  <c r="AB19" i="3" s="1"/>
  <c r="J69" i="3"/>
  <c r="K69" i="3" s="1"/>
  <c r="L69" i="3" s="1"/>
  <c r="AB69" i="3" s="1"/>
  <c r="J76" i="3"/>
  <c r="K76" i="3" s="1"/>
  <c r="J36" i="3"/>
  <c r="K36" i="3" s="1"/>
  <c r="J16" i="3"/>
  <c r="K16" i="3" s="1"/>
  <c r="J7" i="3"/>
  <c r="K7" i="3" s="1"/>
  <c r="L7" i="3" s="1"/>
  <c r="AB7" i="3" s="1"/>
  <c r="J35" i="3"/>
  <c r="K35" i="3" s="1"/>
  <c r="L35" i="3" s="1"/>
  <c r="AB35" i="3" s="1"/>
  <c r="J15" i="3"/>
  <c r="K15" i="3" s="1"/>
  <c r="L15" i="3" s="1"/>
  <c r="AB15" i="3" s="1"/>
  <c r="J17" i="3"/>
  <c r="K17" i="3" s="1"/>
  <c r="L17" i="3" s="1"/>
  <c r="AB17" i="3" s="1"/>
  <c r="J42" i="3"/>
  <c r="K42" i="3" s="1"/>
  <c r="J10" i="3"/>
  <c r="K10" i="3" s="1"/>
  <c r="L10" i="3" s="1"/>
  <c r="AB10" i="3" s="1"/>
  <c r="J12" i="3"/>
  <c r="K12" i="3" s="1"/>
  <c r="L12" i="3" s="1"/>
  <c r="AB12" i="3" s="1"/>
  <c r="J14" i="3"/>
  <c r="K14" i="3" s="1"/>
  <c r="J27" i="3"/>
  <c r="K27" i="3" s="1"/>
  <c r="I24" i="3"/>
  <c r="I81" i="3"/>
  <c r="N90" i="3"/>
  <c r="C68" i="4"/>
  <c r="L90" i="3"/>
  <c r="N88" i="3"/>
  <c r="C64" i="4"/>
  <c r="L88" i="3"/>
  <c r="N91" i="3"/>
  <c r="C69" i="4"/>
  <c r="L91" i="3"/>
  <c r="N89" i="3"/>
  <c r="C65" i="4"/>
  <c r="L89" i="3"/>
  <c r="N73" i="3" l="1"/>
  <c r="AB73" i="3"/>
  <c r="N26" i="3"/>
  <c r="S26" i="3" s="1"/>
  <c r="AB26" i="3"/>
  <c r="AB74" i="3"/>
  <c r="N13" i="3"/>
  <c r="AB13" i="3"/>
  <c r="N46" i="3"/>
  <c r="U46" i="3" s="1"/>
  <c r="V46" i="3" s="1"/>
  <c r="W46" i="3" s="1"/>
  <c r="Y46" i="3" s="1"/>
  <c r="AB46" i="3"/>
  <c r="U26" i="3"/>
  <c r="V26" i="3" s="1"/>
  <c r="W26" i="3" s="1"/>
  <c r="Y26" i="3" s="1"/>
  <c r="S46" i="3"/>
  <c r="L31" i="3"/>
  <c r="L43" i="3"/>
  <c r="U74" i="3"/>
  <c r="V74" i="3" s="1"/>
  <c r="W74" i="3" s="1"/>
  <c r="Y74" i="3" s="1"/>
  <c r="S74" i="3"/>
  <c r="L86" i="3"/>
  <c r="C15" i="4" s="1"/>
  <c r="D15" i="4" s="1"/>
  <c r="O86" i="3" s="1"/>
  <c r="N86" i="3"/>
  <c r="L87" i="3"/>
  <c r="C16" i="4" s="1"/>
  <c r="D16" i="4" s="1"/>
  <c r="O87" i="3" s="1"/>
  <c r="N87" i="3"/>
  <c r="U73" i="3"/>
  <c r="V73" i="3" s="1"/>
  <c r="W73" i="3" s="1"/>
  <c r="Y73" i="3" s="1"/>
  <c r="S73" i="3"/>
  <c r="L20" i="3"/>
  <c r="N50" i="3"/>
  <c r="S50" i="3" s="1"/>
  <c r="L77" i="3"/>
  <c r="N40" i="3"/>
  <c r="S40" i="3" s="1"/>
  <c r="L28" i="3"/>
  <c r="C29" i="4"/>
  <c r="D29" i="4" s="1"/>
  <c r="C28" i="4"/>
  <c r="C27" i="4"/>
  <c r="L52" i="3"/>
  <c r="L80" i="3"/>
  <c r="L47" i="3"/>
  <c r="L16" i="3"/>
  <c r="L27" i="3"/>
  <c r="L36" i="3"/>
  <c r="L30" i="3"/>
  <c r="L53" i="3"/>
  <c r="L29" i="3"/>
  <c r="AB29" i="3" s="1"/>
  <c r="L66" i="3"/>
  <c r="L14" i="3"/>
  <c r="C45" i="4"/>
  <c r="C53" i="4"/>
  <c r="C83" i="4"/>
  <c r="C75" i="4"/>
  <c r="C37" i="4"/>
  <c r="L76" i="3"/>
  <c r="L57" i="3"/>
  <c r="L68" i="3"/>
  <c r="L18" i="3"/>
  <c r="C84" i="4"/>
  <c r="D84" i="4" s="1"/>
  <c r="C54" i="4"/>
  <c r="C46" i="4"/>
  <c r="C38" i="4"/>
  <c r="D38" i="4" s="1"/>
  <c r="O43" i="3" s="1"/>
  <c r="Q43" i="3" s="1"/>
  <c r="R43" i="3" s="1"/>
  <c r="C76" i="4"/>
  <c r="D76" i="4" s="1"/>
  <c r="L34" i="3"/>
  <c r="L22" i="3"/>
  <c r="L59" i="3"/>
  <c r="C79" i="4"/>
  <c r="C87" i="4"/>
  <c r="C41" i="4"/>
  <c r="D41" i="4" s="1"/>
  <c r="C49" i="4"/>
  <c r="C57" i="4"/>
  <c r="L72" i="3"/>
  <c r="L75" i="3"/>
  <c r="N32" i="3"/>
  <c r="S32" i="3" s="1"/>
  <c r="L55" i="3"/>
  <c r="L33" i="3"/>
  <c r="C73" i="4"/>
  <c r="C35" i="4"/>
  <c r="D35" i="4" s="1"/>
  <c r="O26" i="3" s="1"/>
  <c r="Q26" i="3" s="1"/>
  <c r="R26" i="3" s="1"/>
  <c r="C43" i="4"/>
  <c r="C51" i="4"/>
  <c r="C81" i="4"/>
  <c r="L42" i="3"/>
  <c r="L51" i="3"/>
  <c r="N62" i="3"/>
  <c r="L60" i="3"/>
  <c r="L67" i="3"/>
  <c r="N45" i="3"/>
  <c r="S45" i="3" s="1"/>
  <c r="L44" i="3"/>
  <c r="L63" i="3"/>
  <c r="L65" i="3"/>
  <c r="C78" i="4"/>
  <c r="C40" i="4"/>
  <c r="C48" i="4"/>
  <c r="C56" i="4"/>
  <c r="C86" i="4"/>
  <c r="L78" i="3"/>
  <c r="L79" i="3"/>
  <c r="L41" i="3"/>
  <c r="L64" i="3"/>
  <c r="L48" i="3"/>
  <c r="L38" i="3"/>
  <c r="L37" i="3"/>
  <c r="C23" i="4"/>
  <c r="C22" i="4"/>
  <c r="N19" i="3"/>
  <c r="C14" i="4"/>
  <c r="D14" i="4" s="1"/>
  <c r="N11" i="3"/>
  <c r="N56" i="3"/>
  <c r="C62" i="4"/>
  <c r="D62" i="4" s="1"/>
  <c r="U13" i="3"/>
  <c r="V13" i="3" s="1"/>
  <c r="W13" i="3" s="1"/>
  <c r="Y13" i="3" s="1"/>
  <c r="S13" i="3"/>
  <c r="N49" i="3"/>
  <c r="C24" i="4"/>
  <c r="D24" i="4" s="1"/>
  <c r="N17" i="3"/>
  <c r="N70" i="3"/>
  <c r="N58" i="3"/>
  <c r="C66" i="4"/>
  <c r="D66" i="4" s="1"/>
  <c r="C18" i="4"/>
  <c r="D18" i="4" s="1"/>
  <c r="N15" i="3"/>
  <c r="N35" i="3"/>
  <c r="N23" i="3"/>
  <c r="N10" i="3"/>
  <c r="C13" i="4"/>
  <c r="D13" i="4" s="1"/>
  <c r="N12" i="3"/>
  <c r="C17" i="4"/>
  <c r="D17" i="4" s="1"/>
  <c r="C19" i="4"/>
  <c r="D19" i="4" s="1"/>
  <c r="O7" i="3" s="1"/>
  <c r="N7" i="3"/>
  <c r="N69" i="3"/>
  <c r="N8" i="3"/>
  <c r="C11" i="4"/>
  <c r="D11" i="4" s="1"/>
  <c r="N71" i="3"/>
  <c r="N39" i="3"/>
  <c r="N61" i="3"/>
  <c r="C70" i="4"/>
  <c r="D70" i="4" s="1"/>
  <c r="O62" i="3" s="1"/>
  <c r="N9" i="3"/>
  <c r="C12" i="4"/>
  <c r="D12" i="4" s="1"/>
  <c r="C7" i="4"/>
  <c r="D7" i="4" s="1"/>
  <c r="N21" i="3"/>
  <c r="N54" i="3"/>
  <c r="D68" i="4"/>
  <c r="O90" i="3" s="1"/>
  <c r="D64" i="4"/>
  <c r="O88" i="3" s="1"/>
  <c r="D69" i="4"/>
  <c r="D65" i="4"/>
  <c r="O89" i="3" s="1"/>
  <c r="I82" i="3"/>
  <c r="N25" i="3"/>
  <c r="C10" i="4"/>
  <c r="D10" i="4" s="1"/>
  <c r="O6" i="3" s="1"/>
  <c r="Q6" i="3" s="1"/>
  <c r="R6" i="3" s="1"/>
  <c r="N6" i="3"/>
  <c r="N64" i="3" l="1"/>
  <c r="AB64" i="3"/>
  <c r="N51" i="3"/>
  <c r="AB51" i="3"/>
  <c r="N55" i="3"/>
  <c r="AB55" i="3"/>
  <c r="N76" i="3"/>
  <c r="AB76" i="3"/>
  <c r="N27" i="3"/>
  <c r="AB27" i="3"/>
  <c r="N52" i="3"/>
  <c r="AB52" i="3"/>
  <c r="N28" i="3"/>
  <c r="AB28" i="3"/>
  <c r="N20" i="3"/>
  <c r="AB20" i="3"/>
  <c r="N37" i="3"/>
  <c r="AB37" i="3"/>
  <c r="N65" i="3"/>
  <c r="AB65" i="3"/>
  <c r="N67" i="3"/>
  <c r="AB67" i="3"/>
  <c r="N59" i="3"/>
  <c r="S59" i="3" s="1"/>
  <c r="AB59" i="3"/>
  <c r="N18" i="3"/>
  <c r="AB18" i="3"/>
  <c r="N53" i="3"/>
  <c r="AB53" i="3"/>
  <c r="N16" i="3"/>
  <c r="S16" i="3" s="1"/>
  <c r="AB16" i="3"/>
  <c r="N43" i="3"/>
  <c r="S43" i="3" s="1"/>
  <c r="T43" i="3" s="1"/>
  <c r="AB43" i="3"/>
  <c r="N41" i="3"/>
  <c r="AB41" i="3"/>
  <c r="N42" i="3"/>
  <c r="AB42" i="3"/>
  <c r="N79" i="3"/>
  <c r="AB79" i="3"/>
  <c r="N63" i="3"/>
  <c r="AB63" i="3"/>
  <c r="N60" i="3"/>
  <c r="U60" i="3" s="1"/>
  <c r="V60" i="3" s="1"/>
  <c r="W60" i="3" s="1"/>
  <c r="Y60" i="3" s="1"/>
  <c r="AB60" i="3"/>
  <c r="N75" i="3"/>
  <c r="AB75" i="3"/>
  <c r="N22" i="3"/>
  <c r="AB22" i="3"/>
  <c r="N68" i="3"/>
  <c r="AB68" i="3"/>
  <c r="N14" i="3"/>
  <c r="AB14" i="3"/>
  <c r="N30" i="3"/>
  <c r="AB30" i="3"/>
  <c r="N47" i="3"/>
  <c r="AB47" i="3"/>
  <c r="N77" i="3"/>
  <c r="AB77" i="3"/>
  <c r="N31" i="3"/>
  <c r="S31" i="3" s="1"/>
  <c r="AB31" i="3"/>
  <c r="N38" i="3"/>
  <c r="AB38" i="3"/>
  <c r="N48" i="3"/>
  <c r="AB48" i="3"/>
  <c r="N78" i="3"/>
  <c r="AB78" i="3"/>
  <c r="N44" i="3"/>
  <c r="AB44" i="3"/>
  <c r="N33" i="3"/>
  <c r="S33" i="3" s="1"/>
  <c r="AB33" i="3"/>
  <c r="N72" i="3"/>
  <c r="AB72" i="3"/>
  <c r="N34" i="3"/>
  <c r="AB34" i="3"/>
  <c r="N57" i="3"/>
  <c r="AB57" i="3"/>
  <c r="N66" i="3"/>
  <c r="U66" i="3" s="1"/>
  <c r="V66" i="3" s="1"/>
  <c r="W66" i="3" s="1"/>
  <c r="Y66" i="3" s="1"/>
  <c r="AB66" i="3"/>
  <c r="N36" i="3"/>
  <c r="AB36" i="3"/>
  <c r="N80" i="3"/>
  <c r="S80" i="3" s="1"/>
  <c r="AB80" i="3"/>
  <c r="T26" i="3"/>
  <c r="O57" i="3"/>
  <c r="Q57" i="3" s="1"/>
  <c r="R57" i="3" s="1"/>
  <c r="O54" i="3"/>
  <c r="Q54" i="3" s="1"/>
  <c r="R54" i="3" s="1"/>
  <c r="O55" i="3"/>
  <c r="Q55" i="3" s="1"/>
  <c r="R55" i="3" s="1"/>
  <c r="O28" i="3"/>
  <c r="Q28" i="3" s="1"/>
  <c r="R28" i="3" s="1"/>
  <c r="O27" i="3"/>
  <c r="Q27" i="3" s="1"/>
  <c r="R27" i="3" s="1"/>
  <c r="O25" i="3"/>
  <c r="Q25" i="3" s="1"/>
  <c r="R25" i="3" s="1"/>
  <c r="O91" i="3"/>
  <c r="O63" i="3"/>
  <c r="Q63" i="3" s="1"/>
  <c r="R63" i="3" s="1"/>
  <c r="Q62" i="3"/>
  <c r="R62" i="3" s="1"/>
  <c r="O64" i="3"/>
  <c r="Q64" i="3" s="1"/>
  <c r="R64" i="3" s="1"/>
  <c r="O61" i="3"/>
  <c r="Q61" i="3" s="1"/>
  <c r="R61" i="3" s="1"/>
  <c r="O21" i="3"/>
  <c r="Q21" i="3" s="1"/>
  <c r="O67" i="3"/>
  <c r="Q67" i="3" s="1"/>
  <c r="R67" i="3" s="1"/>
  <c r="O40" i="3"/>
  <c r="O39" i="3"/>
  <c r="Q39" i="3" s="1"/>
  <c r="R39" i="3" s="1"/>
  <c r="O41" i="3"/>
  <c r="Q41" i="3" s="1"/>
  <c r="R41" i="3" s="1"/>
  <c r="O42" i="3"/>
  <c r="Q42" i="3" s="1"/>
  <c r="R42" i="3" s="1"/>
  <c r="O59" i="3"/>
  <c r="Q59" i="3" s="1"/>
  <c r="R59" i="3" s="1"/>
  <c r="O58" i="3"/>
  <c r="Q58" i="3" s="1"/>
  <c r="R58" i="3" s="1"/>
  <c r="O60" i="3"/>
  <c r="Q60" i="3" s="1"/>
  <c r="R60" i="3" s="1"/>
  <c r="O56" i="3"/>
  <c r="Q56" i="3" s="1"/>
  <c r="R56" i="3" s="1"/>
  <c r="C61" i="4"/>
  <c r="D61" i="4" s="1"/>
  <c r="C60" i="4"/>
  <c r="D60" i="4" s="1"/>
  <c r="U53" i="3"/>
  <c r="V53" i="3" s="1"/>
  <c r="W53" i="3" s="1"/>
  <c r="Y53" i="3" s="1"/>
  <c r="S53" i="3"/>
  <c r="U65" i="3"/>
  <c r="V65" i="3" s="1"/>
  <c r="W65" i="3" s="1"/>
  <c r="Y65" i="3" s="1"/>
  <c r="S65" i="3"/>
  <c r="U45" i="3"/>
  <c r="S27" i="3"/>
  <c r="U27" i="3"/>
  <c r="V27" i="3" s="1"/>
  <c r="W27" i="3" s="1"/>
  <c r="Y27" i="3" s="1"/>
  <c r="U22" i="3"/>
  <c r="V22" i="3" s="1"/>
  <c r="W22" i="3" s="1"/>
  <c r="Y22" i="3" s="1"/>
  <c r="S22" i="3"/>
  <c r="U36" i="3"/>
  <c r="V36" i="3" s="1"/>
  <c r="W36" i="3" s="1"/>
  <c r="Y36" i="3" s="1"/>
  <c r="S36" i="3"/>
  <c r="U42" i="3"/>
  <c r="V42" i="3" s="1"/>
  <c r="W42" i="3" s="1"/>
  <c r="Y42" i="3" s="1"/>
  <c r="S42" i="3"/>
  <c r="S66" i="3"/>
  <c r="S44" i="3"/>
  <c r="U44" i="3"/>
  <c r="V44" i="3" s="1"/>
  <c r="W44" i="3" s="1"/>
  <c r="Y44" i="3" s="1"/>
  <c r="U80" i="3"/>
  <c r="V80" i="3" s="1"/>
  <c r="W80" i="3" s="1"/>
  <c r="Y80" i="3" s="1"/>
  <c r="U52" i="3"/>
  <c r="V52" i="3" s="1"/>
  <c r="W52" i="3" s="1"/>
  <c r="Y52" i="3" s="1"/>
  <c r="S52" i="3"/>
  <c r="U28" i="3"/>
  <c r="V28" i="3" s="1"/>
  <c r="W28" i="3" s="1"/>
  <c r="Y28" i="3" s="1"/>
  <c r="S28" i="3"/>
  <c r="U50" i="3"/>
  <c r="U64" i="3"/>
  <c r="V64" i="3" s="1"/>
  <c r="W64" i="3" s="1"/>
  <c r="Y64" i="3" s="1"/>
  <c r="S64" i="3"/>
  <c r="U63" i="3"/>
  <c r="V63" i="3" s="1"/>
  <c r="W63" i="3" s="1"/>
  <c r="Y63" i="3" s="1"/>
  <c r="S63" i="3"/>
  <c r="U51" i="3"/>
  <c r="V51" i="3" s="1"/>
  <c r="W51" i="3" s="1"/>
  <c r="Y51" i="3" s="1"/>
  <c r="S51" i="3"/>
  <c r="U33" i="3"/>
  <c r="V33" i="3" s="1"/>
  <c r="W33" i="3" s="1"/>
  <c r="Y33" i="3" s="1"/>
  <c r="U72" i="3"/>
  <c r="V72" i="3" s="1"/>
  <c r="W72" i="3" s="1"/>
  <c r="Y72" i="3" s="1"/>
  <c r="S72" i="3"/>
  <c r="U68" i="3"/>
  <c r="V68" i="3" s="1"/>
  <c r="W68" i="3" s="1"/>
  <c r="Y68" i="3" s="1"/>
  <c r="S68" i="3"/>
  <c r="U76" i="3"/>
  <c r="V76" i="3" s="1"/>
  <c r="W76" i="3" s="1"/>
  <c r="Y76" i="3" s="1"/>
  <c r="S76" i="3"/>
  <c r="U30" i="3"/>
  <c r="V30" i="3" s="1"/>
  <c r="W30" i="3" s="1"/>
  <c r="Y30" i="3" s="1"/>
  <c r="S30" i="3"/>
  <c r="U47" i="3"/>
  <c r="V47" i="3" s="1"/>
  <c r="W47" i="3" s="1"/>
  <c r="Y47" i="3" s="1"/>
  <c r="S47" i="3"/>
  <c r="U40" i="3"/>
  <c r="V40" i="3" s="1"/>
  <c r="U20" i="3"/>
  <c r="V20" i="3" s="1"/>
  <c r="W20" i="3" s="1"/>
  <c r="Y20" i="3" s="1"/>
  <c r="S20" i="3"/>
  <c r="U78" i="3"/>
  <c r="V78" i="3" s="1"/>
  <c r="W78" i="3" s="1"/>
  <c r="Y78" i="3" s="1"/>
  <c r="S78" i="3"/>
  <c r="U18" i="3"/>
  <c r="V18" i="3" s="1"/>
  <c r="W18" i="3" s="1"/>
  <c r="Y18" i="3" s="1"/>
  <c r="U37" i="3"/>
  <c r="V37" i="3" s="1"/>
  <c r="W37" i="3" s="1"/>
  <c r="Y37" i="3" s="1"/>
  <c r="S37" i="3"/>
  <c r="U34" i="3"/>
  <c r="V34" i="3" s="1"/>
  <c r="W34" i="3" s="1"/>
  <c r="Y34" i="3" s="1"/>
  <c r="S34" i="3"/>
  <c r="U16" i="3"/>
  <c r="V16" i="3" s="1"/>
  <c r="W16" i="3" s="1"/>
  <c r="Y16" i="3" s="1"/>
  <c r="U77" i="3"/>
  <c r="V77" i="3" s="1"/>
  <c r="W77" i="3" s="1"/>
  <c r="Y77" i="3" s="1"/>
  <c r="S77" i="3"/>
  <c r="U48" i="3"/>
  <c r="V48" i="3" s="1"/>
  <c r="W48" i="3" s="1"/>
  <c r="Y48" i="3" s="1"/>
  <c r="S48" i="3"/>
  <c r="U75" i="3"/>
  <c r="V75" i="3" s="1"/>
  <c r="W75" i="3" s="1"/>
  <c r="Y75" i="3" s="1"/>
  <c r="S75" i="3"/>
  <c r="U41" i="3"/>
  <c r="V41" i="3" s="1"/>
  <c r="W41" i="3" s="1"/>
  <c r="Y41" i="3" s="1"/>
  <c r="S41" i="3"/>
  <c r="U62" i="3"/>
  <c r="V62" i="3" s="1"/>
  <c r="W62" i="3" s="1"/>
  <c r="Y62" i="3" s="1"/>
  <c r="S62" i="3"/>
  <c r="S55" i="3"/>
  <c r="U55" i="3"/>
  <c r="V55" i="3" s="1"/>
  <c r="W55" i="3" s="1"/>
  <c r="Y55" i="3" s="1"/>
  <c r="U38" i="3"/>
  <c r="V38" i="3" s="1"/>
  <c r="W38" i="3" s="1"/>
  <c r="Y38" i="3" s="1"/>
  <c r="S38" i="3"/>
  <c r="U79" i="3"/>
  <c r="V79" i="3" s="1"/>
  <c r="W79" i="3" s="1"/>
  <c r="Y79" i="3" s="1"/>
  <c r="S79" i="3"/>
  <c r="U67" i="3"/>
  <c r="V67" i="3" s="1"/>
  <c r="W67" i="3" s="1"/>
  <c r="Y67" i="3" s="1"/>
  <c r="S67" i="3"/>
  <c r="U32" i="3"/>
  <c r="U59" i="3"/>
  <c r="U57" i="3"/>
  <c r="V57" i="3" s="1"/>
  <c r="W57" i="3" s="1"/>
  <c r="Y57" i="3" s="1"/>
  <c r="S57" i="3"/>
  <c r="U14" i="3"/>
  <c r="V14" i="3" s="1"/>
  <c r="W14" i="3" s="1"/>
  <c r="Y14" i="3" s="1"/>
  <c r="S14" i="3"/>
  <c r="U31" i="3"/>
  <c r="C44" i="4"/>
  <c r="D44" i="4" s="1"/>
  <c r="C82" i="4"/>
  <c r="D82" i="4" s="1"/>
  <c r="C74" i="4"/>
  <c r="D74" i="4" s="1"/>
  <c r="C36" i="4"/>
  <c r="D36" i="4" s="1"/>
  <c r="O31" i="3" s="1"/>
  <c r="C52" i="4"/>
  <c r="S60" i="3"/>
  <c r="N29" i="3"/>
  <c r="C47" i="4"/>
  <c r="C39" i="4"/>
  <c r="D39" i="4" s="1"/>
  <c r="O46" i="3" s="1"/>
  <c r="Q46" i="3" s="1"/>
  <c r="R46" i="3" s="1"/>
  <c r="C85" i="4"/>
  <c r="D85" i="4" s="1"/>
  <c r="C77" i="4"/>
  <c r="D77" i="4" s="1"/>
  <c r="C55" i="4"/>
  <c r="O10" i="3"/>
  <c r="Q10" i="3" s="1"/>
  <c r="R10" i="3" s="1"/>
  <c r="O11" i="3"/>
  <c r="Q11" i="3" s="1"/>
  <c r="R11" i="3" s="1"/>
  <c r="O9" i="3"/>
  <c r="Q9" i="3" s="1"/>
  <c r="R9" i="3" s="1"/>
  <c r="Q7" i="3"/>
  <c r="R7" i="3" s="1"/>
  <c r="O8" i="3"/>
  <c r="Q8" i="3" s="1"/>
  <c r="R8" i="3" s="1"/>
  <c r="O18" i="3"/>
  <c r="O17" i="3"/>
  <c r="Q17" i="3" s="1"/>
  <c r="R17" i="3" s="1"/>
  <c r="O16" i="3"/>
  <c r="O15" i="3"/>
  <c r="Q15" i="3" s="1"/>
  <c r="R15" i="3" s="1"/>
  <c r="O12" i="3"/>
  <c r="Q12" i="3" s="1"/>
  <c r="R12" i="3" s="1"/>
  <c r="O14" i="3"/>
  <c r="Q14" i="3" s="1"/>
  <c r="R14" i="3" s="1"/>
  <c r="O13" i="3"/>
  <c r="Q13" i="3" s="1"/>
  <c r="R13" i="3" s="1"/>
  <c r="O22" i="3"/>
  <c r="Q22" i="3" s="1"/>
  <c r="R22" i="3" s="1"/>
  <c r="D57" i="4"/>
  <c r="U25" i="3"/>
  <c r="V25" i="3" s="1"/>
  <c r="S25" i="3"/>
  <c r="U6" i="3"/>
  <c r="V6" i="3" s="1"/>
  <c r="S6" i="3"/>
  <c r="T6" i="3" s="1"/>
  <c r="U7" i="3"/>
  <c r="V7" i="3" s="1"/>
  <c r="W7" i="3" s="1"/>
  <c r="Y7" i="3" s="1"/>
  <c r="S7" i="3"/>
  <c r="D37" i="4"/>
  <c r="U15" i="3"/>
  <c r="V15" i="3" s="1"/>
  <c r="W15" i="3" s="1"/>
  <c r="Y15" i="3" s="1"/>
  <c r="S15" i="3"/>
  <c r="D83" i="4"/>
  <c r="D75" i="4"/>
  <c r="D40" i="4"/>
  <c r="U11" i="3"/>
  <c r="V11" i="3" s="1"/>
  <c r="W11" i="3" s="1"/>
  <c r="Y11" i="3" s="1"/>
  <c r="S11" i="3"/>
  <c r="U54" i="3"/>
  <c r="V54" i="3" s="1"/>
  <c r="W54" i="3" s="1"/>
  <c r="Y54" i="3" s="1"/>
  <c r="S54" i="3"/>
  <c r="U35" i="3"/>
  <c r="V35" i="3" s="1"/>
  <c r="W35" i="3" s="1"/>
  <c r="Y35" i="3" s="1"/>
  <c r="S35" i="3"/>
  <c r="S70" i="3"/>
  <c r="U70" i="3"/>
  <c r="V70" i="3" s="1"/>
  <c r="W70" i="3" s="1"/>
  <c r="Y70" i="3" s="1"/>
  <c r="U49" i="3"/>
  <c r="V49" i="3" s="1"/>
  <c r="W49" i="3" s="1"/>
  <c r="Y49" i="3" s="1"/>
  <c r="S49" i="3"/>
  <c r="U56" i="3"/>
  <c r="V56" i="3" s="1"/>
  <c r="W56" i="3" s="1"/>
  <c r="Y56" i="3" s="1"/>
  <c r="S56" i="3"/>
  <c r="S12" i="3"/>
  <c r="U12" i="3"/>
  <c r="V12" i="3" s="1"/>
  <c r="W12" i="3" s="1"/>
  <c r="Y12" i="3" s="1"/>
  <c r="U10" i="3"/>
  <c r="V10" i="3" s="1"/>
  <c r="W10" i="3" s="1"/>
  <c r="Y10" i="3" s="1"/>
  <c r="S10" i="3"/>
  <c r="D54" i="4"/>
  <c r="D46" i="4"/>
  <c r="U21" i="3"/>
  <c r="V21" i="3" s="1"/>
  <c r="W21" i="3" s="1"/>
  <c r="Y21" i="3" s="1"/>
  <c r="S21" i="3"/>
  <c r="D28" i="4"/>
  <c r="D27" i="4"/>
  <c r="O80" i="3" s="1"/>
  <c r="U17" i="3"/>
  <c r="V17" i="3" s="1"/>
  <c r="W17" i="3" s="1"/>
  <c r="Y17" i="3" s="1"/>
  <c r="S17" i="3"/>
  <c r="U19" i="3"/>
  <c r="V19" i="3" s="1"/>
  <c r="W19" i="3" s="1"/>
  <c r="Y19" i="3" s="1"/>
  <c r="S19" i="3"/>
  <c r="D81" i="4"/>
  <c r="D73" i="4"/>
  <c r="U61" i="3"/>
  <c r="V61" i="3" s="1"/>
  <c r="W61" i="3" s="1"/>
  <c r="Y61" i="3" s="1"/>
  <c r="S61" i="3"/>
  <c r="U9" i="3"/>
  <c r="V9" i="3" s="1"/>
  <c r="W9" i="3" s="1"/>
  <c r="Y9" i="3" s="1"/>
  <c r="S9" i="3"/>
  <c r="U39" i="3"/>
  <c r="V39" i="3" s="1"/>
  <c r="W39" i="3" s="1"/>
  <c r="Y39" i="3" s="1"/>
  <c r="S39" i="3"/>
  <c r="U71" i="3"/>
  <c r="V71" i="3" s="1"/>
  <c r="W71" i="3" s="1"/>
  <c r="Y71" i="3" s="1"/>
  <c r="S71" i="3"/>
  <c r="S8" i="3"/>
  <c r="U8" i="3"/>
  <c r="V8" i="3" s="1"/>
  <c r="W8" i="3" s="1"/>
  <c r="Y8" i="3" s="1"/>
  <c r="U69" i="3"/>
  <c r="V69" i="3" s="1"/>
  <c r="W69" i="3" s="1"/>
  <c r="Y69" i="3" s="1"/>
  <c r="S69" i="3"/>
  <c r="S23" i="3"/>
  <c r="U23" i="3"/>
  <c r="V23" i="3" s="1"/>
  <c r="W23" i="3" s="1"/>
  <c r="Y23" i="3" s="1"/>
  <c r="U58" i="3"/>
  <c r="V58" i="3" s="1"/>
  <c r="W58" i="3" s="1"/>
  <c r="Y58" i="3" s="1"/>
  <c r="S58" i="3"/>
  <c r="D22" i="4"/>
  <c r="O19" i="3" s="1"/>
  <c r="Q19" i="3" s="1"/>
  <c r="R19" i="3" s="1"/>
  <c r="D23" i="4"/>
  <c r="D43" i="4"/>
  <c r="U43" i="3" l="1"/>
  <c r="V43" i="3"/>
  <c r="W43" i="3" s="1"/>
  <c r="Y43" i="3" s="1"/>
  <c r="T46" i="3"/>
  <c r="V31" i="3"/>
  <c r="W31" i="3" s="1"/>
  <c r="Y31" i="3" s="1"/>
  <c r="Q40" i="3"/>
  <c r="R40" i="3" s="1"/>
  <c r="V45" i="3"/>
  <c r="W45" i="3" s="1"/>
  <c r="Y45" i="3" s="1"/>
  <c r="V32" i="3"/>
  <c r="W32" i="3" s="1"/>
  <c r="Y32" i="3" s="1"/>
  <c r="V50" i="3"/>
  <c r="W50" i="3" s="1"/>
  <c r="Y50" i="3" s="1"/>
  <c r="W40" i="3"/>
  <c r="Y40" i="3" s="1"/>
  <c r="Q18" i="3"/>
  <c r="R18" i="3" s="1"/>
  <c r="S18" i="3"/>
  <c r="S24" i="3" s="1"/>
  <c r="T58" i="3"/>
  <c r="T21" i="3"/>
  <c r="O71" i="3"/>
  <c r="Q71" i="3" s="1"/>
  <c r="O78" i="3"/>
  <c r="Q78" i="3" s="1"/>
  <c r="O32" i="3"/>
  <c r="O29" i="3"/>
  <c r="Q29" i="3" s="1"/>
  <c r="R29" i="3" s="1"/>
  <c r="O34" i="3"/>
  <c r="Q34" i="3" s="1"/>
  <c r="O30" i="3"/>
  <c r="Q30" i="3" s="1"/>
  <c r="R30" i="3" s="1"/>
  <c r="O33" i="3"/>
  <c r="Q33" i="3" s="1"/>
  <c r="O68" i="3"/>
  <c r="Q68" i="3" s="1"/>
  <c r="R68" i="3" s="1"/>
  <c r="O50" i="3"/>
  <c r="Q50" i="3" s="1"/>
  <c r="O53" i="3"/>
  <c r="Q53" i="3" s="1"/>
  <c r="O49" i="3"/>
  <c r="Q49" i="3" s="1"/>
  <c r="R49" i="3" s="1"/>
  <c r="O51" i="3"/>
  <c r="Q51" i="3" s="1"/>
  <c r="O52" i="3"/>
  <c r="Q52" i="3" s="1"/>
  <c r="O69" i="3"/>
  <c r="Q69" i="3" s="1"/>
  <c r="O36" i="3"/>
  <c r="Q36" i="3" s="1"/>
  <c r="O35" i="3"/>
  <c r="Q35" i="3" s="1"/>
  <c r="R35" i="3" s="1"/>
  <c r="O37" i="3"/>
  <c r="Q37" i="3" s="1"/>
  <c r="O38" i="3"/>
  <c r="Q38" i="3" s="1"/>
  <c r="Q16" i="3"/>
  <c r="T16" i="3" s="1"/>
  <c r="V59" i="3"/>
  <c r="W59" i="3" s="1"/>
  <c r="Y59" i="3" s="1"/>
  <c r="O66" i="3"/>
  <c r="Q66" i="3" s="1"/>
  <c r="O45" i="3"/>
  <c r="Q45" i="3" s="1"/>
  <c r="O44" i="3"/>
  <c r="Q44" i="3" s="1"/>
  <c r="O48" i="3"/>
  <c r="Q48" i="3" s="1"/>
  <c r="O47" i="3"/>
  <c r="Q47" i="3" s="1"/>
  <c r="O65" i="3"/>
  <c r="Q65" i="3" s="1"/>
  <c r="T54" i="3"/>
  <c r="T17" i="3"/>
  <c r="T61" i="3"/>
  <c r="T59" i="3"/>
  <c r="S29" i="3"/>
  <c r="S81" i="3" s="1"/>
  <c r="U29" i="3"/>
  <c r="V29" i="3" s="1"/>
  <c r="W29" i="3" s="1"/>
  <c r="Y29" i="3" s="1"/>
  <c r="T60" i="3"/>
  <c r="T62" i="3"/>
  <c r="D49" i="4"/>
  <c r="O74" i="3" s="1"/>
  <c r="Q74" i="3" s="1"/>
  <c r="T10" i="3"/>
  <c r="T9" i="3"/>
  <c r="T39" i="3"/>
  <c r="Q80" i="3"/>
  <c r="R80" i="3" s="1"/>
  <c r="O23" i="3"/>
  <c r="Q23" i="3" s="1"/>
  <c r="R23" i="3" s="1"/>
  <c r="O20" i="3"/>
  <c r="Q20" i="3" s="1"/>
  <c r="T11" i="3"/>
  <c r="T7" i="3"/>
  <c r="T8" i="3"/>
  <c r="T42" i="3"/>
  <c r="T19" i="3"/>
  <c r="T63" i="3"/>
  <c r="T64" i="3"/>
  <c r="T56" i="3"/>
  <c r="T57" i="3"/>
  <c r="T55" i="3"/>
  <c r="T40" i="3"/>
  <c r="T41" i="3"/>
  <c r="T28" i="3"/>
  <c r="T27" i="3"/>
  <c r="T15" i="3"/>
  <c r="T12" i="3"/>
  <c r="T13" i="3"/>
  <c r="T14" i="3"/>
  <c r="T22" i="3"/>
  <c r="T67" i="3"/>
  <c r="R21" i="3"/>
  <c r="D45" i="4"/>
  <c r="D53" i="4"/>
  <c r="D48" i="4"/>
  <c r="D56" i="4"/>
  <c r="T25" i="3"/>
  <c r="D47" i="4"/>
  <c r="D55" i="4"/>
  <c r="W25" i="3"/>
  <c r="Y25" i="3" s="1"/>
  <c r="V24" i="3"/>
  <c r="W6" i="3"/>
  <c r="D52" i="4"/>
  <c r="D51" i="4"/>
  <c r="R74" i="3" l="1"/>
  <c r="T74" i="3"/>
  <c r="Q31" i="3"/>
  <c r="R31" i="3" s="1"/>
  <c r="Q32" i="3"/>
  <c r="T32" i="3" s="1"/>
  <c r="T18" i="3"/>
  <c r="W24" i="3"/>
  <c r="Y6" i="3"/>
  <c r="R34" i="3"/>
  <c r="T34" i="3"/>
  <c r="R65" i="3"/>
  <c r="T65" i="3"/>
  <c r="R69" i="3"/>
  <c r="T69" i="3"/>
  <c r="R33" i="3"/>
  <c r="T33" i="3"/>
  <c r="R66" i="3"/>
  <c r="T66" i="3"/>
  <c r="R78" i="3"/>
  <c r="T78" i="3"/>
  <c r="R71" i="3"/>
  <c r="T71" i="3"/>
  <c r="O72" i="3"/>
  <c r="Q72" i="3" s="1"/>
  <c r="O73" i="3"/>
  <c r="Q73" i="3" s="1"/>
  <c r="O75" i="3"/>
  <c r="Q75" i="3" s="1"/>
  <c r="O76" i="3"/>
  <c r="Q76" i="3" s="1"/>
  <c r="O77" i="3"/>
  <c r="Q77" i="3" s="1"/>
  <c r="W81" i="3"/>
  <c r="O70" i="3"/>
  <c r="Q70" i="3" s="1"/>
  <c r="R70" i="3" s="1"/>
  <c r="O79" i="3"/>
  <c r="Q79" i="3" s="1"/>
  <c r="T68" i="3"/>
  <c r="R16" i="3"/>
  <c r="T30" i="3"/>
  <c r="V81" i="3"/>
  <c r="V82" i="3" s="1"/>
  <c r="T29" i="3"/>
  <c r="T31" i="3"/>
  <c r="T23" i="3"/>
  <c r="D79" i="4"/>
  <c r="D87" i="4"/>
  <c r="T80" i="3"/>
  <c r="Q24" i="3"/>
  <c r="T24" i="3" s="1"/>
  <c r="R20" i="3"/>
  <c r="T20" i="3"/>
  <c r="R52" i="3"/>
  <c r="T52" i="3"/>
  <c r="R53" i="3"/>
  <c r="T53" i="3"/>
  <c r="R50" i="3"/>
  <c r="T50" i="3"/>
  <c r="R51" i="3"/>
  <c r="T51" i="3"/>
  <c r="T49" i="3"/>
  <c r="R48" i="3"/>
  <c r="T48" i="3"/>
  <c r="R47" i="3"/>
  <c r="T47" i="3"/>
  <c r="R44" i="3"/>
  <c r="T44" i="3"/>
  <c r="R45" i="3"/>
  <c r="T45" i="3"/>
  <c r="R38" i="3"/>
  <c r="T38" i="3"/>
  <c r="R37" i="3"/>
  <c r="T37" i="3"/>
  <c r="R36" i="3"/>
  <c r="T36" i="3"/>
  <c r="T35" i="3"/>
  <c r="S82" i="3"/>
  <c r="D78" i="4"/>
  <c r="D86" i="4"/>
  <c r="W82" i="3" l="1"/>
  <c r="R32" i="3"/>
  <c r="R24" i="3"/>
  <c r="R76" i="3"/>
  <c r="T76" i="3"/>
  <c r="R75" i="3"/>
  <c r="T75" i="3"/>
  <c r="R73" i="3"/>
  <c r="T73" i="3"/>
  <c r="R79" i="3"/>
  <c r="T79" i="3"/>
  <c r="R77" i="3"/>
  <c r="T77" i="3"/>
  <c r="Q81" i="3"/>
  <c r="Q82" i="3" s="1"/>
  <c r="T72" i="3"/>
  <c r="R72" i="3"/>
  <c r="T70" i="3"/>
  <c r="T81" i="3" l="1"/>
  <c r="T82" i="3" s="1"/>
  <c r="S85" i="3"/>
  <c r="R85" i="3"/>
  <c r="R81" i="3"/>
  <c r="R82" i="3" l="1"/>
  <c r="B66" i="2" s="1"/>
  <c r="B67" i="2" s="1"/>
  <c r="R86" i="3"/>
  <c r="R87" i="3" s="1"/>
  <c r="R91" i="3" s="1"/>
  <c r="S86" i="3"/>
</calcChain>
</file>

<file path=xl/comments1.xml><?xml version="1.0" encoding="utf-8"?>
<comments xmlns="http://schemas.openxmlformats.org/spreadsheetml/2006/main">
  <authors>
    <author>Heather Garland</author>
  </authors>
  <commentList>
    <comment ref="G67" authorId="0" shapeId="0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Changed to 34 lbs - no commercial rate, only resi.</t>
        </r>
      </text>
    </comment>
  </commentList>
</comments>
</file>

<file path=xl/comments2.xml><?xml version="1.0" encoding="utf-8"?>
<comments xmlns="http://schemas.openxmlformats.org/spreadsheetml/2006/main">
  <authors>
    <author>Ben Thompson</author>
  </authors>
  <commentList>
    <comment ref="B28" authorId="0" shapeId="0">
      <text>
        <r>
          <rPr>
            <b/>
            <sz val="9"/>
            <color indexed="81"/>
            <rFont val="Tahoma"/>
            <family val="2"/>
          </rPr>
          <t>Ben Thompson:</t>
        </r>
        <r>
          <rPr>
            <sz val="9"/>
            <color indexed="81"/>
            <rFont val="Tahoma"/>
            <family val="2"/>
          </rPr>
          <t xml:space="preserve">
Unadjusted Meeks weights.</t>
        </r>
      </text>
    </comment>
    <comment ref="B29" authorId="0" shapeId="0">
      <text>
        <r>
          <rPr>
            <b/>
            <sz val="9"/>
            <color indexed="81"/>
            <rFont val="Tahoma"/>
            <family val="2"/>
          </rPr>
          <t>Ben Thompson:</t>
        </r>
        <r>
          <rPr>
            <sz val="9"/>
            <color indexed="81"/>
            <rFont val="Tahoma"/>
            <family val="2"/>
          </rPr>
          <t xml:space="preserve">
Unadjusted Meeks weights.</t>
        </r>
      </text>
    </comment>
  </commentList>
</comments>
</file>

<file path=xl/comments3.xml><?xml version="1.0" encoding="utf-8"?>
<comments xmlns="http://schemas.openxmlformats.org/spreadsheetml/2006/main">
  <authors>
    <author>Heather Garland</author>
  </authors>
  <commentList>
    <comment ref="K5" authorId="0" shapeId="0">
      <text>
        <r>
          <rPr>
            <b/>
            <sz val="9"/>
            <color indexed="81"/>
            <rFont val="Tahoma"/>
            <family val="2"/>
          </rPr>
          <t>Heather Garland:</t>
        </r>
        <r>
          <rPr>
            <sz val="9"/>
            <color indexed="81"/>
            <rFont val="Tahoma"/>
            <family val="2"/>
          </rPr>
          <t xml:space="preserve">
Medical Waste rate increase will be filed at a later date, pending the results of the garbage increase audit.</t>
        </r>
      </text>
    </comment>
  </commentList>
</comments>
</file>

<file path=xl/sharedStrings.xml><?xml version="1.0" encoding="utf-8"?>
<sst xmlns="http://schemas.openxmlformats.org/spreadsheetml/2006/main" count="616" uniqueCount="492">
  <si>
    <t>Total</t>
  </si>
  <si>
    <t>Service Code</t>
  </si>
  <si>
    <t>Service Code Description</t>
  </si>
  <si>
    <t>Rate</t>
  </si>
  <si>
    <t>Revenue</t>
  </si>
  <si>
    <t>Customers</t>
  </si>
  <si>
    <t>RESIDENTIAL SERVICES</t>
  </si>
  <si>
    <t>RESIDENTIAL GARBAGE</t>
  </si>
  <si>
    <t>RL020.0G1W001</t>
  </si>
  <si>
    <t>RL 20 GL 1X WK 1</t>
  </si>
  <si>
    <t>RL032.0G1M001</t>
  </si>
  <si>
    <t>RL 32 GL 1X MO 1</t>
  </si>
  <si>
    <t>RL032.0G1W001</t>
  </si>
  <si>
    <t>RL 32 GL 1X WK 1</t>
  </si>
  <si>
    <t>RL032.0G1W002</t>
  </si>
  <si>
    <t>RL 32 GL 1X WK 2</t>
  </si>
  <si>
    <t>RL032.0G1W003</t>
  </si>
  <si>
    <t>RL 32 GL 1X WK 3</t>
  </si>
  <si>
    <t>RL032.0G1W004</t>
  </si>
  <si>
    <t>RL 32 GL 1X WK 4</t>
  </si>
  <si>
    <t>RL065.0G1W001</t>
  </si>
  <si>
    <t>RL 65 GL 1X WK 1</t>
  </si>
  <si>
    <t>RL065.0G1W003</t>
  </si>
  <si>
    <t>RL 65 GL 1X WK 3</t>
  </si>
  <si>
    <t>RL090.0G1W001</t>
  </si>
  <si>
    <t>RL 90 GL 1X WK 1</t>
  </si>
  <si>
    <t>RL090.0G1W002</t>
  </si>
  <si>
    <t>RL 90 GL 1X WK 2</t>
  </si>
  <si>
    <t>RL32R-OC</t>
  </si>
  <si>
    <t>1 RL 32 GL ON CALL-RES</t>
  </si>
  <si>
    <t>RL90R-OC</t>
  </si>
  <si>
    <t>RL 90 GL ON CALL - RES</t>
  </si>
  <si>
    <t>EXTRA-RES</t>
  </si>
  <si>
    <t>EXTRA CAN, BAG, BOX-RES</t>
  </si>
  <si>
    <t>EXTRYDG-RES</t>
  </si>
  <si>
    <t>EXTRA YARDAGE - RES</t>
  </si>
  <si>
    <t>OS-RES</t>
  </si>
  <si>
    <t>OVERSIZE CAN - RES</t>
  </si>
  <si>
    <t>OW-RES</t>
  </si>
  <si>
    <t>OVERFILL/WEIGHT CAN-RES</t>
  </si>
  <si>
    <t>BULKY-RES</t>
  </si>
  <si>
    <t>BULKY ITEM PICK UP-RES</t>
  </si>
  <si>
    <t>DIST-RES</t>
  </si>
  <si>
    <t>DISTANCE FEE - RES</t>
  </si>
  <si>
    <t>REDEL-RES</t>
  </si>
  <si>
    <t>REDELIVERY FEE - RES</t>
  </si>
  <si>
    <t>REINSTATE-RES</t>
  </si>
  <si>
    <t>REINSTATE FEE - RES</t>
  </si>
  <si>
    <t>TOTAL RESIDENTIAL GARBAGE</t>
  </si>
  <si>
    <t>COMMERCIAL SERVICES</t>
  </si>
  <si>
    <t>COMMERCIAL GARBAGE</t>
  </si>
  <si>
    <t>RL001.0Y1W001</t>
  </si>
  <si>
    <t>RL 1 YD 1X WK 1</t>
  </si>
  <si>
    <t>RL001.0Y3W001</t>
  </si>
  <si>
    <t>RL 1 YD 3X WK 1</t>
  </si>
  <si>
    <t>RL001.5Y1M001</t>
  </si>
  <si>
    <t>RL 1.5 YD 1X MO 1</t>
  </si>
  <si>
    <t>RL001.5Y1W001</t>
  </si>
  <si>
    <t>RL 1.5 YD 1X WK 1</t>
  </si>
  <si>
    <t>RL001.5Y1W002</t>
  </si>
  <si>
    <t>RL 1.5 YD 1X WK 2</t>
  </si>
  <si>
    <t>RL001.5Y1W003</t>
  </si>
  <si>
    <t>RL 1.5 YD 1X WK 3</t>
  </si>
  <si>
    <t>RL001.5Y2W001</t>
  </si>
  <si>
    <t>RL 1.5 YD 2X WK 1</t>
  </si>
  <si>
    <t>RL001.5Y3W001</t>
  </si>
  <si>
    <t>RL 1.5 YD 3X WK 1</t>
  </si>
  <si>
    <t>RL002.0Y1M001</t>
  </si>
  <si>
    <t>RL 2 YD 1X MO 1</t>
  </si>
  <si>
    <t>RL002.0Y1W001</t>
  </si>
  <si>
    <t>RL 2 YD 1X WK 1</t>
  </si>
  <si>
    <t>RL002.0Y2W001</t>
  </si>
  <si>
    <t>RL 2 YD 2X WK 1</t>
  </si>
  <si>
    <t>RL002.0Y3W001</t>
  </si>
  <si>
    <t>RL 2 YD 3X WK 1</t>
  </si>
  <si>
    <t>RL003.0Y1W001</t>
  </si>
  <si>
    <t>RL 3 YD 1X WK 1</t>
  </si>
  <si>
    <t>RL003.0Y1W002</t>
  </si>
  <si>
    <t>RL 3 YD 1X WK 2</t>
  </si>
  <si>
    <t>RL003.0Y2W001</t>
  </si>
  <si>
    <t>RL 3 YD 2X WK 1</t>
  </si>
  <si>
    <t>RL003.0Y3W001</t>
  </si>
  <si>
    <t>RL 3 YD 3X WK 1</t>
  </si>
  <si>
    <t>RL004.0Y1W001</t>
  </si>
  <si>
    <t>RL 4 YD 1X WK 1</t>
  </si>
  <si>
    <t>RL004.0Y1W002</t>
  </si>
  <si>
    <t>RL 4 YD 1X WK 2</t>
  </si>
  <si>
    <t>RL004.0Y3W001</t>
  </si>
  <si>
    <t>RL 4 YD 3X WK 1</t>
  </si>
  <si>
    <t>RL004.0Y4W001</t>
  </si>
  <si>
    <t>RL 4 YD 4X WK 1</t>
  </si>
  <si>
    <t>RL006.0Y1W001</t>
  </si>
  <si>
    <t>RL 6 YD 1X WK 1</t>
  </si>
  <si>
    <t>RL006.0Y1W002</t>
  </si>
  <si>
    <t>RL 6 YD 1X WK 2</t>
  </si>
  <si>
    <t>RL006.0Y2W001</t>
  </si>
  <si>
    <t>RL 6 YD 2X WK 1</t>
  </si>
  <si>
    <t>RL006.0Y4W001</t>
  </si>
  <si>
    <t>RL 6 YD 4X WK 1</t>
  </si>
  <si>
    <t>RL008.0Y1W001</t>
  </si>
  <si>
    <t>RL 8 YD 1X WK 1</t>
  </si>
  <si>
    <t>RL008.0Y2W001</t>
  </si>
  <si>
    <t>RL 8 YD 2X WK 1</t>
  </si>
  <si>
    <t>RL032.0G1W001COMM</t>
  </si>
  <si>
    <t>RL 32 GL 1X WK COMM 1</t>
  </si>
  <si>
    <t>RL032.0G1W002COMM</t>
  </si>
  <si>
    <t>RL 32 GL 1X WK COMM 2</t>
  </si>
  <si>
    <t>RL065.0G1W001COMM</t>
  </si>
  <si>
    <t>RL 65 GL 1X WK COMM 1</t>
  </si>
  <si>
    <t>RL065.0G1W005COMM</t>
  </si>
  <si>
    <t>RL 65 GL 1X WK COMM 5</t>
  </si>
  <si>
    <t>RL090.0G1W001COMM</t>
  </si>
  <si>
    <t>RL 90 GL 1X WK COMM 1</t>
  </si>
  <si>
    <t>RL090.0G1W002COMM</t>
  </si>
  <si>
    <t>RL 90 GL 1X WK COMM 2</t>
  </si>
  <si>
    <t>RL090.0G2W001COMM</t>
  </si>
  <si>
    <t>RL 90 GL 2X WK COMM 1</t>
  </si>
  <si>
    <t>RL090.0G2W004COMM</t>
  </si>
  <si>
    <t>RL 90 GL 2X WK COMM 4</t>
  </si>
  <si>
    <t>RL32C-OC</t>
  </si>
  <si>
    <t>1 RL 32 GL ON CALL - COMM</t>
  </si>
  <si>
    <t>EXTRA-COMM</t>
  </si>
  <si>
    <t>EXTRA CAN, BAG, BOX-COMM</t>
  </si>
  <si>
    <t>OS-COMM</t>
  </si>
  <si>
    <t>OVERSIZE CAN - COMM</t>
  </si>
  <si>
    <t>OW-COMM</t>
  </si>
  <si>
    <t>OVERFILL/WEIGHT CAN-COMM</t>
  </si>
  <si>
    <t>RL1C-OC</t>
  </si>
  <si>
    <t>1 RL 1 YD ON CALL-COMM</t>
  </si>
  <si>
    <t>RL1.5C-OC</t>
  </si>
  <si>
    <t>1 RL 1.5 YD ON CALL-COMM</t>
  </si>
  <si>
    <t>RL2C-OC</t>
  </si>
  <si>
    <t>1 RL 2 YD ON CALL-COMM</t>
  </si>
  <si>
    <t>RL3C-OC</t>
  </si>
  <si>
    <t>1 RL 3 YD ON CALL-COMM</t>
  </si>
  <si>
    <t>RL4C-OC</t>
  </si>
  <si>
    <t>1 RL 4 YD ON CALL-COMM</t>
  </si>
  <si>
    <t>RL1.5TC-COMM</t>
  </si>
  <si>
    <t>RL TEMPORARY 1.5 YD-COMM</t>
  </si>
  <si>
    <t>RL1TC-COMM</t>
  </si>
  <si>
    <t>RL TEMPORARY 1 YD-COMM</t>
  </si>
  <si>
    <t>RL2TC-COMM</t>
  </si>
  <si>
    <t>RL TEMPORARY 2 YD-COMM</t>
  </si>
  <si>
    <t>RL3TC-COMM</t>
  </si>
  <si>
    <t>RL TEMPORARY 3 YD - COMM</t>
  </si>
  <si>
    <t>RL4TC-COMM</t>
  </si>
  <si>
    <t>RL TEMPORARY 4 YD-COMM</t>
  </si>
  <si>
    <t>EXTRAYDG-COMM</t>
  </si>
  <si>
    <t>EXTRA YARDAGE - COMM</t>
  </si>
  <si>
    <t>RENT1.5-COMM</t>
  </si>
  <si>
    <t>RENTAL FEE 1.5 YD COMM</t>
  </si>
  <si>
    <t>RENT1.5TEMP-COMM</t>
  </si>
  <si>
    <t xml:space="preserve">RENTAL FEE 1.5 YD TEMP - </t>
  </si>
  <si>
    <t>RENT1-COMM</t>
  </si>
  <si>
    <t>RENTAL FEE 1 YD COMM MA</t>
  </si>
  <si>
    <t>RENT1TEMP-COMM</t>
  </si>
  <si>
    <t>RENTAL FEE 1 YD TEMP - COMM</t>
  </si>
  <si>
    <t>RENT2-COMM</t>
  </si>
  <si>
    <t>RENTAL FEE 2 YD COMM</t>
  </si>
  <si>
    <t>RENT2TEMP-COMM</t>
  </si>
  <si>
    <t>RENTAL FEE 2 YD TEMP - COMM</t>
  </si>
  <si>
    <t>RENT3-COMM</t>
  </si>
  <si>
    <t>RENTAL FEE 3 YD COMM</t>
  </si>
  <si>
    <t>RENT3TEMP-COMM</t>
  </si>
  <si>
    <t>RENTAL FEE 3 YD TEMP - CO</t>
  </si>
  <si>
    <t>RENT4-COMM</t>
  </si>
  <si>
    <t>RENTAL FEE 4 YD COMM</t>
  </si>
  <si>
    <t>RENT4TEMP-COMM</t>
  </si>
  <si>
    <t>RENTAL FEE 4YD TEMP - COM</t>
  </si>
  <si>
    <t>RENT6-COMM</t>
  </si>
  <si>
    <t>RENTAL FEE 6 YD COMM</t>
  </si>
  <si>
    <t>RENT8-COMM</t>
  </si>
  <si>
    <t>RENTAL FEE 8 YD COMM</t>
  </si>
  <si>
    <t>DELTEMP-COMM</t>
  </si>
  <si>
    <t>DELIVERY FEE TEMP-COMM</t>
  </si>
  <si>
    <t>REDEL-COMM</t>
  </si>
  <si>
    <t>REDELIVERY FEE - COMM</t>
  </si>
  <si>
    <t>REINSTATE-COMM</t>
  </si>
  <si>
    <t>REINSTATE FEE - COMM</t>
  </si>
  <si>
    <t>ROLL-COMM</t>
  </si>
  <si>
    <t>ROLL OUT CHARGE - COMM</t>
  </si>
  <si>
    <t>TRIP1-COMM</t>
  </si>
  <si>
    <t>TRIP FEE - COMM</t>
  </si>
  <si>
    <t>UNLCKC</t>
  </si>
  <si>
    <t>UNLOCKING FEE - COMM</t>
  </si>
  <si>
    <t>TOTAL COMMERCIAL GARBAGE</t>
  </si>
  <si>
    <t>Monthly Factor</t>
  </si>
  <si>
    <t>Pickups:</t>
  </si>
  <si>
    <t>1 unit</t>
  </si>
  <si>
    <t>2 units</t>
  </si>
  <si>
    <t>3 units</t>
  </si>
  <si>
    <t>4 units</t>
  </si>
  <si>
    <t>5 units</t>
  </si>
  <si>
    <t>6 units</t>
  </si>
  <si>
    <t>7 unit</t>
  </si>
  <si>
    <t>5 Times per Week</t>
  </si>
  <si>
    <t>4 Times per Week</t>
  </si>
  <si>
    <t>3 Times per Week</t>
  </si>
  <si>
    <t>2 Times per Week</t>
  </si>
  <si>
    <t>Weekly Pickup (WG)</t>
  </si>
  <si>
    <t>Every Other Week (EOWG)</t>
  </si>
  <si>
    <t>Monthly (MG)</t>
  </si>
  <si>
    <t>Meeks Weights</t>
  </si>
  <si>
    <t>Res'l</t>
  </si>
  <si>
    <t>Pounds per Pickup</t>
  </si>
  <si>
    <t>20 gal minican</t>
  </si>
  <si>
    <t>1 can</t>
  </si>
  <si>
    <t>2 cans</t>
  </si>
  <si>
    <t>3 cans</t>
  </si>
  <si>
    <t>Lbs. per ton</t>
  </si>
  <si>
    <t>4 cans</t>
  </si>
  <si>
    <t>Yds. Per ton</t>
  </si>
  <si>
    <t>n/a</t>
  </si>
  <si>
    <t>5 cans</t>
  </si>
  <si>
    <t>6 cans</t>
  </si>
  <si>
    <t>Supercan 60</t>
  </si>
  <si>
    <t>Supercan 90</t>
  </si>
  <si>
    <t>Once a month</t>
  </si>
  <si>
    <t>Extras</t>
  </si>
  <si>
    <t>Com'l</t>
  </si>
  <si>
    <t>Cans</t>
  </si>
  <si>
    <t>1 yd container</t>
  </si>
  <si>
    <t>1.5 yd container</t>
  </si>
  <si>
    <t>1.5 yd container (2)</t>
  </si>
  <si>
    <t>*</t>
  </si>
  <si>
    <t>2 yd container</t>
  </si>
  <si>
    <t>3 yd container</t>
  </si>
  <si>
    <t>3 yd container (2)</t>
  </si>
  <si>
    <t>4 yd container</t>
  </si>
  <si>
    <t>4 yd container (2)</t>
  </si>
  <si>
    <t>6 yd container</t>
  </si>
  <si>
    <t>6 yd container (2)</t>
  </si>
  <si>
    <t>8 yd container</t>
  </si>
  <si>
    <t>1 yd packer/compactor</t>
  </si>
  <si>
    <t>1.5 yd packer/compactor</t>
  </si>
  <si>
    <t>2 yd packer/compactor</t>
  </si>
  <si>
    <t>3 yd packer/compactor</t>
  </si>
  <si>
    <t>4 yd packer/compactor</t>
  </si>
  <si>
    <t>5 yd packer/compactor</t>
  </si>
  <si>
    <t>6 yd packer/compactor</t>
  </si>
  <si>
    <t>8 yd packer/compactor</t>
  </si>
  <si>
    <t>Yards</t>
  </si>
  <si>
    <t>* not on meeks - calculated by staff</t>
  </si>
  <si>
    <t>Per Ton</t>
  </si>
  <si>
    <t>Per Pound</t>
  </si>
  <si>
    <t>Gross Up Factors</t>
  </si>
  <si>
    <t xml:space="preserve">Current Rate </t>
  </si>
  <si>
    <t>B&amp;O tax</t>
  </si>
  <si>
    <t>New Rate per ton</t>
  </si>
  <si>
    <t>WUTC fees</t>
  </si>
  <si>
    <t>Increase</t>
  </si>
  <si>
    <t>Bad Debts</t>
  </si>
  <si>
    <t>Factor</t>
  </si>
  <si>
    <t>Residential</t>
  </si>
  <si>
    <t>Commercial</t>
  </si>
  <si>
    <t>Monthly Customers</t>
  </si>
  <si>
    <t>Monthly Frequency</t>
  </si>
  <si>
    <t>Annual Pickups</t>
  </si>
  <si>
    <t>Calculated Annual Pounds</t>
  </si>
  <si>
    <t>Adjusted Annual Pounds</t>
  </si>
  <si>
    <t>Gross Up</t>
  </si>
  <si>
    <t>Company Current Tariff</t>
  </si>
  <si>
    <t>Company Proposed Tariff</t>
  </si>
  <si>
    <t>Company Current Revenue</t>
  </si>
  <si>
    <t xml:space="preserve">  Average Monthly Cust divide by </t>
  </si>
  <si>
    <t>Whitman County</t>
  </si>
  <si>
    <t>Increase per Ton</t>
  </si>
  <si>
    <t>Tons</t>
  </si>
  <si>
    <t>Adjustment Factor Calculation</t>
  </si>
  <si>
    <t>Total Tonnage</t>
  </si>
  <si>
    <t>Total Pounds</t>
  </si>
  <si>
    <t>Total Pick Ups</t>
  </si>
  <si>
    <t>Adjustment factor</t>
  </si>
  <si>
    <t>Oversized Unit</t>
  </si>
  <si>
    <t>Mini Can</t>
  </si>
  <si>
    <t>1 Can Weekly</t>
  </si>
  <si>
    <t>2 Can Weekly</t>
  </si>
  <si>
    <t>3 Can Weekly</t>
  </si>
  <si>
    <t>4 Can Weekly</t>
  </si>
  <si>
    <t>5 Can Weekly</t>
  </si>
  <si>
    <t>6 Can Weekly</t>
  </si>
  <si>
    <t>65 Gal Weekly</t>
  </si>
  <si>
    <t>90 Gal Weekly</t>
  </si>
  <si>
    <t xml:space="preserve">1 Can </t>
  </si>
  <si>
    <t>32 Gal Extra</t>
  </si>
  <si>
    <t>Bag</t>
  </si>
  <si>
    <t>On-Call</t>
  </si>
  <si>
    <t>Loose Material 1-4yd</t>
  </si>
  <si>
    <t>Loose Material per Yard</t>
  </si>
  <si>
    <t>Loose Material Min Charge</t>
  </si>
  <si>
    <t>1 Yard</t>
  </si>
  <si>
    <t>1.5 Yard</t>
  </si>
  <si>
    <t>2 Yard</t>
  </si>
  <si>
    <t>3 Yard</t>
  </si>
  <si>
    <t>4 Yard</t>
  </si>
  <si>
    <t>6 Yard</t>
  </si>
  <si>
    <t>8 Yard</t>
  </si>
  <si>
    <t>1 Yard - Special</t>
  </si>
  <si>
    <t>1.5 Yard - Special</t>
  </si>
  <si>
    <t>2 Yard - Special</t>
  </si>
  <si>
    <t>3 Yard - Special</t>
  </si>
  <si>
    <t>4 Yard - Special</t>
  </si>
  <si>
    <t>6 Yard - Special</t>
  </si>
  <si>
    <t>8 Yard - Special</t>
  </si>
  <si>
    <t>1 Yard - Temp</t>
  </si>
  <si>
    <t>1.5 Yard - Temp</t>
  </si>
  <si>
    <t>2 Yard - Temp</t>
  </si>
  <si>
    <t>3 Yard - Temp</t>
  </si>
  <si>
    <t>4 Yard - Temp</t>
  </si>
  <si>
    <t>6 Yard - Temp</t>
  </si>
  <si>
    <t>8 Yard - Temp</t>
  </si>
  <si>
    <t>32 Gal</t>
  </si>
  <si>
    <t>Monthly Minumum</t>
  </si>
  <si>
    <t>65 Gal</t>
  </si>
  <si>
    <t>90 Gal</t>
  </si>
  <si>
    <t>1 yard</t>
  </si>
  <si>
    <t>1.5 yard</t>
  </si>
  <si>
    <t>6  Yard</t>
  </si>
  <si>
    <t>8 yard</t>
  </si>
  <si>
    <t>1 yard - Special</t>
  </si>
  <si>
    <t>1.5 yard - Special</t>
  </si>
  <si>
    <t>6  Yard - Special</t>
  </si>
  <si>
    <t>8 yard - Special</t>
  </si>
  <si>
    <t>Whitman County TFS</t>
  </si>
  <si>
    <t>Add'l Cont</t>
  </si>
  <si>
    <t>Add'l PU's</t>
  </si>
  <si>
    <t>Company Proposed Revenue</t>
  </si>
  <si>
    <t>No Current Customers</t>
  </si>
  <si>
    <t>5 Can</t>
  </si>
  <si>
    <t>6 Can</t>
  </si>
  <si>
    <t>65 Gal Special</t>
  </si>
  <si>
    <t>90 Gal Special</t>
  </si>
  <si>
    <t>RL065.0G1W002</t>
  </si>
  <si>
    <t>RL 65 GL 1X WK 2</t>
  </si>
  <si>
    <t>DRIVEIN1-RES</t>
  </si>
  <si>
    <t xml:space="preserve">DRIVE IN 125-250' - RES </t>
  </si>
  <si>
    <t>WI1-RES</t>
  </si>
  <si>
    <t>WALK IN 5-25 FT - RES</t>
  </si>
  <si>
    <t>TIME-RES</t>
  </si>
  <si>
    <t>TIME FEE 1 - RES</t>
  </si>
  <si>
    <t>RESIDENTIAL RECYCLING</t>
  </si>
  <si>
    <t>RRECWGBG</t>
  </si>
  <si>
    <t>RESI RECYCLE WITH GARBAGE</t>
  </si>
  <si>
    <t>TOTAL RESIDENTIAL RECYCLING</t>
  </si>
  <si>
    <t>RL001.0Y1M001</t>
  </si>
  <si>
    <t>RL 1 YD 1X MO 1</t>
  </si>
  <si>
    <t>RL006.0Y5W001</t>
  </si>
  <si>
    <t>RL 6 YD 5X WEEK</t>
  </si>
  <si>
    <t>RL032.0G1W003COMM</t>
  </si>
  <si>
    <t>RL 32 GL 1X WK COMM 3</t>
  </si>
  <si>
    <t>RL065.0G1W002COMM</t>
  </si>
  <si>
    <t>RL 65 GL 1X WK COMM 2</t>
  </si>
  <si>
    <t>RL6C-OC</t>
  </si>
  <si>
    <t>1 RL 6 YD ON CALL - COMM</t>
  </si>
  <si>
    <t xml:space="preserve">DRIVEIN1-COMM </t>
  </si>
  <si>
    <t>DRIVE IN 125-250' - COMM</t>
  </si>
  <si>
    <t>COMMERCIAL RECYCLING</t>
  </si>
  <si>
    <t>RECCOMSVC1W001</t>
  </si>
  <si>
    <t>COMMERCIAL RECYCLE WEEKLY</t>
  </si>
  <si>
    <t>TOTAL COMMERCIAL RECYCLING</t>
  </si>
  <si>
    <t>MEDICAL WASTE</t>
  </si>
  <si>
    <t>HAULMED-COMM</t>
  </si>
  <si>
    <t>MEDICAL WASTE SERVICE - COMM</t>
  </si>
  <si>
    <t>TOTAL MEDICAL WASTE</t>
  </si>
  <si>
    <t>DROP BOX SERVICES</t>
  </si>
  <si>
    <t>DROP BOX HAULS/RENTAL</t>
  </si>
  <si>
    <t>HAUL25-RO</t>
  </si>
  <si>
    <t>HAUL 25 YD - RO</t>
  </si>
  <si>
    <t>HAUL25TEMP-RO</t>
  </si>
  <si>
    <t>HAUL 25 YD TEMP - RO</t>
  </si>
  <si>
    <t>HAUL40-RO</t>
  </si>
  <si>
    <t>HAUL 40 YD - RO</t>
  </si>
  <si>
    <t>HAUL40TEMP-RO</t>
  </si>
  <si>
    <t>HAUL 40 YD TEMP - RO</t>
  </si>
  <si>
    <t>RENT25MO-RO</t>
  </si>
  <si>
    <t>RENTAL FEE 25YD MONTHLY</t>
  </si>
  <si>
    <t>RENT40MO-RO</t>
  </si>
  <si>
    <t>RENTAL FEE 40 YD MONTHLY</t>
  </si>
  <si>
    <t>DEL-RO</t>
  </si>
  <si>
    <t>DELIVERY FEE - RO</t>
  </si>
  <si>
    <t>MILE-RO</t>
  </si>
  <si>
    <t>MILEAGE FEE - RO</t>
  </si>
  <si>
    <t xml:space="preserve">TOTAL DROP BOX </t>
  </si>
  <si>
    <t>PASSTHROUGH DISPOSAL</t>
  </si>
  <si>
    <t>DISP-RO</t>
  </si>
  <si>
    <t>DISPOSAL CHARGE - RO</t>
  </si>
  <si>
    <t>TOTAL PASSTHROUGH DISPOSAL</t>
  </si>
  <si>
    <t>Service Charges</t>
  </si>
  <si>
    <t>FINCHG</t>
  </si>
  <si>
    <t>FINANCE CHARGE</t>
  </si>
  <si>
    <t>RETCKC</t>
  </si>
  <si>
    <t>RETURN CHECK CHARGE</t>
  </si>
  <si>
    <t>ADJ-FIN</t>
  </si>
  <si>
    <t>ADJUSTMENT FINANCE CHARGE</t>
  </si>
  <si>
    <t>TOTAL SERVICE CHARGES</t>
  </si>
  <si>
    <t>TOTAL REVENUE</t>
  </si>
  <si>
    <t>Transfer Station</t>
  </si>
  <si>
    <t>Roll Off</t>
  </si>
  <si>
    <t>MSW</t>
  </si>
  <si>
    <t>$</t>
  </si>
  <si>
    <t>Lbs</t>
  </si>
  <si>
    <t>%</t>
  </si>
  <si>
    <t>Regulated</t>
  </si>
  <si>
    <t>Non-Regulated</t>
  </si>
  <si>
    <t>Empire Disposal, Inc. G-75</t>
  </si>
  <si>
    <t>Grossed Up Increase per ton</t>
  </si>
  <si>
    <t>Tons Collected</t>
  </si>
  <si>
    <t>Disposal Fee Revenue Increase</t>
  </si>
  <si>
    <t>Company Proposed Rates</t>
  </si>
  <si>
    <t>Res'l &amp; Com'l</t>
  </si>
  <si>
    <t>Revenue Inc from Co Proposed Rates</t>
  </si>
  <si>
    <t>Collected Revenue Excess/(Deficiency)</t>
  </si>
  <si>
    <t>Whitman Dump Fee Calculation</t>
  </si>
  <si>
    <t>Tariff Page</t>
  </si>
  <si>
    <t>Scheduled Service</t>
  </si>
  <si>
    <t>Tariff Rate Increase</t>
  </si>
  <si>
    <t>Company Calculated Rate</t>
  </si>
  <si>
    <t>Company Increased Revenue</t>
  </si>
  <si>
    <t>Check</t>
  </si>
  <si>
    <t>Revised Tariff Rate</t>
  </si>
  <si>
    <t>Revised Revenue</t>
  </si>
  <si>
    <t>Revised Revenue Increase</t>
  </si>
  <si>
    <t xml:space="preserve"> Company Over/ (Under)</t>
  </si>
  <si>
    <t>Totals</t>
  </si>
  <si>
    <t>Current Tariff Rate</t>
  </si>
  <si>
    <t>Proposed Increase</t>
  </si>
  <si>
    <t>Whitman Disposal Summary</t>
  </si>
  <si>
    <t>Item 55, Pg. 21</t>
  </si>
  <si>
    <t>Item 100, Pg. 26</t>
  </si>
  <si>
    <t>Item 100, Pg. 27</t>
  </si>
  <si>
    <t>Item 150, Pg. 30</t>
  </si>
  <si>
    <t>Item 230, Pg. 36</t>
  </si>
  <si>
    <t>Item 240, Pg. 37</t>
  </si>
  <si>
    <t>Item 245, Pg 38</t>
  </si>
  <si>
    <t>Item 255, Pg 39</t>
  </si>
  <si>
    <t>90 Gal Special PU</t>
  </si>
  <si>
    <t>65 Gal Special PU</t>
  </si>
  <si>
    <t>32 Gal Special PU</t>
  </si>
  <si>
    <t>Resi.</t>
  </si>
  <si>
    <t>Roll-Off</t>
  </si>
  <si>
    <t>Empire Dump Fee Calc References</t>
  </si>
  <si>
    <t>Comm.</t>
  </si>
  <si>
    <t>Empire Disposal Inc.</t>
  </si>
  <si>
    <t>BILL AREAS: ALBION, COLFAX, MALDEN, OAKESDALE, PALOUSE, UNIONTOWN, WHITMAN COUNTY</t>
  </si>
  <si>
    <t>Whitman Co. Regulated - Price Out</t>
  </si>
  <si>
    <t>LG Check</t>
  </si>
  <si>
    <t>Avg Cust</t>
  </si>
  <si>
    <t>Packer &amp; Roll-off</t>
  </si>
  <si>
    <t>Recycling</t>
  </si>
  <si>
    <t>Medical Waste</t>
  </si>
  <si>
    <t>Annual Increase</t>
  </si>
  <si>
    <t>Proposed</t>
  </si>
  <si>
    <t>per Month</t>
  </si>
  <si>
    <t>Tariff Rate</t>
  </si>
  <si>
    <t>Annual Revenue</t>
  </si>
  <si>
    <t>Plug to Match LG</t>
  </si>
  <si>
    <t>TRIP-RES</t>
  </si>
  <si>
    <t>TRIP FEE - RES</t>
  </si>
  <si>
    <t>RL001.0Y1W002</t>
  </si>
  <si>
    <t>RL 1 YD 1X WK 2</t>
  </si>
  <si>
    <t>RL003.0Y3W002</t>
  </si>
  <si>
    <t>RL 3 YD 3X WK 2</t>
  </si>
  <si>
    <t>RL004.0Y2W001</t>
  </si>
  <si>
    <t>RL 4 YD 2X WK 1</t>
  </si>
  <si>
    <t>RL8C-OC</t>
  </si>
  <si>
    <t>8 YD ON CALL - COMM</t>
  </si>
  <si>
    <t>RL90C-OC</t>
  </si>
  <si>
    <t>1 RL 90 GL ON CALL-COMM</t>
  </si>
  <si>
    <t>CLEAN1YD-COMM</t>
  </si>
  <si>
    <t>CONT CLEAN 1 YD - COMM</t>
  </si>
  <si>
    <t>PUREDEL1-COMM</t>
  </si>
  <si>
    <t>PU/REDEL UP TO 8 YDS - COMM</t>
  </si>
  <si>
    <t>DIST-COM</t>
  </si>
  <si>
    <t>DISTANCE FEE - COMM</t>
  </si>
  <si>
    <t>COMMERCIAL RECYCLING (NON-REG)</t>
  </si>
  <si>
    <t>HAULMEDADDL6-COMM</t>
  </si>
  <si>
    <t>MED WASTE ADDL CONT 6+</t>
  </si>
  <si>
    <t>HAULMEDADDL-COMM</t>
  </si>
  <si>
    <t>MED WASTE ADDL CONT 2-5</t>
  </si>
  <si>
    <t>Garbage Check</t>
  </si>
  <si>
    <t>Spokane Co</t>
  </si>
  <si>
    <t>Resi</t>
  </si>
  <si>
    <t>Whitman Co</t>
  </si>
  <si>
    <t>Comm</t>
  </si>
  <si>
    <t>RO</t>
  </si>
  <si>
    <t>Per LG</t>
  </si>
  <si>
    <t>Note from Heather Garland: Customer Counts and Disposal Schedule have been copied from TG-180153.</t>
  </si>
  <si>
    <t>Note from Heather Garland: Customer Counts and Disposal Schedule have been copied from TG-180153.  The information shaded gray was taken directly from the audited file.</t>
  </si>
  <si>
    <t>Jan. 1, 2017 - Dec. 31, 2017</t>
  </si>
  <si>
    <t>New 1/1/2021 Rate</t>
  </si>
  <si>
    <t>Proposed Whitman Rates Effective 1-1-2021</t>
  </si>
  <si>
    <t>Effective 1-1-2021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</si>
</sst>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General_)"/>
    <numFmt numFmtId="166" formatCode="0.0%"/>
    <numFmt numFmtId="167" formatCode="_(&quot;$&quot;* #,##0.000_);_(&quot;$&quot;* \(#,##0.000\);_(&quot;$&quot;* &quot;-&quot;??_);_(@_)"/>
    <numFmt numFmtId="168" formatCode="_(* #,##0.000000_);_(* \(#,##0.000000\);_(* &quot;-&quot;??_);_(@_)"/>
    <numFmt numFmtId="169" formatCode="_(&quot;$&quot;* #,##0.000000_);_(&quot;$&quot;* \(#,##0.000000\);_(&quot;$&quot;* &quot;-&quot;??_);_(@_)"/>
    <numFmt numFmtId="170" formatCode="0.0000%"/>
    <numFmt numFmtId="171" formatCode="0.000000"/>
    <numFmt numFmtId="172" formatCode="&quot;$&quot;#,##0\ ;\(&quot;$&quot;#,##0\)"/>
    <numFmt numFmtId="173" formatCode="_([$$-409]* #,##0.00_);_([$$-409]* \(#,##0.00\);_([$$-409]* &quot;-&quot;??_);_(@_)"/>
    <numFmt numFmtId="174" formatCode="_(&quot;$&quot;* #,##0_);_(&quot;$&quot;* \(#,##0\);_(&quot;$&quot;* &quot;-&quot;??_);_(@_)"/>
    <numFmt numFmtId="175" formatCode="mm\-yy;\-0;;@"/>
    <numFmt numFmtId="176" formatCode=".00#####;\-.00####;;@"/>
  </numFmts>
  <fonts count="1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2"/>
      <name val="Courier"/>
      <family val="3"/>
    </font>
    <font>
      <sz val="9"/>
      <color indexed="8"/>
      <name val="Arial"/>
      <family val="2"/>
    </font>
    <font>
      <sz val="10"/>
      <name val="Times New Roman"/>
      <family val="1"/>
    </font>
    <font>
      <b/>
      <sz val="10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1"/>
      <name val="Calibri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2"/>
      <name val="Helv"/>
    </font>
    <font>
      <sz val="12"/>
      <name val="Arial"/>
      <family val="2"/>
    </font>
    <font>
      <i/>
      <sz val="10"/>
      <color indexed="10"/>
      <name val="Arial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name val="Arial MT"/>
    </font>
    <font>
      <b/>
      <u/>
      <sz val="11"/>
      <name val="Arial"/>
      <family val="2"/>
    </font>
    <font>
      <b/>
      <sz val="18"/>
      <color indexed="61"/>
      <name val="Cambria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indexed="51"/>
      <name val="Calibri"/>
      <family val="2"/>
    </font>
    <font>
      <sz val="12"/>
      <name val="CG Omega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u/>
      <sz val="11"/>
      <color theme="10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 val="singleAccounting"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3366FF"/>
      <name val="Calibri"/>
      <family val="2"/>
      <scheme val="minor"/>
    </font>
    <font>
      <b/>
      <u val="singleAccounting"/>
      <sz val="10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indexed="10"/>
      <name val="Arial"/>
      <family val="2"/>
    </font>
    <font>
      <b/>
      <sz val="12"/>
      <color indexed="12"/>
      <name val="Times New Roman"/>
      <family val="1"/>
    </font>
    <font>
      <b/>
      <sz val="11"/>
      <color indexed="18"/>
      <name val="Britannic Bold"/>
      <family val="2"/>
    </font>
    <font>
      <sz val="12"/>
      <color theme="1"/>
      <name val="Calibri"/>
      <family val="2"/>
      <scheme val="minor"/>
    </font>
    <font>
      <sz val="11"/>
      <name val="Bookman Old Style"/>
      <family val="1"/>
    </font>
    <font>
      <u/>
      <sz val="10"/>
      <name val="Arial"/>
      <family val="2"/>
    </font>
    <font>
      <u/>
      <sz val="9.35"/>
      <color theme="10"/>
      <name val="Calibri"/>
      <family val="2"/>
    </font>
    <font>
      <u/>
      <sz val="8.8000000000000007"/>
      <color theme="10"/>
      <name val="Calibri"/>
      <family val="2"/>
    </font>
    <font>
      <u/>
      <sz val="7.5"/>
      <color indexed="12"/>
      <name val="Arial"/>
      <family val="2"/>
    </font>
    <font>
      <b/>
      <sz val="10"/>
      <name val="Times New Roman"/>
      <family val="1"/>
    </font>
    <font>
      <sz val="10"/>
      <color indexed="10"/>
      <name val="Arial"/>
      <family val="2"/>
    </font>
  </fonts>
  <fills count="73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48"/>
      </patternFill>
    </fill>
    <fill>
      <patternFill patternType="solid">
        <fgColor indexed="9"/>
      </patternFill>
    </fill>
    <fill>
      <patternFill patternType="solid">
        <fgColor indexed="63"/>
      </patternFill>
    </fill>
    <fill>
      <patternFill patternType="solid">
        <fgColor indexed="55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indexed="5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9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1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62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2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6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10" borderId="0" applyNumberFormat="0" applyBorder="0" applyAlignment="0" applyProtection="0"/>
    <xf numFmtId="0" fontId="4" fillId="2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6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5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5" fillId="2" borderId="0" applyNumberFormat="0" applyBorder="0" applyAlignment="0" applyProtection="0"/>
    <xf numFmtId="0" fontId="5" fillId="17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9" borderId="0" applyNumberFormat="0" applyBorder="0" applyAlignment="0" applyProtection="0"/>
    <xf numFmtId="0" fontId="5" fillId="5" borderId="0" applyNumberFormat="0" applyBorder="0" applyAlignment="0" applyProtection="0"/>
    <xf numFmtId="0" fontId="5" fillId="13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2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41" fontId="3" fillId="0" borderId="0"/>
    <xf numFmtId="41" fontId="3" fillId="0" borderId="0"/>
    <xf numFmtId="41" fontId="3" fillId="0" borderId="0"/>
    <xf numFmtId="41" fontId="3" fillId="0" borderId="0"/>
    <xf numFmtId="0" fontId="6" fillId="11" borderId="0" applyNumberFormat="0" applyBorder="0" applyAlignment="0" applyProtection="0"/>
    <xf numFmtId="0" fontId="6" fillId="7" borderId="0" applyNumberFormat="0" applyBorder="0" applyAlignment="0" applyProtection="0"/>
    <xf numFmtId="3" fontId="3" fillId="0" borderId="0"/>
    <xf numFmtId="3" fontId="3" fillId="0" borderId="0"/>
    <xf numFmtId="3" fontId="3" fillId="0" borderId="0"/>
    <xf numFmtId="3" fontId="3" fillId="0" borderId="0"/>
    <xf numFmtId="0" fontId="7" fillId="24" borderId="3" applyNumberFormat="0" applyAlignment="0" applyProtection="0"/>
    <xf numFmtId="0" fontId="7" fillId="2" borderId="3" applyNumberFormat="0" applyAlignment="0" applyProtection="0"/>
    <xf numFmtId="0" fontId="8" fillId="24" borderId="3" applyNumberFormat="0" applyAlignment="0" applyProtection="0"/>
    <xf numFmtId="0" fontId="9" fillId="25" borderId="4" applyNumberFormat="0" applyAlignment="0" applyProtection="0"/>
    <xf numFmtId="0" fontId="9" fillId="26" borderId="5" applyNumberFormat="0" applyAlignment="0" applyProtection="0"/>
    <xf numFmtId="0" fontId="3" fillId="27" borderId="0">
      <alignment horizontal="center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1" fillId="0" borderId="0"/>
    <xf numFmtId="0" fontId="12" fillId="0" borderId="0"/>
    <xf numFmtId="0" fontId="12" fillId="0" borderId="0"/>
    <xf numFmtId="0" fontId="13" fillId="28" borderId="6" applyAlignment="0">
      <alignment horizontal="right"/>
      <protection locked="0"/>
    </xf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5" fillId="29" borderId="0">
      <alignment horizontal="right"/>
      <protection locked="0"/>
    </xf>
    <xf numFmtId="14" fontId="3" fillId="0" borderId="0"/>
    <xf numFmtId="0" fontId="16" fillId="0" borderId="0" applyNumberFormat="0" applyFill="0" applyBorder="0" applyAlignment="0" applyProtection="0"/>
    <xf numFmtId="2" fontId="15" fillId="29" borderId="0">
      <alignment horizontal="right"/>
      <protection locked="0"/>
    </xf>
    <xf numFmtId="1" fontId="3" fillId="0" borderId="0">
      <alignment horizontal="center"/>
    </xf>
    <xf numFmtId="0" fontId="17" fillId="30" borderId="0" applyNumberFormat="0" applyBorder="0" applyAlignment="0" applyProtection="0"/>
    <xf numFmtId="0" fontId="17" fillId="9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8" fillId="0" borderId="9" applyNumberFormat="0" applyFill="0" applyAlignment="0" applyProtection="0"/>
    <xf numFmtId="0" fontId="20" fillId="0" borderId="10" applyNumberFormat="0" applyFill="0" applyAlignment="0" applyProtection="0"/>
    <xf numFmtId="0" fontId="21" fillId="0" borderId="10" applyNumberFormat="0" applyFill="0" applyAlignment="0" applyProtection="0"/>
    <xf numFmtId="0" fontId="20" fillId="0" borderId="11" applyNumberFormat="0" applyFill="0" applyAlignment="0" applyProtection="0"/>
    <xf numFmtId="0" fontId="22" fillId="0" borderId="12" applyNumberFormat="0" applyFill="0" applyAlignment="0" applyProtection="0"/>
    <xf numFmtId="0" fontId="23" fillId="0" borderId="13" applyNumberFormat="0" applyFill="0" applyAlignment="0" applyProtection="0"/>
    <xf numFmtId="0" fontId="22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10" borderId="3" applyNumberFormat="0" applyAlignment="0" applyProtection="0"/>
    <xf numFmtId="0" fontId="28" fillId="10" borderId="3" applyNumberFormat="0" applyAlignment="0" applyProtection="0"/>
    <xf numFmtId="3" fontId="29" fillId="31" borderId="0">
      <protection locked="0"/>
    </xf>
    <xf numFmtId="4" fontId="29" fillId="31" borderId="0">
      <protection locked="0"/>
    </xf>
    <xf numFmtId="0" fontId="30" fillId="0" borderId="15" applyNumberFormat="0" applyFill="0" applyAlignment="0" applyProtection="0"/>
    <xf numFmtId="0" fontId="31" fillId="0" borderId="16" applyNumberFormat="0" applyFill="0" applyAlignment="0" applyProtection="0"/>
    <xf numFmtId="0" fontId="32" fillId="10" borderId="0" applyNumberFormat="0" applyBorder="0" applyAlignment="0" applyProtection="0"/>
    <xf numFmtId="0" fontId="33" fillId="10" borderId="0" applyNumberFormat="0" applyBorder="0" applyAlignment="0" applyProtection="0"/>
    <xf numFmtId="43" fontId="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0" fontId="4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4" fillId="0" borderId="0"/>
    <xf numFmtId="0" fontId="11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4" fillId="0" borderId="0"/>
    <xf numFmtId="0" fontId="3" fillId="0" borderId="0"/>
    <xf numFmtId="0" fontId="3" fillId="0" borderId="0"/>
    <xf numFmtId="0" fontId="4" fillId="6" borderId="17" applyNumberFormat="0" applyFont="0" applyAlignment="0" applyProtection="0"/>
    <xf numFmtId="0" fontId="10" fillId="6" borderId="17" applyNumberFormat="0" applyFont="0" applyAlignment="0" applyProtection="0"/>
    <xf numFmtId="0" fontId="34" fillId="6" borderId="17" applyNumberFormat="0" applyFont="0" applyAlignment="0" applyProtection="0"/>
    <xf numFmtId="166" fontId="36" fillId="0" borderId="0" applyNumberFormat="0"/>
    <xf numFmtId="0" fontId="22" fillId="24" borderId="18" applyNumberFormat="0" applyAlignment="0" applyProtection="0"/>
    <xf numFmtId="0" fontId="37" fillId="24" borderId="19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 applyNumberFormat="0" applyFont="0" applyFill="0" applyBorder="0" applyAlignment="0" applyProtection="0">
      <alignment horizontal="left"/>
    </xf>
    <xf numFmtId="0" fontId="39" fillId="0" borderId="20">
      <alignment horizont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 applyNumberFormat="0" applyBorder="0" applyAlignment="0"/>
    <xf numFmtId="37" fontId="41" fillId="0" borderId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21" applyNumberFormat="0" applyFill="0" applyAlignment="0" applyProtection="0"/>
    <xf numFmtId="0" fontId="44" fillId="0" borderId="22" applyNumberFormat="0" applyFill="0" applyAlignment="0" applyProtection="0"/>
    <xf numFmtId="0" fontId="44" fillId="0" borderId="23" applyNumberFormat="0" applyFill="0" applyAlignment="0" applyProtection="0"/>
    <xf numFmtId="0" fontId="31" fillId="0" borderId="0" applyNumberFormat="0" applyFill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6" borderId="0" applyNumberFormat="0" applyBorder="0" applyAlignment="0" applyProtection="0"/>
    <xf numFmtId="0" fontId="4" fillId="5" borderId="0" applyNumberFormat="0" applyBorder="0" applyAlignment="0" applyProtection="0"/>
    <xf numFmtId="0" fontId="4" fillId="10" borderId="0" applyNumberFormat="0" applyBorder="0" applyAlignment="0" applyProtection="0"/>
    <xf numFmtId="0" fontId="5" fillId="5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47" fillId="0" borderId="0" applyNumberFormat="0" applyFont="0" applyFill="0" applyBorder="0">
      <alignment horizontal="left" indent="4"/>
      <protection locked="0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0" fontId="38" fillId="34" borderId="0" applyNumberFormat="0" applyFont="0" applyBorder="0" applyAlignment="0" applyProtection="0"/>
    <xf numFmtId="0" fontId="31" fillId="0" borderId="0" applyNumberFormat="0" applyFill="0" applyBorder="0" applyAlignment="0" applyProtection="0"/>
    <xf numFmtId="164" fontId="35" fillId="35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7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6" borderId="0" applyNumberFormat="0" applyBorder="0" applyAlignment="0" applyProtection="0"/>
    <xf numFmtId="0" fontId="5" fillId="13" borderId="0" applyNumberFormat="0" applyBorder="0" applyAlignment="0" applyProtection="0"/>
    <xf numFmtId="0" fontId="5" fillId="23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5" fillId="17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23" borderId="0" applyNumberFormat="0" applyBorder="0" applyAlignment="0" applyProtection="0"/>
    <xf numFmtId="0" fontId="5" fillId="9" borderId="0" applyNumberFormat="0" applyBorder="0" applyAlignment="0" applyProtection="0"/>
    <xf numFmtId="0" fontId="5" fillId="5" borderId="0" applyNumberFormat="0" applyBorder="0" applyAlignment="0" applyProtection="0"/>
    <xf numFmtId="0" fontId="5" fillId="13" borderId="0" applyNumberFormat="0" applyBorder="0" applyAlignment="0" applyProtection="0"/>
    <xf numFmtId="0" fontId="5" fillId="23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5" borderId="0" applyNumberFormat="0" applyBorder="0" applyAlignment="0" applyProtection="0"/>
    <xf numFmtId="0" fontId="5" fillId="21" borderId="0" applyNumberFormat="0" applyBorder="0" applyAlignment="0" applyProtection="0"/>
    <xf numFmtId="0" fontId="5" fillId="19" borderId="0" applyNumberFormat="0" applyBorder="0" applyAlignment="0" applyProtection="0"/>
    <xf numFmtId="0" fontId="5" fillId="12" borderId="0" applyNumberFormat="0" applyBorder="0" applyAlignment="0" applyProtection="0"/>
    <xf numFmtId="0" fontId="5" fillId="22" borderId="0" applyNumberFormat="0" applyBorder="0" applyAlignment="0" applyProtection="0"/>
    <xf numFmtId="0" fontId="5" fillId="15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6" fillId="7" borderId="0" applyNumberFormat="0" applyBorder="0" applyAlignment="0" applyProtection="0"/>
    <xf numFmtId="0" fontId="7" fillId="24" borderId="3" applyNumberFormat="0" applyAlignment="0" applyProtection="0"/>
    <xf numFmtId="0" fontId="50" fillId="24" borderId="3" applyNumberFormat="0" applyAlignment="0" applyProtection="0"/>
    <xf numFmtId="0" fontId="7" fillId="2" borderId="3" applyNumberFormat="0" applyAlignment="0" applyProtection="0"/>
    <xf numFmtId="0" fontId="8" fillId="24" borderId="3" applyNumberFormat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38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0" fillId="0" borderId="0" applyFont="0" applyFill="0" applyBorder="0" applyAlignment="0" applyProtection="0"/>
    <xf numFmtId="172" fontId="38" fillId="0" borderId="0" applyFont="0" applyFill="0" applyBorder="0" applyAlignment="0" applyProtection="0"/>
    <xf numFmtId="0" fontId="3" fillId="0" borderId="0"/>
    <xf numFmtId="0" fontId="17" fillId="9" borderId="0" applyNumberFormat="0" applyBorder="0" applyAlignment="0" applyProtection="0"/>
    <xf numFmtId="0" fontId="49" fillId="37" borderId="0" applyNumberFormat="0" applyBorder="0" applyAlignment="0" applyProtection="0"/>
    <xf numFmtId="0" fontId="18" fillId="0" borderId="7" applyNumberFormat="0" applyFill="0" applyAlignment="0" applyProtection="0"/>
    <xf numFmtId="0" fontId="52" fillId="0" borderId="25" applyNumberFormat="0" applyFill="0" applyAlignment="0" applyProtection="0"/>
    <xf numFmtId="0" fontId="19" fillId="0" borderId="8" applyNumberFormat="0" applyFill="0" applyAlignment="0" applyProtection="0"/>
    <xf numFmtId="0" fontId="18" fillId="0" borderId="9" applyNumberFormat="0" applyFill="0" applyAlignment="0" applyProtection="0"/>
    <xf numFmtId="0" fontId="20" fillId="0" borderId="10" applyNumberFormat="0" applyFill="0" applyAlignment="0" applyProtection="0"/>
    <xf numFmtId="0" fontId="53" fillId="0" borderId="10" applyNumberFormat="0" applyFill="0" applyAlignment="0" applyProtection="0"/>
    <xf numFmtId="0" fontId="21" fillId="0" borderId="10" applyNumberFormat="0" applyFill="0" applyAlignment="0" applyProtection="0"/>
    <xf numFmtId="0" fontId="20" fillId="0" borderId="11" applyNumberFormat="0" applyFill="0" applyAlignment="0" applyProtection="0"/>
    <xf numFmtId="0" fontId="22" fillId="0" borderId="12" applyNumberFormat="0" applyFill="0" applyAlignment="0" applyProtection="0"/>
    <xf numFmtId="0" fontId="24" fillId="0" borderId="26" applyNumberFormat="0" applyFill="0" applyAlignment="0" applyProtection="0"/>
    <xf numFmtId="0" fontId="23" fillId="0" borderId="13" applyNumberFormat="0" applyFill="0" applyAlignment="0" applyProtection="0"/>
    <xf numFmtId="0" fontId="22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0" fontId="28" fillId="10" borderId="3" applyNumberFormat="0" applyAlignment="0" applyProtection="0"/>
    <xf numFmtId="0" fontId="30" fillId="0" borderId="15" applyNumberFormat="0" applyFill="0" applyAlignment="0" applyProtection="0"/>
    <xf numFmtId="0" fontId="55" fillId="0" borderId="27" applyNumberFormat="0" applyFill="0" applyAlignment="0" applyProtection="0"/>
    <xf numFmtId="0" fontId="31" fillId="0" borderId="16" applyNumberFormat="0" applyFill="0" applyAlignment="0" applyProtection="0"/>
    <xf numFmtId="0" fontId="32" fillId="10" borderId="0" applyNumberFormat="0" applyBorder="0" applyAlignment="0" applyProtection="0"/>
    <xf numFmtId="0" fontId="56" fillId="10" borderId="0" applyNumberFormat="0" applyBorder="0" applyAlignment="0" applyProtection="0"/>
    <xf numFmtId="0" fontId="33" fillId="10" borderId="0" applyNumberFormat="0" applyBorder="0" applyAlignment="0" applyProtection="0"/>
    <xf numFmtId="0" fontId="4" fillId="0" borderId="0"/>
    <xf numFmtId="0" fontId="4" fillId="0" borderId="0"/>
    <xf numFmtId="0" fontId="3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57" fillId="0" borderId="0"/>
    <xf numFmtId="0" fontId="3" fillId="0" borderId="0"/>
    <xf numFmtId="0" fontId="1" fillId="0" borderId="0"/>
    <xf numFmtId="0" fontId="57" fillId="0" borderId="0"/>
    <xf numFmtId="0" fontId="4" fillId="0" borderId="0"/>
    <xf numFmtId="0" fontId="51" fillId="0" borderId="0"/>
    <xf numFmtId="0" fontId="3" fillId="0" borderId="0"/>
    <xf numFmtId="0" fontId="1" fillId="0" borderId="0"/>
    <xf numFmtId="0" fontId="51" fillId="0" borderId="0"/>
    <xf numFmtId="0" fontId="4" fillId="0" borderId="0"/>
    <xf numFmtId="0" fontId="1" fillId="0" borderId="0"/>
    <xf numFmtId="0" fontId="3" fillId="0" borderId="0"/>
    <xf numFmtId="0" fontId="1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165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4" fillId="0" borderId="0"/>
    <xf numFmtId="165" fontId="34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6" borderId="17" applyNumberFormat="0" applyFont="0" applyAlignment="0" applyProtection="0"/>
    <xf numFmtId="0" fontId="11" fillId="6" borderId="17" applyNumberFormat="0" applyFont="0" applyAlignment="0" applyProtection="0"/>
    <xf numFmtId="0" fontId="10" fillId="6" borderId="17" applyNumberFormat="0" applyFont="0" applyAlignment="0" applyProtection="0"/>
    <xf numFmtId="0" fontId="34" fillId="6" borderId="17" applyNumberFormat="0" applyFont="0" applyAlignment="0" applyProtection="0"/>
    <xf numFmtId="0" fontId="37" fillId="24" borderId="19" applyNumberFormat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21" applyNumberFormat="0" applyFill="0" applyAlignment="0" applyProtection="0"/>
    <xf numFmtId="0" fontId="44" fillId="0" borderId="28" applyNumberFormat="0" applyFill="0" applyAlignment="0" applyProtection="0"/>
    <xf numFmtId="0" fontId="44" fillId="0" borderId="22" applyNumberFormat="0" applyFill="0" applyAlignment="0" applyProtection="0"/>
    <xf numFmtId="0" fontId="44" fillId="0" borderId="23" applyNumberFormat="0" applyFill="0" applyAlignment="0" applyProtection="0"/>
    <xf numFmtId="0" fontId="3" fillId="0" borderId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4" fillId="4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4" fillId="2" borderId="0" applyNumberFormat="0" applyBorder="0" applyAlignment="0" applyProtection="0"/>
    <xf numFmtId="0" fontId="4" fillId="9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4" fillId="2" borderId="0" applyNumberFormat="0" applyBorder="0" applyAlignment="0" applyProtection="0"/>
    <xf numFmtId="0" fontId="4" fillId="11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4" fillId="10" borderId="0" applyNumberFormat="0" applyBorder="0" applyAlignment="0" applyProtection="0"/>
    <xf numFmtId="0" fontId="4" fillId="6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5" fillId="9" borderId="0" applyNumberFormat="0" applyBorder="0" applyAlignment="0" applyProtection="0"/>
    <xf numFmtId="0" fontId="80" fillId="49" borderId="0" applyNumberFormat="0" applyBorder="0" applyAlignment="0" applyProtection="0"/>
    <xf numFmtId="0" fontId="5" fillId="5" borderId="0" applyNumberFormat="0" applyBorder="0" applyAlignment="0" applyProtection="0"/>
    <xf numFmtId="0" fontId="5" fillId="15" borderId="0" applyNumberFormat="0" applyBorder="0" applyAlignment="0" applyProtection="0"/>
    <xf numFmtId="0" fontId="80" fillId="53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80" fillId="57" borderId="0" applyNumberFormat="0" applyBorder="0" applyAlignment="0" applyProtection="0"/>
    <xf numFmtId="0" fontId="5" fillId="2" borderId="0" applyNumberFormat="0" applyBorder="0" applyAlignment="0" applyProtection="0"/>
    <xf numFmtId="0" fontId="5" fillId="11" borderId="0" applyNumberFormat="0" applyBorder="0" applyAlignment="0" applyProtection="0"/>
    <xf numFmtId="0" fontId="80" fillId="61" borderId="0" applyNumberFormat="0" applyBorder="0" applyAlignment="0" applyProtection="0"/>
    <xf numFmtId="0" fontId="5" fillId="9" borderId="0" applyNumberFormat="0" applyBorder="0" applyAlignment="0" applyProtection="0"/>
    <xf numFmtId="0" fontId="80" fillId="65" borderId="0" applyNumberFormat="0" applyBorder="0" applyAlignment="0" applyProtection="0"/>
    <xf numFmtId="0" fontId="80" fillId="69" borderId="0" applyNumberFormat="0" applyBorder="0" applyAlignment="0" applyProtection="0"/>
    <xf numFmtId="0" fontId="5" fillId="19" borderId="0" applyNumberFormat="0" applyBorder="0" applyAlignment="0" applyProtection="0"/>
    <xf numFmtId="0" fontId="80" fillId="46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80" fillId="50" borderId="0" applyNumberFormat="0" applyBorder="0" applyAlignment="0" applyProtection="0"/>
    <xf numFmtId="0" fontId="5" fillId="12" borderId="0" applyNumberFormat="0" applyBorder="0" applyAlignment="0" applyProtection="0"/>
    <xf numFmtId="0" fontId="80" fillId="54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80" fillId="58" borderId="0" applyNumberFormat="0" applyBorder="0" applyAlignment="0" applyProtection="0"/>
    <xf numFmtId="0" fontId="5" fillId="23" borderId="0" applyNumberFormat="0" applyBorder="0" applyAlignment="0" applyProtection="0"/>
    <xf numFmtId="0" fontId="5" fillId="13" borderId="0" applyNumberFormat="0" applyBorder="0" applyAlignment="0" applyProtection="0"/>
    <xf numFmtId="0" fontId="80" fillId="62" borderId="0" applyNumberFormat="0" applyBorder="0" applyAlignment="0" applyProtection="0"/>
    <xf numFmtId="0" fontId="5" fillId="20" borderId="0" applyNumberFormat="0" applyBorder="0" applyAlignment="0" applyProtection="0"/>
    <xf numFmtId="0" fontId="80" fillId="66" borderId="0" applyNumberFormat="0" applyBorder="0" applyAlignment="0" applyProtection="0"/>
    <xf numFmtId="49" fontId="99" fillId="0" borderId="0" applyFill="0" applyBorder="0" applyAlignment="0" applyProtection="0"/>
    <xf numFmtId="0" fontId="100" fillId="0" borderId="29" applyBorder="0">
      <alignment horizontal="center" vertical="center" wrapText="1"/>
    </xf>
    <xf numFmtId="0" fontId="6" fillId="11" borderId="0" applyNumberFormat="0" applyBorder="0" applyAlignment="0" applyProtection="0"/>
    <xf numFmtId="0" fontId="6" fillId="7" borderId="0" applyNumberFormat="0" applyBorder="0" applyAlignment="0" applyProtection="0"/>
    <xf numFmtId="0" fontId="72" fillId="40" borderId="0" applyNumberFormat="0" applyBorder="0" applyAlignment="0" applyProtection="0"/>
    <xf numFmtId="0" fontId="8" fillId="24" borderId="3" applyNumberFormat="0" applyAlignment="0" applyProtection="0"/>
    <xf numFmtId="0" fontId="76" fillId="43" borderId="43" applyNumberFormat="0" applyAlignment="0" applyProtection="0"/>
    <xf numFmtId="0" fontId="9" fillId="25" borderId="4" applyNumberFormat="0" applyAlignment="0" applyProtection="0"/>
    <xf numFmtId="0" fontId="9" fillId="26" borderId="5" applyNumberFormat="0" applyAlignment="0" applyProtection="0"/>
    <xf numFmtId="0" fontId="78" fillId="44" borderId="46" applyNumberFormat="0" applyAlignment="0" applyProtection="0"/>
    <xf numFmtId="0" fontId="101" fillId="70" borderId="0" applyNumberFormat="0" applyBorder="0" applyAlignment="0" applyProtection="0">
      <alignment horizontal="center"/>
      <protection hidden="1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0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>
      <alignment wrapText="1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30" borderId="0" applyNumberFormat="0" applyBorder="0" applyAlignment="0" applyProtection="0"/>
    <xf numFmtId="0" fontId="17" fillId="9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18" fillId="0" borderId="9" applyNumberFormat="0" applyFill="0" applyAlignment="0" applyProtection="0"/>
    <xf numFmtId="0" fontId="69" fillId="0" borderId="40" applyNumberFormat="0" applyFill="0" applyAlignment="0" applyProtection="0"/>
    <xf numFmtId="0" fontId="20" fillId="0" borderId="11" applyNumberFormat="0" applyFill="0" applyAlignment="0" applyProtection="0"/>
    <xf numFmtId="0" fontId="70" fillId="0" borderId="41" applyNumberFormat="0" applyFill="0" applyAlignment="0" applyProtection="0"/>
    <xf numFmtId="0" fontId="22" fillId="0" borderId="14" applyNumberFormat="0" applyFill="0" applyAlignment="0" applyProtection="0"/>
    <xf numFmtId="0" fontId="71" fillId="0" borderId="42" applyNumberFormat="0" applyFill="0" applyAlignment="0" applyProtection="0"/>
    <xf numFmtId="0" fontId="2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104" fillId="0" borderId="0" applyNumberFormat="0" applyFill="0" applyBorder="0" applyAlignment="0" applyProtection="0">
      <alignment vertical="top"/>
      <protection locked="0"/>
    </xf>
    <xf numFmtId="0" fontId="10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>
      <alignment vertical="top"/>
      <protection locked="0"/>
    </xf>
    <xf numFmtId="0" fontId="27" fillId="10" borderId="3" applyNumberFormat="0" applyAlignment="0" applyProtection="0"/>
    <xf numFmtId="0" fontId="28" fillId="10" borderId="3" applyNumberFormat="0" applyAlignment="0" applyProtection="0"/>
    <xf numFmtId="0" fontId="28" fillId="10" borderId="3" applyNumberFormat="0" applyAlignment="0" applyProtection="0"/>
    <xf numFmtId="0" fontId="74" fillId="42" borderId="43" applyNumberFormat="0" applyAlignment="0" applyProtection="0"/>
    <xf numFmtId="0" fontId="100" fillId="0" borderId="29" applyBorder="0">
      <alignment horizontal="center" vertical="center" wrapText="1"/>
    </xf>
    <xf numFmtId="0" fontId="31" fillId="0" borderId="16" applyNumberFormat="0" applyFill="0" applyAlignment="0" applyProtection="0"/>
    <xf numFmtId="0" fontId="77" fillId="0" borderId="45" applyNumberFormat="0" applyFill="0" applyAlignment="0" applyProtection="0"/>
    <xf numFmtId="0" fontId="33" fillId="10" borderId="0" applyNumberFormat="0" applyBorder="0" applyAlignment="0" applyProtection="0"/>
    <xf numFmtId="0" fontId="73" fillId="4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8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3" fillId="0" borderId="0"/>
    <xf numFmtId="0" fontId="57" fillId="0" borderId="0"/>
    <xf numFmtId="0" fontId="34" fillId="0" borderId="0"/>
    <xf numFmtId="0" fontId="3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40" fontId="103" fillId="0" borderId="0"/>
    <xf numFmtId="0" fontId="3" fillId="0" borderId="0"/>
    <xf numFmtId="40" fontId="10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4" fillId="0" borderId="0"/>
    <xf numFmtId="0" fontId="1" fillId="0" borderId="0"/>
    <xf numFmtId="0" fontId="3" fillId="0" borderId="0">
      <alignment vertical="top"/>
    </xf>
    <xf numFmtId="0" fontId="1" fillId="0" borderId="0"/>
    <xf numFmtId="0" fontId="3" fillId="0" borderId="0">
      <alignment wrapText="1"/>
    </xf>
    <xf numFmtId="0" fontId="3" fillId="0" borderId="0">
      <alignment wrapText="1"/>
    </xf>
    <xf numFmtId="0" fontId="34" fillId="0" borderId="0"/>
    <xf numFmtId="0" fontId="11" fillId="0" borderId="0">
      <alignment vertical="top"/>
    </xf>
    <xf numFmtId="0" fontId="34" fillId="0" borderId="0"/>
    <xf numFmtId="0" fontId="1" fillId="0" borderId="0"/>
    <xf numFmtId="0" fontId="3" fillId="0" borderId="0"/>
    <xf numFmtId="0" fontId="34" fillId="0" borderId="0"/>
    <xf numFmtId="0" fontId="34" fillId="0" borderId="0"/>
    <xf numFmtId="0" fontId="1" fillId="0" borderId="0"/>
    <xf numFmtId="0" fontId="3" fillId="0" borderId="0"/>
    <xf numFmtId="0" fontId="34" fillId="0" borderId="0"/>
    <xf numFmtId="0" fontId="34" fillId="0" borderId="0"/>
    <xf numFmtId="0" fontId="1" fillId="0" borderId="0"/>
    <xf numFmtId="0" fontId="3" fillId="0" borderId="0">
      <alignment wrapText="1"/>
    </xf>
    <xf numFmtId="0" fontId="3" fillId="0" borderId="0">
      <alignment wrapText="1"/>
    </xf>
    <xf numFmtId="0" fontId="3" fillId="0" borderId="0"/>
    <xf numFmtId="0" fontId="34" fillId="0" borderId="0"/>
    <xf numFmtId="0" fontId="34" fillId="0" borderId="0"/>
    <xf numFmtId="0" fontId="1" fillId="0" borderId="0"/>
    <xf numFmtId="0" fontId="11" fillId="0" borderId="0">
      <alignment vertical="top"/>
    </xf>
    <xf numFmtId="0" fontId="3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3" fillId="0" borderId="0"/>
    <xf numFmtId="0" fontId="34" fillId="0" borderId="0"/>
    <xf numFmtId="0" fontId="11" fillId="0" borderId="0">
      <alignment vertical="top"/>
    </xf>
    <xf numFmtId="0" fontId="3" fillId="0" borderId="0"/>
    <xf numFmtId="0" fontId="1" fillId="0" borderId="0"/>
    <xf numFmtId="0" fontId="3" fillId="0" borderId="0"/>
    <xf numFmtId="0" fontId="34" fillId="0" borderId="0"/>
    <xf numFmtId="0" fontId="1" fillId="0" borderId="0"/>
    <xf numFmtId="0" fontId="3" fillId="0" borderId="0"/>
    <xf numFmtId="0" fontId="34" fillId="0" borderId="0"/>
    <xf numFmtId="0" fontId="1" fillId="0" borderId="0"/>
    <xf numFmtId="0" fontId="3" fillId="0" borderId="0"/>
    <xf numFmtId="0" fontId="4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" fillId="0" borderId="0"/>
    <xf numFmtId="0" fontId="34" fillId="0" borderId="0"/>
    <xf numFmtId="0" fontId="38" fillId="0" borderId="0"/>
    <xf numFmtId="0" fontId="1" fillId="0" borderId="0"/>
    <xf numFmtId="0" fontId="1" fillId="0" borderId="0"/>
    <xf numFmtId="0" fontId="38" fillId="0" borderId="0"/>
    <xf numFmtId="0" fontId="3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1" fillId="0" borderId="0"/>
    <xf numFmtId="0" fontId="3" fillId="0" borderId="0"/>
    <xf numFmtId="0" fontId="1" fillId="0" borderId="0"/>
    <xf numFmtId="0" fontId="34" fillId="0" borderId="0"/>
    <xf numFmtId="0" fontId="1" fillId="0" borderId="0"/>
    <xf numFmtId="0" fontId="3" fillId="0" borderId="0"/>
    <xf numFmtId="0" fontId="34" fillId="0" borderId="0"/>
    <xf numFmtId="0" fontId="1" fillId="0" borderId="0"/>
    <xf numFmtId="0" fontId="3" fillId="0" borderId="0"/>
    <xf numFmtId="0" fontId="34" fillId="0" borderId="0"/>
    <xf numFmtId="0" fontId="1" fillId="0" borderId="0"/>
    <xf numFmtId="0" fontId="3" fillId="0" borderId="0"/>
    <xf numFmtId="0" fontId="34" fillId="0" borderId="0"/>
    <xf numFmtId="0" fontId="1" fillId="0" borderId="0"/>
    <xf numFmtId="0" fontId="3" fillId="0" borderId="0"/>
    <xf numFmtId="0" fontId="34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4" fillId="0" borderId="0"/>
    <xf numFmtId="0" fontId="1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1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34" fillId="0" borderId="0"/>
    <xf numFmtId="0" fontId="3" fillId="0" borderId="0"/>
    <xf numFmtId="0" fontId="4" fillId="0" borderId="0"/>
    <xf numFmtId="0" fontId="3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4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6" borderId="17" applyNumberFormat="0" applyFont="0" applyAlignment="0" applyProtection="0"/>
    <xf numFmtId="0" fontId="4" fillId="6" borderId="17" applyNumberFormat="0" applyFont="0" applyAlignment="0" applyProtection="0"/>
    <xf numFmtId="0" fontId="1" fillId="45" borderId="47" applyNumberFormat="0" applyFont="0" applyAlignment="0" applyProtection="0"/>
    <xf numFmtId="0" fontId="1" fillId="45" borderId="47" applyNumberFormat="0" applyFont="0" applyAlignment="0" applyProtection="0"/>
    <xf numFmtId="0" fontId="22" fillId="24" borderId="18" applyNumberFormat="0" applyAlignment="0" applyProtection="0"/>
    <xf numFmtId="0" fontId="37" fillId="24" borderId="19" applyNumberFormat="0" applyAlignment="0" applyProtection="0"/>
    <xf numFmtId="0" fontId="37" fillId="24" borderId="19" applyNumberFormat="0" applyAlignment="0" applyProtection="0"/>
    <xf numFmtId="0" fontId="75" fillId="43" borderId="44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wrapText="1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>
      <alignment wrapText="1"/>
    </xf>
    <xf numFmtId="175" fontId="14" fillId="0" borderId="0">
      <alignment horizontal="center"/>
    </xf>
    <xf numFmtId="0" fontId="11" fillId="0" borderId="0" applyNumberFormat="0" applyBorder="0" applyAlignment="0"/>
    <xf numFmtId="176" fontId="108" fillId="71" borderId="0" applyFill="0" applyBorder="0" applyProtection="0">
      <alignment horizontal="center"/>
      <protection hidden="1"/>
    </xf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44" fillId="0" borderId="23" applyNumberFormat="0" applyFill="0" applyAlignment="0" applyProtection="0"/>
    <xf numFmtId="0" fontId="45" fillId="0" borderId="48" applyNumberFormat="0" applyFill="0" applyAlignment="0" applyProtection="0"/>
    <xf numFmtId="0" fontId="109" fillId="0" borderId="0">
      <alignment horizontal="center"/>
    </xf>
    <xf numFmtId="0" fontId="46" fillId="0" borderId="0" applyNumberFormat="0" applyFill="0" applyBorder="0" applyAlignment="0" applyProtection="0"/>
  </cellStyleXfs>
  <cellXfs count="285">
    <xf numFmtId="0" fontId="0" fillId="0" borderId="0" xfId="0"/>
    <xf numFmtId="0" fontId="0" fillId="0" borderId="0" xfId="0" applyFont="1"/>
    <xf numFmtId="0" fontId="0" fillId="0" borderId="6" xfId="0" applyFont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43" fontId="0" fillId="0" borderId="0" xfId="80" applyFont="1"/>
    <xf numFmtId="43" fontId="0" fillId="0" borderId="0" xfId="0" applyNumberFormat="1" applyFont="1" applyBorder="1" applyAlignment="1">
      <alignment horizontal="center"/>
    </xf>
    <xf numFmtId="43" fontId="0" fillId="0" borderId="0" xfId="0" applyNumberFormat="1" applyFont="1"/>
    <xf numFmtId="0" fontId="45" fillId="0" borderId="0" xfId="0" applyFont="1"/>
    <xf numFmtId="43" fontId="0" fillId="0" borderId="0" xfId="80" applyFont="1" applyAlignment="1">
      <alignment horizontal="center"/>
    </xf>
    <xf numFmtId="0" fontId="0" fillId="0" borderId="0" xfId="0" applyFont="1" applyAlignment="1">
      <alignment horizontal="left" indent="1"/>
    </xf>
    <xf numFmtId="164" fontId="0" fillId="0" borderId="0" xfId="80" applyNumberFormat="1" applyFont="1"/>
    <xf numFmtId="0" fontId="0" fillId="33" borderId="0" xfId="0" applyFont="1" applyFill="1" applyAlignment="1">
      <alignment horizontal="center"/>
    </xf>
    <xf numFmtId="0" fontId="46" fillId="0" borderId="0" xfId="0" applyFont="1" applyFill="1"/>
    <xf numFmtId="0" fontId="46" fillId="0" borderId="0" xfId="0" applyFont="1" applyFill="1" applyAlignment="1">
      <alignment horizontal="center"/>
    </xf>
    <xf numFmtId="0" fontId="0" fillId="32" borderId="6" xfId="0" applyFont="1" applyFill="1" applyBorder="1" applyAlignment="1">
      <alignment horizontal="center"/>
    </xf>
    <xf numFmtId="0" fontId="0" fillId="0" borderId="0" xfId="0" applyFont="1" applyBorder="1"/>
    <xf numFmtId="168" fontId="0" fillId="0" borderId="0" xfId="80" applyNumberFormat="1" applyFont="1"/>
    <xf numFmtId="168" fontId="0" fillId="0" borderId="0" xfId="80" applyNumberFormat="1" applyFont="1" applyBorder="1"/>
    <xf numFmtId="168" fontId="0" fillId="0" borderId="6" xfId="80" applyNumberFormat="1" applyFont="1" applyBorder="1"/>
    <xf numFmtId="170" fontId="0" fillId="0" borderId="0" xfId="0" applyNumberFormat="1" applyFont="1"/>
    <xf numFmtId="171" fontId="0" fillId="0" borderId="0" xfId="0" applyNumberFormat="1" applyFont="1"/>
    <xf numFmtId="0" fontId="0" fillId="0" borderId="0" xfId="0" applyFont="1" applyBorder="1" applyAlignment="1">
      <alignment horizontal="left"/>
    </xf>
    <xf numFmtId="164" fontId="0" fillId="0" borderId="0" xfId="80" applyNumberFormat="1" applyFont="1" applyFill="1" applyBorder="1"/>
    <xf numFmtId="0" fontId="45" fillId="0" borderId="0" xfId="0" applyFont="1" applyFill="1" applyBorder="1"/>
    <xf numFmtId="44" fontId="0" fillId="0" borderId="0" xfId="1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left"/>
    </xf>
    <xf numFmtId="167" fontId="0" fillId="0" borderId="0" xfId="1" applyNumberFormat="1" applyFont="1" applyFill="1" applyBorder="1"/>
    <xf numFmtId="169" fontId="0" fillId="0" borderId="0" xfId="1" applyNumberFormat="1" applyFont="1" applyFill="1" applyBorder="1"/>
    <xf numFmtId="44" fontId="0" fillId="0" borderId="0" xfId="0" applyNumberFormat="1" applyFont="1" applyFill="1" applyBorder="1"/>
    <xf numFmtId="44" fontId="45" fillId="0" borderId="0" xfId="0" applyNumberFormat="1" applyFont="1" applyFill="1" applyBorder="1"/>
    <xf numFmtId="3" fontId="0" fillId="0" borderId="0" xfId="1" applyNumberFormat="1" applyFont="1" applyFill="1" applyBorder="1"/>
    <xf numFmtId="0" fontId="0" fillId="0" borderId="0" xfId="0" applyFont="1" applyFill="1" applyBorder="1" applyAlignment="1">
      <alignment horizontal="center"/>
    </xf>
    <xf numFmtId="164" fontId="45" fillId="0" borderId="6" xfId="332" applyNumberFormat="1" applyFont="1" applyBorder="1" applyAlignment="1">
      <alignment horizontal="center"/>
    </xf>
    <xf numFmtId="164" fontId="0" fillId="0" borderId="0" xfId="332" applyNumberFormat="1" applyFont="1" applyBorder="1"/>
    <xf numFmtId="164" fontId="0" fillId="0" borderId="0" xfId="332" applyNumberFormat="1" applyFont="1" applyBorder="1" applyAlignment="1">
      <alignment horizontal="right"/>
    </xf>
    <xf numFmtId="3" fontId="0" fillId="0" borderId="0" xfId="0" applyNumberFormat="1" applyFont="1" applyFill="1" applyBorder="1"/>
    <xf numFmtId="0" fontId="45" fillId="0" borderId="0" xfId="0" applyFont="1" applyFill="1"/>
    <xf numFmtId="3" fontId="0" fillId="0" borderId="0" xfId="0" applyNumberFormat="1" applyFont="1" applyAlignment="1">
      <alignment horizontal="center"/>
    </xf>
    <xf numFmtId="0" fontId="0" fillId="36" borderId="0" xfId="0" applyFont="1" applyFill="1" applyBorder="1"/>
    <xf numFmtId="0" fontId="0" fillId="36" borderId="0" xfId="0" applyFont="1" applyFill="1" applyBorder="1" applyAlignment="1">
      <alignment horizontal="center"/>
    </xf>
    <xf numFmtId="0" fontId="45" fillId="36" borderId="0" xfId="0" applyFont="1" applyFill="1" applyBorder="1"/>
    <xf numFmtId="164" fontId="0" fillId="36" borderId="0" xfId="332" applyNumberFormat="1" applyFont="1" applyFill="1" applyBorder="1"/>
    <xf numFmtId="0" fontId="0" fillId="0" borderId="0" xfId="0" applyFont="1" applyBorder="1" applyAlignment="1">
      <alignment horizontal="center"/>
    </xf>
    <xf numFmtId="0" fontId="48" fillId="0" borderId="0" xfId="314" applyFont="1" applyBorder="1"/>
    <xf numFmtId="0" fontId="48" fillId="0" borderId="6" xfId="314" applyFont="1" applyBorder="1"/>
    <xf numFmtId="164" fontId="0" fillId="0" borderId="6" xfId="332" applyNumberFormat="1" applyFont="1" applyBorder="1"/>
    <xf numFmtId="0" fontId="48" fillId="0" borderId="24" xfId="316" applyFont="1" applyBorder="1"/>
    <xf numFmtId="164" fontId="0" fillId="0" borderId="24" xfId="332" applyNumberFormat="1" applyFont="1" applyBorder="1"/>
    <xf numFmtId="164" fontId="0" fillId="0" borderId="24" xfId="332" applyNumberFormat="1" applyFont="1" applyFill="1" applyBorder="1"/>
    <xf numFmtId="0" fontId="48" fillId="0" borderId="0" xfId="316" applyFont="1" applyBorder="1"/>
    <xf numFmtId="164" fontId="0" fillId="0" borderId="0" xfId="332" applyNumberFormat="1" applyFont="1" applyFill="1" applyBorder="1"/>
    <xf numFmtId="0" fontId="48" fillId="0" borderId="0" xfId="317" applyFont="1" applyBorder="1"/>
    <xf numFmtId="0" fontId="0" fillId="0" borderId="0" xfId="0" applyFont="1" applyAlignment="1">
      <alignment horizontal="left"/>
    </xf>
    <xf numFmtId="0" fontId="0" fillId="0" borderId="0" xfId="0" applyFont="1" applyFill="1" applyBorder="1" applyAlignment="1">
      <alignment horizontal="center" vertical="center" textRotation="90"/>
    </xf>
    <xf numFmtId="0" fontId="0" fillId="0" borderId="0" xfId="0" applyFont="1" applyFill="1"/>
    <xf numFmtId="44" fontId="0" fillId="0" borderId="0" xfId="0" applyNumberFormat="1" applyFont="1" applyFill="1"/>
    <xf numFmtId="0" fontId="0" fillId="0" borderId="0" xfId="0" applyFont="1" applyAlignment="1">
      <alignment horizontal="center"/>
    </xf>
    <xf numFmtId="43" fontId="48" fillId="0" borderId="0" xfId="462" applyNumberFormat="1" applyFont="1" applyFill="1"/>
    <xf numFmtId="10" fontId="0" fillId="0" borderId="0" xfId="2" applyNumberFormat="1" applyFont="1"/>
    <xf numFmtId="0" fontId="61" fillId="32" borderId="6" xfId="0" applyFont="1" applyFill="1" applyBorder="1" applyAlignment="1"/>
    <xf numFmtId="42" fontId="45" fillId="0" borderId="24" xfId="0" applyNumberFormat="1" applyFont="1" applyBorder="1"/>
    <xf numFmtId="3" fontId="0" fillId="32" borderId="6" xfId="0" applyNumberFormat="1" applyFont="1" applyFill="1" applyBorder="1" applyAlignment="1">
      <alignment horizontal="center"/>
    </xf>
    <xf numFmtId="0" fontId="64" fillId="0" borderId="0" xfId="0" applyFont="1" applyFill="1" applyAlignment="1">
      <alignment horizontal="left"/>
    </xf>
    <xf numFmtId="0" fontId="0" fillId="32" borderId="6" xfId="0" applyFont="1" applyFill="1" applyBorder="1"/>
    <xf numFmtId="0" fontId="45" fillId="32" borderId="6" xfId="0" applyFont="1" applyFill="1" applyBorder="1"/>
    <xf numFmtId="0" fontId="45" fillId="0" borderId="0" xfId="0" applyFont="1" applyBorder="1"/>
    <xf numFmtId="0" fontId="45" fillId="0" borderId="0" xfId="0" applyFont="1" applyFill="1" applyBorder="1"/>
    <xf numFmtId="0" fontId="0" fillId="32" borderId="6" xfId="0" applyFont="1" applyFill="1" applyBorder="1" applyAlignment="1">
      <alignment horizontal="center"/>
    </xf>
    <xf numFmtId="0" fontId="0" fillId="0" borderId="0" xfId="0" applyFont="1"/>
    <xf numFmtId="0" fontId="0" fillId="0" borderId="0" xfId="0" applyFont="1"/>
    <xf numFmtId="0" fontId="0" fillId="0" borderId="0" xfId="0" applyFont="1" applyFill="1" applyBorder="1"/>
    <xf numFmtId="42" fontId="45" fillId="0" borderId="0" xfId="0" applyNumberFormat="1" applyFont="1" applyBorder="1"/>
    <xf numFmtId="0" fontId="45" fillId="0" borderId="0" xfId="0" applyFont="1"/>
    <xf numFmtId="0" fontId="0" fillId="0" borderId="0" xfId="0" applyFont="1"/>
    <xf numFmtId="0" fontId="45" fillId="0" borderId="0" xfId="0" applyFont="1"/>
    <xf numFmtId="0" fontId="45" fillId="32" borderId="6" xfId="0" applyFont="1" applyFill="1" applyBorder="1" applyAlignment="1">
      <alignment horizontal="center" wrapText="1"/>
    </xf>
    <xf numFmtId="0" fontId="45" fillId="0" borderId="0" xfId="0" applyFont="1" applyBorder="1"/>
    <xf numFmtId="43" fontId="45" fillId="0" borderId="0" xfId="332" applyFont="1"/>
    <xf numFmtId="164" fontId="0" fillId="0" borderId="0" xfId="332" applyNumberFormat="1" applyFont="1"/>
    <xf numFmtId="164" fontId="45" fillId="32" borderId="6" xfId="332" applyNumberFormat="1" applyFont="1" applyFill="1" applyBorder="1"/>
    <xf numFmtId="164" fontId="0" fillId="32" borderId="6" xfId="332" applyNumberFormat="1" applyFont="1" applyFill="1" applyBorder="1"/>
    <xf numFmtId="164" fontId="0" fillId="0" borderId="0" xfId="332" applyNumberFormat="1" applyFont="1" applyFill="1"/>
    <xf numFmtId="164" fontId="45" fillId="0" borderId="0" xfId="332" applyNumberFormat="1" applyFont="1"/>
    <xf numFmtId="164" fontId="0" fillId="36" borderId="0" xfId="332" applyNumberFormat="1" applyFont="1" applyFill="1" applyBorder="1" applyAlignment="1">
      <alignment horizontal="right"/>
    </xf>
    <xf numFmtId="164" fontId="0" fillId="0" borderId="6" xfId="332" applyNumberFormat="1" applyFont="1" applyBorder="1" applyAlignment="1">
      <alignment horizontal="right"/>
    </xf>
    <xf numFmtId="164" fontId="0" fillId="0" borderId="24" xfId="332" applyNumberFormat="1" applyFont="1" applyBorder="1" applyAlignment="1">
      <alignment horizontal="right"/>
    </xf>
    <xf numFmtId="164" fontId="0" fillId="0" borderId="0" xfId="332" applyNumberFormat="1" applyFont="1" applyFill="1" applyBorder="1" applyAlignment="1"/>
    <xf numFmtId="43" fontId="0" fillId="0" borderId="0" xfId="332" applyNumberFormat="1" applyFont="1"/>
    <xf numFmtId="43" fontId="0" fillId="32" borderId="6" xfId="332" applyNumberFormat="1" applyFont="1" applyFill="1" applyBorder="1"/>
    <xf numFmtId="43" fontId="0" fillId="36" borderId="0" xfId="332" applyNumberFormat="1" applyFont="1" applyFill="1" applyBorder="1"/>
    <xf numFmtId="43" fontId="0" fillId="0" borderId="0" xfId="332" applyNumberFormat="1" applyFont="1" applyBorder="1"/>
    <xf numFmtId="43" fontId="0" fillId="0" borderId="6" xfId="332" applyNumberFormat="1" applyFont="1" applyBorder="1"/>
    <xf numFmtId="43" fontId="0" fillId="0" borderId="24" xfId="332" applyNumberFormat="1" applyFont="1" applyFill="1" applyBorder="1"/>
    <xf numFmtId="43" fontId="0" fillId="0" borderId="0" xfId="332" applyNumberFormat="1" applyFont="1" applyFill="1" applyBorder="1"/>
    <xf numFmtId="43" fontId="0" fillId="0" borderId="0" xfId="332" applyNumberFormat="1" applyFont="1" applyFill="1" applyBorder="1" applyAlignment="1"/>
    <xf numFmtId="173" fontId="0" fillId="0" borderId="0" xfId="0" applyNumberFormat="1" applyFont="1"/>
    <xf numFmtId="173" fontId="0" fillId="0" borderId="0" xfId="0" applyNumberFormat="1" applyFont="1" applyFill="1"/>
    <xf numFmtId="173" fontId="45" fillId="32" borderId="6" xfId="0" applyNumberFormat="1" applyFont="1" applyFill="1" applyBorder="1"/>
    <xf numFmtId="173" fontId="0" fillId="32" borderId="6" xfId="0" applyNumberFormat="1" applyFont="1" applyFill="1" applyBorder="1"/>
    <xf numFmtId="173" fontId="45" fillId="0" borderId="0" xfId="0" applyNumberFormat="1" applyFont="1"/>
    <xf numFmtId="173" fontId="0" fillId="36" borderId="0" xfId="332" applyNumberFormat="1" applyFont="1" applyFill="1" applyBorder="1"/>
    <xf numFmtId="173" fontId="0" fillId="36" borderId="0" xfId="0" applyNumberFormat="1" applyFont="1" applyFill="1" applyBorder="1"/>
    <xf numFmtId="173" fontId="0" fillId="0" borderId="0" xfId="1" applyNumberFormat="1" applyFont="1" applyBorder="1"/>
    <xf numFmtId="173" fontId="0" fillId="0" borderId="6" xfId="0" applyNumberFormat="1" applyFont="1" applyBorder="1"/>
    <xf numFmtId="173" fontId="0" fillId="0" borderId="6" xfId="1" applyNumberFormat="1" applyFont="1" applyBorder="1"/>
    <xf numFmtId="173" fontId="0" fillId="0" borderId="0" xfId="0" applyNumberFormat="1" applyFont="1" applyBorder="1"/>
    <xf numFmtId="173" fontId="0" fillId="0" borderId="24" xfId="0" applyNumberFormat="1" applyFont="1" applyBorder="1"/>
    <xf numFmtId="173" fontId="0" fillId="0" borderId="24" xfId="1" applyNumberFormat="1" applyFont="1" applyBorder="1"/>
    <xf numFmtId="173" fontId="0" fillId="0" borderId="0" xfId="1" applyNumberFormat="1" applyFont="1" applyFill="1" applyBorder="1"/>
    <xf numFmtId="173" fontId="0" fillId="0" borderId="0" xfId="0" applyNumberFormat="1"/>
    <xf numFmtId="173" fontId="0" fillId="39" borderId="0" xfId="0" applyNumberFormat="1" applyFont="1" applyFill="1"/>
    <xf numFmtId="0" fontId="60" fillId="39" borderId="37" xfId="0" applyFont="1" applyFill="1" applyBorder="1"/>
    <xf numFmtId="0" fontId="0" fillId="39" borderId="34" xfId="0" applyFont="1" applyFill="1" applyBorder="1"/>
    <xf numFmtId="0" fontId="0" fillId="39" borderId="33" xfId="0" applyFont="1" applyFill="1" applyBorder="1"/>
    <xf numFmtId="0" fontId="0" fillId="39" borderId="20" xfId="0" applyFont="1" applyFill="1" applyBorder="1"/>
    <xf numFmtId="43" fontId="48" fillId="39" borderId="0" xfId="4" quotePrefix="1" applyFont="1" applyFill="1" applyAlignment="1">
      <alignment horizontal="right"/>
    </xf>
    <xf numFmtId="43" fontId="61" fillId="39" borderId="0" xfId="4" applyFont="1" applyFill="1" applyBorder="1"/>
    <xf numFmtId="44" fontId="48" fillId="39" borderId="0" xfId="333" quotePrefix="1" applyFont="1" applyFill="1" applyAlignment="1">
      <alignment horizontal="right"/>
    </xf>
    <xf numFmtId="44" fontId="63" fillId="39" borderId="0" xfId="333" quotePrefix="1" applyFont="1" applyFill="1" applyBorder="1" applyAlignment="1">
      <alignment horizontal="right"/>
    </xf>
    <xf numFmtId="17" fontId="48" fillId="39" borderId="0" xfId="152" applyNumberFormat="1" applyFont="1" applyFill="1" applyAlignment="1">
      <alignment horizontal="left"/>
    </xf>
    <xf numFmtId="44" fontId="0" fillId="39" borderId="0" xfId="0" applyNumberFormat="1" applyFont="1" applyFill="1"/>
    <xf numFmtId="44" fontId="61" fillId="39" borderId="6" xfId="333" applyFont="1" applyFill="1" applyBorder="1" applyAlignment="1">
      <alignment horizontal="center"/>
    </xf>
    <xf numFmtId="43" fontId="0" fillId="39" borderId="0" xfId="0" applyNumberFormat="1" applyFont="1" applyFill="1" applyBorder="1"/>
    <xf numFmtId="43" fontId="61" fillId="39" borderId="31" xfId="4" applyFont="1" applyFill="1" applyBorder="1"/>
    <xf numFmtId="0" fontId="58" fillId="39" borderId="0" xfId="0" applyFont="1" applyFill="1"/>
    <xf numFmtId="0" fontId="59" fillId="39" borderId="32" xfId="0" applyFont="1" applyFill="1" applyBorder="1"/>
    <xf numFmtId="0" fontId="0" fillId="39" borderId="35" xfId="0" applyFont="1" applyFill="1" applyBorder="1"/>
    <xf numFmtId="0" fontId="0" fillId="39" borderId="36" xfId="0" applyFont="1" applyFill="1" applyBorder="1"/>
    <xf numFmtId="43" fontId="62" fillId="39" borderId="0" xfId="4" applyFont="1" applyFill="1" applyBorder="1"/>
    <xf numFmtId="44" fontId="62" fillId="39" borderId="0" xfId="333" applyFont="1" applyFill="1" applyBorder="1"/>
    <xf numFmtId="0" fontId="61" fillId="39" borderId="0" xfId="152" applyFont="1" applyFill="1"/>
    <xf numFmtId="3" fontId="0" fillId="0" borderId="0" xfId="0" applyNumberFormat="1" applyFont="1" applyFill="1" applyAlignment="1">
      <alignment horizontal="center"/>
    </xf>
    <xf numFmtId="44" fontId="48" fillId="39" borderId="0" xfId="333" applyFont="1" applyFill="1"/>
    <xf numFmtId="0" fontId="48" fillId="39" borderId="0" xfId="152" applyFont="1" applyFill="1"/>
    <xf numFmtId="43" fontId="48" fillId="39" borderId="0" xfId="4" applyFont="1" applyFill="1"/>
    <xf numFmtId="0" fontId="0" fillId="39" borderId="38" xfId="0" applyFont="1" applyFill="1" applyBorder="1"/>
    <xf numFmtId="43" fontId="61" fillId="39" borderId="6" xfId="4" applyFont="1" applyFill="1" applyBorder="1" applyAlignment="1">
      <alignment horizontal="center"/>
    </xf>
    <xf numFmtId="44" fontId="0" fillId="0" borderId="36" xfId="1" applyFont="1" applyFill="1" applyBorder="1"/>
    <xf numFmtId="43" fontId="63" fillId="39" borderId="0" xfId="4" quotePrefix="1" applyFont="1" applyFill="1" applyBorder="1" applyAlignment="1">
      <alignment horizontal="right"/>
    </xf>
    <xf numFmtId="43" fontId="0" fillId="39" borderId="6" xfId="0" applyNumberFormat="1" applyFont="1" applyFill="1" applyBorder="1"/>
    <xf numFmtId="10" fontId="0" fillId="39" borderId="0" xfId="2" applyNumberFormat="1" applyFont="1" applyFill="1" applyBorder="1"/>
    <xf numFmtId="0" fontId="0" fillId="0" borderId="24" xfId="0" applyFont="1" applyFill="1" applyBorder="1" applyAlignment="1">
      <alignment horizontal="center"/>
    </xf>
    <xf numFmtId="0" fontId="58" fillId="0" borderId="0" xfId="0" applyFont="1" applyBorder="1" applyAlignment="1"/>
    <xf numFmtId="0" fontId="45" fillId="0" borderId="0" xfId="0" applyFont="1" applyBorder="1"/>
    <xf numFmtId="43" fontId="0" fillId="0" borderId="0" xfId="332" applyFont="1"/>
    <xf numFmtId="0" fontId="0" fillId="0" borderId="0" xfId="0" applyFont="1"/>
    <xf numFmtId="10" fontId="0" fillId="0" borderId="0" xfId="2" applyNumberFormat="1" applyFont="1" applyBorder="1" applyAlignment="1">
      <alignment horizontal="right"/>
    </xf>
    <xf numFmtId="164" fontId="0" fillId="0" borderId="0" xfId="332" applyNumberFormat="1" applyFont="1" applyBorder="1" applyAlignment="1">
      <alignment horizontal="right"/>
    </xf>
    <xf numFmtId="164" fontId="0" fillId="0" borderId="0" xfId="332" applyNumberFormat="1" applyFont="1" applyBorder="1"/>
    <xf numFmtId="0" fontId="0" fillId="0" borderId="0" xfId="0" applyFont="1" applyBorder="1" applyAlignment="1">
      <alignment horizontal="center"/>
    </xf>
    <xf numFmtId="164" fontId="0" fillId="0" borderId="0" xfId="332" applyNumberFormat="1" applyFont="1" applyFill="1" applyBorder="1"/>
    <xf numFmtId="43" fontId="0" fillId="0" borderId="0" xfId="332" applyNumberFormat="1" applyFont="1" applyFill="1" applyBorder="1"/>
    <xf numFmtId="0" fontId="45" fillId="0" borderId="32" xfId="0" applyFont="1" applyBorder="1"/>
    <xf numFmtId="0" fontId="0" fillId="0" borderId="35" xfId="0" applyFont="1" applyBorder="1"/>
    <xf numFmtId="164" fontId="0" fillId="0" borderId="0" xfId="332" applyNumberFormat="1" applyFont="1" applyFill="1" applyBorder="1" applyAlignment="1">
      <alignment horizontal="right"/>
    </xf>
    <xf numFmtId="0" fontId="0" fillId="0" borderId="37" xfId="0" applyFont="1" applyBorder="1"/>
    <xf numFmtId="0" fontId="0" fillId="0" borderId="38" xfId="0" applyFont="1" applyBorder="1"/>
    <xf numFmtId="3" fontId="0" fillId="32" borderId="39" xfId="0" applyNumberFormat="1" applyFont="1" applyFill="1" applyBorder="1" applyAlignment="1">
      <alignment horizontal="center"/>
    </xf>
    <xf numFmtId="0" fontId="0" fillId="0" borderId="0" xfId="0" applyFont="1" applyFill="1"/>
    <xf numFmtId="43" fontId="45" fillId="32" borderId="0" xfId="332" applyFont="1" applyFill="1" applyBorder="1" applyAlignment="1">
      <alignment horizontal="center" wrapText="1"/>
    </xf>
    <xf numFmtId="0" fontId="45" fillId="39" borderId="6" xfId="0" applyFont="1" applyFill="1" applyBorder="1" applyAlignment="1">
      <alignment horizontal="center"/>
    </xf>
    <xf numFmtId="43" fontId="0" fillId="39" borderId="0" xfId="0" applyNumberFormat="1" applyFont="1" applyFill="1"/>
    <xf numFmtId="0" fontId="45" fillId="39" borderId="0" xfId="0" applyFont="1" applyFill="1" applyBorder="1"/>
    <xf numFmtId="0" fontId="0" fillId="39" borderId="0" xfId="0" applyFont="1" applyFill="1" applyBorder="1"/>
    <xf numFmtId="0" fontId="0" fillId="39" borderId="0" xfId="0" applyFont="1" applyFill="1"/>
    <xf numFmtId="0" fontId="0" fillId="0" borderId="0" xfId="0" applyFont="1" applyFill="1" applyBorder="1" applyAlignment="1">
      <alignment horizontal="center" vertical="center" textRotation="90"/>
    </xf>
    <xf numFmtId="44" fontId="0" fillId="0" borderId="0" xfId="1" applyFont="1" applyFill="1"/>
    <xf numFmtId="167" fontId="0" fillId="0" borderId="0" xfId="1" applyNumberFormat="1" applyFont="1" applyFill="1"/>
    <xf numFmtId="44" fontId="0" fillId="0" borderId="6" xfId="1" applyFont="1" applyFill="1" applyBorder="1"/>
    <xf numFmtId="167" fontId="0" fillId="0" borderId="6" xfId="1" applyNumberFormat="1" applyFont="1" applyFill="1" applyBorder="1"/>
    <xf numFmtId="169" fontId="0" fillId="0" borderId="0" xfId="1" applyNumberFormat="1" applyFont="1" applyFill="1"/>
    <xf numFmtId="43" fontId="0" fillId="0" borderId="0" xfId="332" applyNumberFormat="1" applyFont="1" applyFill="1"/>
    <xf numFmtId="0" fontId="0" fillId="0" borderId="0" xfId="0" applyFill="1"/>
    <xf numFmtId="10" fontId="0" fillId="0" borderId="0" xfId="2" applyNumberFormat="1" applyFont="1" applyFill="1" applyBorder="1"/>
    <xf numFmtId="44" fontId="0" fillId="0" borderId="0" xfId="0" applyNumberFormat="1" applyFont="1"/>
    <xf numFmtId="0" fontId="84" fillId="0" borderId="0" xfId="0" applyFont="1"/>
    <xf numFmtId="0" fontId="87" fillId="39" borderId="0" xfId="3" applyFont="1" applyFill="1" applyAlignment="1">
      <alignment horizontal="left"/>
    </xf>
    <xf numFmtId="0" fontId="84" fillId="39" borderId="0" xfId="0" applyFont="1" applyFill="1"/>
    <xf numFmtId="164" fontId="84" fillId="39" borderId="0" xfId="4" applyNumberFormat="1" applyFont="1" applyFill="1"/>
    <xf numFmtId="164" fontId="84" fillId="39" borderId="0" xfId="332" applyNumberFormat="1" applyFont="1" applyFill="1"/>
    <xf numFmtId="43" fontId="84" fillId="39" borderId="0" xfId="332" applyNumberFormat="1" applyFont="1" applyFill="1"/>
    <xf numFmtId="43" fontId="82" fillId="39" borderId="0" xfId="4" applyFont="1" applyFill="1" applyAlignment="1">
      <alignment horizontal="center"/>
    </xf>
    <xf numFmtId="43" fontId="82" fillId="39" borderId="0" xfId="4" applyFont="1" applyFill="1"/>
    <xf numFmtId="164" fontId="82" fillId="39" borderId="0" xfId="4" applyNumberFormat="1" applyFont="1" applyFill="1"/>
    <xf numFmtId="43" fontId="82" fillId="39" borderId="0" xfId="3" applyNumberFormat="1" applyFont="1" applyFill="1"/>
    <xf numFmtId="0" fontId="82" fillId="39" borderId="0" xfId="3" applyFont="1" applyFill="1"/>
    <xf numFmtId="164" fontId="82" fillId="39" borderId="0" xfId="332" applyNumberFormat="1" applyFont="1" applyFill="1"/>
    <xf numFmtId="43" fontId="82" fillId="39" borderId="0" xfId="332" applyNumberFormat="1" applyFont="1" applyFill="1"/>
    <xf numFmtId="0" fontId="82" fillId="39" borderId="0" xfId="3" applyFont="1" applyFill="1" applyBorder="1"/>
    <xf numFmtId="0" fontId="87" fillId="39" borderId="0" xfId="3" applyFont="1" applyFill="1" applyBorder="1" applyAlignment="1">
      <alignment horizontal="right"/>
    </xf>
    <xf numFmtId="44" fontId="92" fillId="39" borderId="1" xfId="333" applyFont="1" applyFill="1" applyBorder="1"/>
    <xf numFmtId="164" fontId="84" fillId="39" borderId="0" xfId="4" applyNumberFormat="1" applyFont="1" applyFill="1" applyBorder="1"/>
    <xf numFmtId="164" fontId="84" fillId="39" borderId="2" xfId="4" applyNumberFormat="1" applyFont="1" applyFill="1" applyBorder="1"/>
    <xf numFmtId="0" fontId="84" fillId="39" borderId="0" xfId="0" applyFont="1" applyFill="1" applyBorder="1"/>
    <xf numFmtId="164" fontId="84" fillId="39" borderId="1" xfId="332" applyNumberFormat="1" applyFont="1" applyFill="1" applyBorder="1"/>
    <xf numFmtId="43" fontId="84" fillId="39" borderId="0" xfId="332" applyNumberFormat="1" applyFont="1" applyFill="1" applyBorder="1"/>
    <xf numFmtId="43" fontId="0" fillId="0" borderId="0" xfId="332" applyFont="1" applyFill="1"/>
    <xf numFmtId="0" fontId="81" fillId="39" borderId="0" xfId="0" applyFont="1" applyFill="1"/>
    <xf numFmtId="0" fontId="92" fillId="39" borderId="0" xfId="3" applyFont="1" applyFill="1"/>
    <xf numFmtId="0" fontId="82" fillId="39" borderId="0" xfId="3" applyFont="1" applyFill="1" applyAlignment="1">
      <alignment horizontal="center"/>
    </xf>
    <xf numFmtId="0" fontId="85" fillId="39" borderId="0" xfId="3" applyFont="1" applyFill="1"/>
    <xf numFmtId="164" fontId="86" fillId="39" borderId="0" xfId="0" applyNumberFormat="1" applyFont="1" applyFill="1"/>
    <xf numFmtId="0" fontId="86" fillId="39" borderId="0" xfId="0" applyFont="1" applyFill="1"/>
    <xf numFmtId="0" fontId="83" fillId="39" borderId="0" xfId="3" applyFont="1" applyFill="1" applyAlignment="1">
      <alignment horizontal="left"/>
    </xf>
    <xf numFmtId="2" fontId="82" fillId="39" borderId="0" xfId="3" applyNumberFormat="1" applyFont="1" applyFill="1"/>
    <xf numFmtId="0" fontId="87" fillId="39" borderId="0" xfId="3" applyFont="1" applyFill="1" applyAlignment="1">
      <alignment horizontal="center" wrapText="1"/>
    </xf>
    <xf numFmtId="0" fontId="87" fillId="39" borderId="0" xfId="3" applyFont="1" applyFill="1" applyAlignment="1">
      <alignment horizontal="center"/>
    </xf>
    <xf numFmtId="1" fontId="87" fillId="39" borderId="0" xfId="3" applyNumberFormat="1" applyFont="1" applyFill="1" applyAlignment="1">
      <alignment horizontal="center"/>
    </xf>
    <xf numFmtId="0" fontId="81" fillId="39" borderId="0" xfId="0" applyFont="1" applyFill="1" applyAlignment="1">
      <alignment horizontal="center" wrapText="1"/>
    </xf>
    <xf numFmtId="0" fontId="81" fillId="39" borderId="0" xfId="0" applyFont="1" applyFill="1" applyAlignment="1">
      <alignment horizontal="center"/>
    </xf>
    <xf numFmtId="14" fontId="87" fillId="39" borderId="0" xfId="3" applyNumberFormat="1" applyFont="1" applyFill="1" applyAlignment="1">
      <alignment horizontal="center" wrapText="1"/>
    </xf>
    <xf numFmtId="10" fontId="81" fillId="39" borderId="0" xfId="2" applyNumberFormat="1" applyFont="1" applyFill="1" applyAlignment="1">
      <alignment horizontal="center" wrapText="1"/>
    </xf>
    <xf numFmtId="164" fontId="87" fillId="39" borderId="0" xfId="332" applyNumberFormat="1" applyFont="1" applyFill="1" applyAlignment="1">
      <alignment horizontal="center" wrapText="1"/>
    </xf>
    <xf numFmtId="43" fontId="81" fillId="39" borderId="0" xfId="332" applyNumberFormat="1" applyFont="1" applyFill="1" applyAlignment="1">
      <alignment horizontal="center" wrapText="1"/>
    </xf>
    <xf numFmtId="164" fontId="81" fillId="39" borderId="0" xfId="332" applyNumberFormat="1" applyFont="1" applyFill="1" applyAlignment="1">
      <alignment horizontal="center" wrapText="1"/>
    </xf>
    <xf numFmtId="0" fontId="89" fillId="39" borderId="0" xfId="0" applyFont="1" applyFill="1"/>
    <xf numFmtId="0" fontId="86" fillId="39" borderId="0" xfId="0" applyFont="1" applyFill="1" applyAlignment="1">
      <alignment horizontal="right"/>
    </xf>
    <xf numFmtId="10" fontId="86" fillId="39" borderId="0" xfId="2" applyNumberFormat="1" applyFont="1" applyFill="1"/>
    <xf numFmtId="0" fontId="90" fillId="39" borderId="0" xfId="3" applyFont="1" applyFill="1" applyAlignment="1">
      <alignment horizontal="left"/>
    </xf>
    <xf numFmtId="43" fontId="82" fillId="39" borderId="0" xfId="4" applyNumberFormat="1" applyFont="1" applyFill="1"/>
    <xf numFmtId="0" fontId="0" fillId="39" borderId="0" xfId="0" applyFill="1" applyAlignment="1">
      <alignment horizontal="left"/>
    </xf>
    <xf numFmtId="0" fontId="91" fillId="39" borderId="0" xfId="0" applyFont="1" applyFill="1"/>
    <xf numFmtId="164" fontId="82" fillId="39" borderId="0" xfId="4" applyNumberFormat="1" applyFont="1" applyFill="1" applyBorder="1"/>
    <xf numFmtId="164" fontId="82" fillId="39" borderId="2" xfId="4" applyNumberFormat="1" applyFont="1" applyFill="1" applyBorder="1"/>
    <xf numFmtId="164" fontId="82" fillId="39" borderId="1" xfId="332" applyNumberFormat="1" applyFont="1" applyFill="1" applyBorder="1"/>
    <xf numFmtId="43" fontId="82" fillId="39" borderId="0" xfId="332" applyNumberFormat="1" applyFont="1" applyFill="1" applyBorder="1"/>
    <xf numFmtId="0" fontId="90" fillId="39" borderId="0" xfId="3" applyFont="1" applyFill="1" applyAlignment="1">
      <alignment horizontal="center"/>
    </xf>
    <xf numFmtId="0" fontId="93" fillId="39" borderId="0" xfId="0" applyFont="1" applyFill="1" applyBorder="1"/>
    <xf numFmtId="43" fontId="82" fillId="39" borderId="0" xfId="3" applyNumberFormat="1" applyFont="1" applyFill="1" applyBorder="1"/>
    <xf numFmtId="0" fontId="94" fillId="39" borderId="0" xfId="3" applyFont="1" applyFill="1"/>
    <xf numFmtId="0" fontId="82" fillId="39" borderId="0" xfId="0" applyFont="1" applyFill="1" applyAlignment="1">
      <alignment vertical="top"/>
    </xf>
    <xf numFmtId="0" fontId="87" fillId="39" borderId="0" xfId="3" applyFont="1" applyFill="1" applyAlignment="1">
      <alignment horizontal="right"/>
    </xf>
    <xf numFmtId="44" fontId="92" fillId="39" borderId="0" xfId="333" applyFont="1" applyFill="1" applyBorder="1"/>
    <xf numFmtId="44" fontId="84" fillId="39" borderId="0" xfId="1" applyFont="1" applyFill="1"/>
    <xf numFmtId="164" fontId="84" fillId="39" borderId="0" xfId="0" applyNumberFormat="1" applyFont="1" applyFill="1" applyBorder="1"/>
    <xf numFmtId="164" fontId="84" fillId="39" borderId="2" xfId="0" applyNumberFormat="1" applyFont="1" applyFill="1" applyBorder="1"/>
    <xf numFmtId="0" fontId="87" fillId="39" borderId="0" xfId="3" applyFont="1" applyFill="1" applyBorder="1"/>
    <xf numFmtId="164" fontId="95" fillId="39" borderId="0" xfId="332" applyNumberFormat="1" applyFont="1" applyFill="1" applyAlignment="1">
      <alignment horizontal="center"/>
    </xf>
    <xf numFmtId="164" fontId="81" fillId="39" borderId="0" xfId="332" applyNumberFormat="1" applyFont="1" applyFill="1" applyBorder="1" applyAlignment="1">
      <alignment horizontal="right"/>
    </xf>
    <xf numFmtId="174" fontId="82" fillId="39" borderId="0" xfId="1" applyNumberFormat="1" applyFont="1" applyFill="1"/>
    <xf numFmtId="43" fontId="82" fillId="39" borderId="0" xfId="3" applyNumberFormat="1" applyFont="1" applyFill="1" applyAlignment="1">
      <alignment horizontal="right"/>
    </xf>
    <xf numFmtId="0" fontId="81" fillId="39" borderId="0" xfId="0" applyFont="1" applyFill="1" applyAlignment="1">
      <alignment horizontal="right"/>
    </xf>
    <xf numFmtId="174" fontId="82" fillId="39" borderId="6" xfId="1" applyNumberFormat="1" applyFont="1" applyFill="1" applyBorder="1"/>
    <xf numFmtId="43" fontId="84" fillId="39" borderId="0" xfId="332" applyNumberFormat="1" applyFont="1" applyFill="1" applyAlignment="1">
      <alignment horizontal="right"/>
    </xf>
    <xf numFmtId="174" fontId="81" fillId="39" borderId="0" xfId="1" applyNumberFormat="1" applyFont="1" applyFill="1"/>
    <xf numFmtId="164" fontId="84" fillId="39" borderId="6" xfId="332" applyNumberFormat="1" applyFont="1" applyFill="1" applyBorder="1"/>
    <xf numFmtId="0" fontId="96" fillId="39" borderId="0" xfId="0" applyFont="1" applyFill="1" applyAlignment="1">
      <alignment horizontal="right"/>
    </xf>
    <xf numFmtId="0" fontId="97" fillId="39" borderId="0" xfId="0" applyFont="1" applyFill="1"/>
    <xf numFmtId="174" fontId="96" fillId="39" borderId="0" xfId="1" applyNumberFormat="1" applyFont="1" applyFill="1"/>
    <xf numFmtId="174" fontId="84" fillId="39" borderId="0" xfId="1" applyNumberFormat="1" applyFont="1" applyFill="1"/>
    <xf numFmtId="0" fontId="87" fillId="39" borderId="0" xfId="3" applyFont="1" applyFill="1"/>
    <xf numFmtId="0" fontId="98" fillId="39" borderId="0" xfId="0" applyFont="1" applyFill="1" applyAlignment="1">
      <alignment horizontal="right"/>
    </xf>
    <xf numFmtId="43" fontId="84" fillId="39" borderId="0" xfId="0" applyNumberFormat="1" applyFont="1" applyFill="1"/>
    <xf numFmtId="44" fontId="84" fillId="39" borderId="0" xfId="0" applyNumberFormat="1" applyFont="1" applyFill="1"/>
    <xf numFmtId="0" fontId="93" fillId="39" borderId="0" xfId="0" applyFont="1" applyFill="1"/>
    <xf numFmtId="0" fontId="92" fillId="32" borderId="6" xfId="0" applyFont="1" applyFill="1" applyBorder="1" applyAlignment="1"/>
    <xf numFmtId="164" fontId="81" fillId="32" borderId="6" xfId="332" applyNumberFormat="1" applyFont="1" applyFill="1" applyBorder="1"/>
    <xf numFmtId="43" fontId="84" fillId="32" borderId="6" xfId="332" applyNumberFormat="1" applyFont="1" applyFill="1" applyBorder="1"/>
    <xf numFmtId="164" fontId="84" fillId="32" borderId="6" xfId="332" applyNumberFormat="1" applyFont="1" applyFill="1" applyBorder="1"/>
    <xf numFmtId="173" fontId="81" fillId="32" borderId="6" xfId="0" applyNumberFormat="1" applyFont="1" applyFill="1" applyBorder="1"/>
    <xf numFmtId="173" fontId="84" fillId="32" borderId="6" xfId="0" applyNumberFormat="1" applyFont="1" applyFill="1" applyBorder="1"/>
    <xf numFmtId="0" fontId="0" fillId="32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0" fontId="45" fillId="32" borderId="6" xfId="0" applyFont="1" applyFill="1" applyBorder="1" applyAlignment="1">
      <alignment horizontal="center"/>
    </xf>
    <xf numFmtId="0" fontId="0" fillId="32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textRotation="90"/>
    </xf>
    <xf numFmtId="0" fontId="0" fillId="0" borderId="6" xfId="0" applyFont="1" applyFill="1" applyBorder="1" applyAlignment="1">
      <alignment horizontal="center" vertical="center" textRotation="90"/>
    </xf>
    <xf numFmtId="0" fontId="0" fillId="0" borderId="24" xfId="0" applyFont="1" applyFill="1" applyBorder="1" applyAlignment="1">
      <alignment horizontal="center" vertical="center" textRotation="90" wrapText="1"/>
    </xf>
    <xf numFmtId="0" fontId="0" fillId="0" borderId="0" xfId="0" applyFont="1" applyFill="1" applyBorder="1" applyAlignment="1">
      <alignment horizontal="center" vertical="center" textRotation="90" wrapText="1"/>
    </xf>
    <xf numFmtId="0" fontId="0" fillId="0" borderId="24" xfId="0" applyFont="1" applyFill="1" applyBorder="1" applyAlignment="1">
      <alignment horizontal="center" vertical="center" textRotation="90"/>
    </xf>
    <xf numFmtId="0" fontId="58" fillId="39" borderId="0" xfId="0" applyFont="1" applyFill="1" applyBorder="1" applyAlignment="1">
      <alignment horizontal="left" wrapText="1"/>
    </xf>
    <xf numFmtId="43" fontId="61" fillId="39" borderId="29" xfId="4" applyFont="1" applyFill="1" applyBorder="1" applyAlignment="1">
      <alignment horizontal="center"/>
    </xf>
    <xf numFmtId="43" fontId="61" fillId="39" borderId="1" xfId="4" applyFont="1" applyFill="1" applyBorder="1" applyAlignment="1">
      <alignment horizontal="center"/>
    </xf>
    <xf numFmtId="43" fontId="61" fillId="39" borderId="30" xfId="4" applyFont="1" applyFill="1" applyBorder="1" applyAlignment="1">
      <alignment horizontal="center"/>
    </xf>
    <xf numFmtId="0" fontId="61" fillId="39" borderId="29" xfId="152" applyFont="1" applyFill="1" applyBorder="1" applyAlignment="1">
      <alignment horizontal="center"/>
    </xf>
    <xf numFmtId="0" fontId="61" fillId="39" borderId="30" xfId="152" applyFont="1" applyFill="1" applyBorder="1" applyAlignment="1">
      <alignment horizontal="center"/>
    </xf>
    <xf numFmtId="43" fontId="67" fillId="39" borderId="0" xfId="4" applyFont="1" applyFill="1" applyAlignment="1">
      <alignment horizontal="center"/>
    </xf>
    <xf numFmtId="0" fontId="61" fillId="39" borderId="0" xfId="152" applyFont="1" applyFill="1" applyBorder="1" applyAlignment="1">
      <alignment horizontal="center"/>
    </xf>
    <xf numFmtId="164" fontId="81" fillId="39" borderId="0" xfId="332" applyNumberFormat="1" applyFont="1" applyFill="1" applyAlignment="1">
      <alignment horizontal="center" wrapText="1"/>
    </xf>
    <xf numFmtId="164" fontId="88" fillId="39" borderId="0" xfId="332" applyNumberFormat="1" applyFont="1" applyFill="1" applyBorder="1" applyAlignment="1">
      <alignment horizontal="center"/>
    </xf>
    <xf numFmtId="44" fontId="0" fillId="0" borderId="0" xfId="1" applyFont="1"/>
    <xf numFmtId="0" fontId="0" fillId="72" borderId="0" xfId="0" applyFill="1"/>
    <xf numFmtId="0" fontId="0" fillId="72" borderId="0" xfId="0" applyFont="1" applyFill="1"/>
    <xf numFmtId="43" fontId="0" fillId="72" borderId="0" xfId="332" applyFont="1" applyFill="1"/>
  </cellXfs>
  <cellStyles count="1262">
    <cellStyle name="20% - Accent1 2" xfId="6"/>
    <cellStyle name="20% - Accent1 2 2" xfId="334"/>
    <cellStyle name="20% - Accent1 2 3" xfId="335"/>
    <cellStyle name="20% - Accent1 2 4" xfId="564"/>
    <cellStyle name="20% - Accent1 3" xfId="7"/>
    <cellStyle name="20% - Accent1 3 2" xfId="336"/>
    <cellStyle name="20% - Accent1 3 3" xfId="337"/>
    <cellStyle name="20% - Accent1 4" xfId="8"/>
    <cellStyle name="20% - Accent1 4 2" xfId="565"/>
    <cellStyle name="20% - Accent1 5" xfId="566"/>
    <cellStyle name="20% - Accent2 2" xfId="9"/>
    <cellStyle name="20% - Accent2 3" xfId="297"/>
    <cellStyle name="20% - Accent2 3 2" xfId="338"/>
    <cellStyle name="20% - Accent2 4" xfId="567"/>
    <cellStyle name="20% - Accent2 5" xfId="568"/>
    <cellStyle name="20% - Accent3 2" xfId="10"/>
    <cellStyle name="20% - Accent3 3" xfId="298"/>
    <cellStyle name="20% - Accent3 3 2" xfId="339"/>
    <cellStyle name="20% - Accent3 4" xfId="569"/>
    <cellStyle name="20% - Accent3 5" xfId="570"/>
    <cellStyle name="20% - Accent4 2" xfId="11"/>
    <cellStyle name="20% - Accent4 2 2" xfId="340"/>
    <cellStyle name="20% - Accent4 2 3" xfId="341"/>
    <cellStyle name="20% - Accent4 3" xfId="12"/>
    <cellStyle name="20% - Accent4 3 2" xfId="342"/>
    <cellStyle name="20% - Accent4 3 3" xfId="343"/>
    <cellStyle name="20% - Accent4 4" xfId="13"/>
    <cellStyle name="20% - Accent4 4 2" xfId="571"/>
    <cellStyle name="20% - Accent4 5" xfId="572"/>
    <cellStyle name="20% - Accent5 2" xfId="14"/>
    <cellStyle name="20% - Accent5 3" xfId="299"/>
    <cellStyle name="20% - Accent5 4" xfId="573"/>
    <cellStyle name="20% - Accent5 5" xfId="574"/>
    <cellStyle name="20% - Accent6 2" xfId="15"/>
    <cellStyle name="20% - Accent6 3" xfId="300"/>
    <cellStyle name="20% - Accent6 3 2" xfId="344"/>
    <cellStyle name="20% - Accent6 4" xfId="575"/>
    <cellStyle name="20% - Accent6 5" xfId="576"/>
    <cellStyle name="40% - Accent1 2" xfId="16"/>
    <cellStyle name="40% - Accent1 2 2" xfId="577"/>
    <cellStyle name="40% - Accent1 2 3" xfId="578"/>
    <cellStyle name="40% - Accent1 3" xfId="17"/>
    <cellStyle name="40% - Accent1 3 2" xfId="345"/>
    <cellStyle name="40% - Accent1 3 3" xfId="346"/>
    <cellStyle name="40% - Accent1 4" xfId="18"/>
    <cellStyle name="40% - Accent1 4 2" xfId="579"/>
    <cellStyle name="40% - Accent1 5" xfId="580"/>
    <cellStyle name="40% - Accent2 2" xfId="19"/>
    <cellStyle name="40% - Accent2 3" xfId="301"/>
    <cellStyle name="40% - Accent2 4" xfId="581"/>
    <cellStyle name="40% - Accent2 5" xfId="582"/>
    <cellStyle name="40% - Accent3 2" xfId="20"/>
    <cellStyle name="40% - Accent3 3" xfId="302"/>
    <cellStyle name="40% - Accent3 3 2" xfId="347"/>
    <cellStyle name="40% - Accent3 4" xfId="583"/>
    <cellStyle name="40% - Accent3 5" xfId="584"/>
    <cellStyle name="40% - Accent4 2" xfId="21"/>
    <cellStyle name="40% - Accent4 2 2" xfId="585"/>
    <cellStyle name="40% - Accent4 2 3" xfId="586"/>
    <cellStyle name="40% - Accent4 3" xfId="22"/>
    <cellStyle name="40% - Accent4 3 2" xfId="348"/>
    <cellStyle name="40% - Accent4 3 3" xfId="349"/>
    <cellStyle name="40% - Accent4 4" xfId="23"/>
    <cellStyle name="40% - Accent4 4 2" xfId="587"/>
    <cellStyle name="40% - Accent4 5" xfId="588"/>
    <cellStyle name="40% - Accent5 2" xfId="24"/>
    <cellStyle name="40% - Accent5 2 2" xfId="589"/>
    <cellStyle name="40% - Accent5 2 3" xfId="590"/>
    <cellStyle name="40% - Accent5 3" xfId="25"/>
    <cellStyle name="40% - Accent5 3 2" xfId="350"/>
    <cellStyle name="40% - Accent5 4" xfId="591"/>
    <cellStyle name="40% - Accent5 5" xfId="592"/>
    <cellStyle name="40% - Accent6 2" xfId="26"/>
    <cellStyle name="40% - Accent6 2 2" xfId="593"/>
    <cellStyle name="40% - Accent6 2 3" xfId="594"/>
    <cellStyle name="40% - Accent6 3" xfId="27"/>
    <cellStyle name="40% - Accent6 3 2" xfId="351"/>
    <cellStyle name="40% - Accent6 3 3" xfId="352"/>
    <cellStyle name="40% - Accent6 4" xfId="28"/>
    <cellStyle name="40% - Accent6 4 2" xfId="595"/>
    <cellStyle name="40% - Accent6 5" xfId="596"/>
    <cellStyle name="60% - Accent1 2" xfId="29"/>
    <cellStyle name="60% - Accent1 2 2" xfId="353"/>
    <cellStyle name="60% - Accent1 2 3" xfId="354"/>
    <cellStyle name="60% - Accent1 2 4" xfId="597"/>
    <cellStyle name="60% - Accent1 3" xfId="30"/>
    <cellStyle name="60% - Accent1 3 2" xfId="355"/>
    <cellStyle name="60% - Accent1 3 3" xfId="356"/>
    <cellStyle name="60% - Accent1 4" xfId="31"/>
    <cellStyle name="60% - Accent1 4 2" xfId="598"/>
    <cellStyle name="60% - Accent2 2" xfId="32"/>
    <cellStyle name="60% - Accent2 2 2" xfId="599"/>
    <cellStyle name="60% - Accent2 2 3" xfId="600"/>
    <cellStyle name="60% - Accent2 3" xfId="33"/>
    <cellStyle name="60% - Accent2 3 2" xfId="357"/>
    <cellStyle name="60% - Accent2 4" xfId="601"/>
    <cellStyle name="60% - Accent3 2" xfId="34"/>
    <cellStyle name="60% - Accent3 2 2" xfId="602"/>
    <cellStyle name="60% - Accent3 2 3" xfId="603"/>
    <cellStyle name="60% - Accent3 3" xfId="35"/>
    <cellStyle name="60% - Accent3 3 2" xfId="358"/>
    <cellStyle name="60% - Accent3 3 3" xfId="359"/>
    <cellStyle name="60% - Accent3 4" xfId="36"/>
    <cellStyle name="60% - Accent3 4 2" xfId="604"/>
    <cellStyle name="60% - Accent4 2" xfId="37"/>
    <cellStyle name="60% - Accent4 2 2" xfId="605"/>
    <cellStyle name="60% - Accent4 2 3" xfId="606"/>
    <cellStyle name="60% - Accent4 3" xfId="38"/>
    <cellStyle name="60% - Accent4 3 2" xfId="360"/>
    <cellStyle name="60% - Accent4 3 3" xfId="361"/>
    <cellStyle name="60% - Accent4 4" xfId="39"/>
    <cellStyle name="60% - Accent4 4 2" xfId="607"/>
    <cellStyle name="60% - Accent5 2" xfId="40"/>
    <cellStyle name="60% - Accent5 2 2" xfId="362"/>
    <cellStyle name="60% - Accent5 2 3" xfId="363"/>
    <cellStyle name="60% - Accent5 2 4" xfId="608"/>
    <cellStyle name="60% - Accent5 3" xfId="41"/>
    <cellStyle name="60% - Accent5 3 2" xfId="364"/>
    <cellStyle name="60% - Accent5 4" xfId="609"/>
    <cellStyle name="60% - Accent6 2" xfId="42"/>
    <cellStyle name="60% - Accent6 3" xfId="303"/>
    <cellStyle name="60% - Accent6 3 2" xfId="365"/>
    <cellStyle name="60% - Accent6 4" xfId="610"/>
    <cellStyle name="Accent1 2" xfId="43"/>
    <cellStyle name="Accent1 2 2" xfId="366"/>
    <cellStyle name="Accent1 2 3" xfId="367"/>
    <cellStyle name="Accent1 2 4" xfId="611"/>
    <cellStyle name="Accent1 3" xfId="44"/>
    <cellStyle name="Accent1 3 2" xfId="368"/>
    <cellStyle name="Accent1 3 3" xfId="369"/>
    <cellStyle name="Accent1 4" xfId="45"/>
    <cellStyle name="Accent1 4 2" xfId="612"/>
    <cellStyle name="Accent2 2" xfId="46"/>
    <cellStyle name="Accent2 2 2" xfId="613"/>
    <cellStyle name="Accent2 2 3" xfId="614"/>
    <cellStyle name="Accent2 3" xfId="47"/>
    <cellStyle name="Accent2 3 2" xfId="370"/>
    <cellStyle name="Accent2 4" xfId="615"/>
    <cellStyle name="Accent3 2" xfId="48"/>
    <cellStyle name="Accent3 2 2" xfId="371"/>
    <cellStyle name="Accent3 2 3" xfId="372"/>
    <cellStyle name="Accent3 2 4" xfId="616"/>
    <cellStyle name="Accent3 3" xfId="49"/>
    <cellStyle name="Accent3 3 2" xfId="373"/>
    <cellStyle name="Accent3 4" xfId="617"/>
    <cellStyle name="Accent4 2" xfId="50"/>
    <cellStyle name="Accent4 2 2" xfId="618"/>
    <cellStyle name="Accent4 2 2 2" xfId="619"/>
    <cellStyle name="Accent4 2 3" xfId="620"/>
    <cellStyle name="Accent4 3" xfId="51"/>
    <cellStyle name="Accent4 3 2" xfId="374"/>
    <cellStyle name="Accent4 4" xfId="621"/>
    <cellStyle name="Accent5 2" xfId="52"/>
    <cellStyle name="Accent5 2 2" xfId="622"/>
    <cellStyle name="Accent5 2 3" xfId="623"/>
    <cellStyle name="Accent5 3" xfId="53"/>
    <cellStyle name="Accent5 4" xfId="624"/>
    <cellStyle name="Accent6 2" xfId="54"/>
    <cellStyle name="Accent6 2 2" xfId="375"/>
    <cellStyle name="Accent6 2 3" xfId="376"/>
    <cellStyle name="Accent6 2 4" xfId="625"/>
    <cellStyle name="Accent6 3" xfId="55"/>
    <cellStyle name="Accent6 3 2" xfId="377"/>
    <cellStyle name="Accent6 4" xfId="626"/>
    <cellStyle name="Accounting" xfId="56"/>
    <cellStyle name="Accounting 2" xfId="57"/>
    <cellStyle name="Accounting 3" xfId="58"/>
    <cellStyle name="Accounting_2011-11" xfId="59"/>
    <cellStyle name="APS" xfId="627"/>
    <cellStyle name="APSLabels" xfId="628"/>
    <cellStyle name="Bad 2" xfId="60"/>
    <cellStyle name="Bad 2 2" xfId="629"/>
    <cellStyle name="Bad 2 3" xfId="630"/>
    <cellStyle name="Bad 3" xfId="61"/>
    <cellStyle name="Bad 3 2" xfId="378"/>
    <cellStyle name="Bad 4" xfId="631"/>
    <cellStyle name="Budget" xfId="62"/>
    <cellStyle name="Budget 2" xfId="63"/>
    <cellStyle name="Budget 3" xfId="64"/>
    <cellStyle name="Budget_2011-11" xfId="65"/>
    <cellStyle name="Calculation 2" xfId="66"/>
    <cellStyle name="Calculation 2 2" xfId="379"/>
    <cellStyle name="Calculation 2 3" xfId="380"/>
    <cellStyle name="Calculation 2 4" xfId="632"/>
    <cellStyle name="Calculation 3" xfId="67"/>
    <cellStyle name="Calculation 3 2" xfId="381"/>
    <cellStyle name="Calculation 3 3" xfId="382"/>
    <cellStyle name="Calculation 4" xfId="68"/>
    <cellStyle name="Calculation 4 2" xfId="633"/>
    <cellStyle name="Check Cell 2" xfId="69"/>
    <cellStyle name="Check Cell 2 2" xfId="634"/>
    <cellStyle name="Check Cell 2 3" xfId="635"/>
    <cellStyle name="Check Cell 3" xfId="70"/>
    <cellStyle name="Check Cell 4" xfId="636"/>
    <cellStyle name="Color" xfId="637"/>
    <cellStyle name="combo" xfId="71"/>
    <cellStyle name="Comma" xfId="332" builtinId="3"/>
    <cellStyle name="Comma 10" xfId="4"/>
    <cellStyle name="Comma 10 2" xfId="638"/>
    <cellStyle name="Comma 11" xfId="72"/>
    <cellStyle name="Comma 11 2" xfId="639"/>
    <cellStyle name="Comma 11 2 2" xfId="640"/>
    <cellStyle name="Comma 11 2 2 2" xfId="641"/>
    <cellStyle name="Comma 11 2 3" xfId="642"/>
    <cellStyle name="Comma 11 3" xfId="643"/>
    <cellStyle name="Comma 11 3 2" xfId="644"/>
    <cellStyle name="Comma 11 4" xfId="645"/>
    <cellStyle name="Comma 12" xfId="73"/>
    <cellStyle name="Comma 12 2" xfId="304"/>
    <cellStyle name="Comma 12 2 2" xfId="383"/>
    <cellStyle name="Comma 12 3" xfId="384"/>
    <cellStyle name="Comma 12 4" xfId="385"/>
    <cellStyle name="Comma 12 5" xfId="386"/>
    <cellStyle name="Comma 13" xfId="74"/>
    <cellStyle name="Comma 13 2" xfId="387"/>
    <cellStyle name="Comma 13 3" xfId="646"/>
    <cellStyle name="Comma 14" xfId="75"/>
    <cellStyle name="Comma 15" xfId="76"/>
    <cellStyle name="Comma 15 2" xfId="388"/>
    <cellStyle name="Comma 15 3" xfId="647"/>
    <cellStyle name="Comma 16" xfId="77"/>
    <cellStyle name="Comma 16 2" xfId="648"/>
    <cellStyle name="Comma 16 3" xfId="649"/>
    <cellStyle name="Comma 17" xfId="78"/>
    <cellStyle name="Comma 17 2" xfId="389"/>
    <cellStyle name="Comma 17 2 2" xfId="562"/>
    <cellStyle name="Comma 17 3" xfId="650"/>
    <cellStyle name="Comma 17 4" xfId="651"/>
    <cellStyle name="Comma 18" xfId="79"/>
    <cellStyle name="Comma 18 2" xfId="390"/>
    <cellStyle name="Comma 18 3" xfId="391"/>
    <cellStyle name="Comma 18 4" xfId="557"/>
    <cellStyle name="Comma 19" xfId="80"/>
    <cellStyle name="Comma 2" xfId="81"/>
    <cellStyle name="Comma 2 2" xfId="82"/>
    <cellStyle name="Comma 2 2 2" xfId="83"/>
    <cellStyle name="Comma 2 2 2 2" xfId="652"/>
    <cellStyle name="Comma 2 2 2 2 2" xfId="653"/>
    <cellStyle name="Comma 2 2 3" xfId="654"/>
    <cellStyle name="Comma 2 3" xfId="84"/>
    <cellStyle name="Comma 2 3 2" xfId="655"/>
    <cellStyle name="Comma 2 4" xfId="85"/>
    <cellStyle name="Comma 2 4 2" xfId="392"/>
    <cellStyle name="Comma 2 4 2 2" xfId="563"/>
    <cellStyle name="Comma 2 4 3" xfId="393"/>
    <cellStyle name="Comma 2 4 4" xfId="558"/>
    <cellStyle name="Comma 2 5" xfId="561"/>
    <cellStyle name="Comma 2 5 2" xfId="656"/>
    <cellStyle name="Comma 2 6" xfId="305"/>
    <cellStyle name="Comma 2 6 2" xfId="306"/>
    <cellStyle name="Comma 2 6 2 2" xfId="657"/>
    <cellStyle name="Comma 2 6 3" xfId="658"/>
    <cellStyle name="Comma 2 7" xfId="659"/>
    <cellStyle name="Comma 2 7 2" xfId="660"/>
    <cellStyle name="Comma 2 8" xfId="661"/>
    <cellStyle name="Comma 20" xfId="394"/>
    <cellStyle name="Comma 20 2" xfId="662"/>
    <cellStyle name="Comma 21" xfId="395"/>
    <cellStyle name="Comma 21 2" xfId="663"/>
    <cellStyle name="Comma 22" xfId="664"/>
    <cellStyle name="Comma 23" xfId="665"/>
    <cellStyle name="Comma 3" xfId="86"/>
    <cellStyle name="Comma 3 2" xfId="87"/>
    <cellStyle name="Comma 3 2 2" xfId="88"/>
    <cellStyle name="Comma 3 3" xfId="89"/>
    <cellStyle name="Comma 3 4" xfId="90"/>
    <cellStyle name="Comma 4" xfId="91"/>
    <cellStyle name="Comma 4 2" xfId="92"/>
    <cellStyle name="Comma 4 2 2" xfId="396"/>
    <cellStyle name="Comma 4 2 2 2" xfId="666"/>
    <cellStyle name="Comma 4 2 2 2 2" xfId="667"/>
    <cellStyle name="Comma 4 2 2 3" xfId="668"/>
    <cellStyle name="Comma 4 2 2 3 2" xfId="669"/>
    <cellStyle name="Comma 4 2 2 4" xfId="670"/>
    <cellStyle name="Comma 4 2 3" xfId="397"/>
    <cellStyle name="Comma 4 2 3 2" xfId="671"/>
    <cellStyle name="Comma 4 2 4" xfId="672"/>
    <cellStyle name="Comma 4 2 4 2" xfId="673"/>
    <cellStyle name="Comma 4 2 4 3" xfId="674"/>
    <cellStyle name="Comma 4 2 5" xfId="675"/>
    <cellStyle name="Comma 4 3" xfId="93"/>
    <cellStyle name="Comma 4 3 2" xfId="398"/>
    <cellStyle name="Comma 4 3 2 2" xfId="676"/>
    <cellStyle name="Comma 4 3 3" xfId="399"/>
    <cellStyle name="Comma 4 3 3 2" xfId="677"/>
    <cellStyle name="Comma 4 3 4" xfId="678"/>
    <cellStyle name="Comma 4 3 4 2" xfId="679"/>
    <cellStyle name="Comma 4 4" xfId="94"/>
    <cellStyle name="Comma 4 4 2" xfId="400"/>
    <cellStyle name="Comma 4 4 2 2" xfId="680"/>
    <cellStyle name="Comma 4 4 3" xfId="401"/>
    <cellStyle name="Comma 4 4 3 2" xfId="681"/>
    <cellStyle name="Comma 4 4 4" xfId="682"/>
    <cellStyle name="Comma 4 4 4 2" xfId="683"/>
    <cellStyle name="Comma 4 5" xfId="95"/>
    <cellStyle name="Comma 4 5 2" xfId="402"/>
    <cellStyle name="Comma 4 5 2 2" xfId="684"/>
    <cellStyle name="Comma 4 6" xfId="403"/>
    <cellStyle name="Comma 4 6 2" xfId="555"/>
    <cellStyle name="Comma 4 7" xfId="685"/>
    <cellStyle name="Comma 5" xfId="96"/>
    <cellStyle name="Comma 5 2" xfId="404"/>
    <cellStyle name="Comma 5 2 2" xfId="686"/>
    <cellStyle name="Comma 5 2 2 2" xfId="687"/>
    <cellStyle name="Comma 5 2 2 2 2" xfId="688"/>
    <cellStyle name="Comma 5 2 2 3" xfId="689"/>
    <cellStyle name="Comma 5 2 3" xfId="690"/>
    <cellStyle name="Comma 5 2 3 2" xfId="691"/>
    <cellStyle name="Comma 5 2 4" xfId="692"/>
    <cellStyle name="Comma 5 3" xfId="405"/>
    <cellStyle name="Comma 5 3 2" xfId="693"/>
    <cellStyle name="Comma 5 3 2 2" xfId="694"/>
    <cellStyle name="Comma 5 3 3" xfId="695"/>
    <cellStyle name="Comma 5 4" xfId="406"/>
    <cellStyle name="Comma 5 4 2" xfId="696"/>
    <cellStyle name="Comma 5 5" xfId="697"/>
    <cellStyle name="Comma 5 5 2" xfId="698"/>
    <cellStyle name="Comma 5 6" xfId="699"/>
    <cellStyle name="Comma 6" xfId="97"/>
    <cellStyle name="Comma 6 2" xfId="98"/>
    <cellStyle name="Comma 6 2 2" xfId="700"/>
    <cellStyle name="Comma 6 2 2 2" xfId="701"/>
    <cellStyle name="Comma 6 2 2 2 2" xfId="702"/>
    <cellStyle name="Comma 6 2 2 3" xfId="703"/>
    <cellStyle name="Comma 6 2 3" xfId="704"/>
    <cellStyle name="Comma 6 2 3 2" xfId="705"/>
    <cellStyle name="Comma 6 2 4" xfId="706"/>
    <cellStyle name="Comma 6 3" xfId="707"/>
    <cellStyle name="Comma 6 3 2" xfId="708"/>
    <cellStyle name="Comma 6 3 2 2" xfId="709"/>
    <cellStyle name="Comma 6 3 3" xfId="710"/>
    <cellStyle name="Comma 6 4" xfId="711"/>
    <cellStyle name="Comma 6 4 2" xfId="712"/>
    <cellStyle name="Comma 6 5" xfId="713"/>
    <cellStyle name="Comma 7" xfId="99"/>
    <cellStyle name="Comma 7 2" xfId="714"/>
    <cellStyle name="Comma 7 2 2" xfId="715"/>
    <cellStyle name="Comma 7 2 2 2" xfId="716"/>
    <cellStyle name="Comma 7 2 2 2 2" xfId="717"/>
    <cellStyle name="Comma 7 2 2 3" xfId="718"/>
    <cellStyle name="Comma 7 2 3" xfId="719"/>
    <cellStyle name="Comma 7 2 3 2" xfId="720"/>
    <cellStyle name="Comma 7 2 4" xfId="721"/>
    <cellStyle name="Comma 7 3" xfId="722"/>
    <cellStyle name="Comma 7 3 2" xfId="723"/>
    <cellStyle name="Comma 7 3 2 2" xfId="724"/>
    <cellStyle name="Comma 7 3 3" xfId="725"/>
    <cellStyle name="Comma 7 4" xfId="726"/>
    <cellStyle name="Comma 7 4 2" xfId="727"/>
    <cellStyle name="Comma 7 5" xfId="728"/>
    <cellStyle name="Comma 8" xfId="100"/>
    <cellStyle name="Comma 8 2" xfId="729"/>
    <cellStyle name="Comma 8 2 2" xfId="730"/>
    <cellStyle name="Comma 8 2 2 2" xfId="731"/>
    <cellStyle name="Comma 8 2 2 3" xfId="732"/>
    <cellStyle name="Comma 8 2 3" xfId="733"/>
    <cellStyle name="Comma 8 3" xfId="734"/>
    <cellStyle name="Comma 8 3 2" xfId="735"/>
    <cellStyle name="Comma 8 4" xfId="736"/>
    <cellStyle name="Comma 9" xfId="101"/>
    <cellStyle name="Comma 9 2" xfId="737"/>
    <cellStyle name="Comma(2)" xfId="102"/>
    <cellStyle name="Comma0" xfId="407"/>
    <cellStyle name="Comma0 - Style2" xfId="103"/>
    <cellStyle name="Comma1 - Style1" xfId="104"/>
    <cellStyle name="Comments" xfId="105"/>
    <cellStyle name="Currency" xfId="1" builtinId="4"/>
    <cellStyle name="Currency 10" xfId="106"/>
    <cellStyle name="Currency 10 2" xfId="738"/>
    <cellStyle name="Currency 11" xfId="333"/>
    <cellStyle name="Currency 11 2" xfId="739"/>
    <cellStyle name="Currency 12" xfId="408"/>
    <cellStyle name="Currency 13" xfId="409"/>
    <cellStyle name="Currency 14" xfId="740"/>
    <cellStyle name="Currency 15" xfId="741"/>
    <cellStyle name="Currency 2" xfId="107"/>
    <cellStyle name="Currency 2 2" xfId="108"/>
    <cellStyle name="Currency 2 2 2" xfId="307"/>
    <cellStyle name="Currency 2 2 3" xfId="410"/>
    <cellStyle name="Currency 2 2 3 2" xfId="742"/>
    <cellStyle name="Currency 2 2 4" xfId="743"/>
    <cellStyle name="Currency 2 3" xfId="109"/>
    <cellStyle name="Currency 2 3 2" xfId="411"/>
    <cellStyle name="Currency 2 3 3" xfId="412"/>
    <cellStyle name="Currency 2 4" xfId="413"/>
    <cellStyle name="Currency 2 4 2" xfId="744"/>
    <cellStyle name="Currency 2 4 3" xfId="745"/>
    <cellStyle name="Currency 2 5" xfId="746"/>
    <cellStyle name="Currency 2 5 2" xfId="747"/>
    <cellStyle name="Currency 2 6" xfId="308"/>
    <cellStyle name="Currency 2 6 2" xfId="309"/>
    <cellStyle name="Currency 2 6 3" xfId="748"/>
    <cellStyle name="Currency 2 7" xfId="749"/>
    <cellStyle name="Currency 3" xfId="110"/>
    <cellStyle name="Currency 3 2" xfId="5"/>
    <cellStyle name="Currency 3 2 2" xfId="750"/>
    <cellStyle name="Currency 3 2 2 2" xfId="751"/>
    <cellStyle name="Currency 3 2 2 2 2" xfId="752"/>
    <cellStyle name="Currency 3 2 2 3" xfId="753"/>
    <cellStyle name="Currency 3 2 3" xfId="754"/>
    <cellStyle name="Currency 3 2 3 2" xfId="755"/>
    <cellStyle name="Currency 3 2 4" xfId="756"/>
    <cellStyle name="Currency 3 3" xfId="111"/>
    <cellStyle name="Currency 3 3 2" xfId="414"/>
    <cellStyle name="Currency 3 3 2 2" xfId="757"/>
    <cellStyle name="Currency 3 3 3" xfId="554"/>
    <cellStyle name="Currency 3 3 4" xfId="758"/>
    <cellStyle name="Currency 3 4" xfId="415"/>
    <cellStyle name="Currency 3 4 2" xfId="759"/>
    <cellStyle name="Currency 3 5" xfId="416"/>
    <cellStyle name="Currency 4" xfId="112"/>
    <cellStyle name="Currency 4 2" xfId="310"/>
    <cellStyle name="Currency 4 2 2" xfId="760"/>
    <cellStyle name="Currency 4 2 2 2" xfId="761"/>
    <cellStyle name="Currency 4 2 2 2 2" xfId="762"/>
    <cellStyle name="Currency 4 2 2 3" xfId="763"/>
    <cellStyle name="Currency 4 2 3" xfId="764"/>
    <cellStyle name="Currency 4 2 3 2" xfId="765"/>
    <cellStyle name="Currency 4 2 4" xfId="766"/>
    <cellStyle name="Currency 4 3" xfId="417"/>
    <cellStyle name="Currency 4 3 2" xfId="767"/>
    <cellStyle name="Currency 4 3 2 2" xfId="768"/>
    <cellStyle name="Currency 4 3 3" xfId="769"/>
    <cellStyle name="Currency 4 4" xfId="418"/>
    <cellStyle name="Currency 4 4 2" xfId="770"/>
    <cellStyle name="Currency 4 5" xfId="771"/>
    <cellStyle name="Currency 5" xfId="113"/>
    <cellStyle name="Currency 5 2" xfId="311"/>
    <cellStyle name="Currency 5 2 2" xfId="772"/>
    <cellStyle name="Currency 5 2 2 2" xfId="773"/>
    <cellStyle name="Currency 5 2 3" xfId="774"/>
    <cellStyle name="Currency 5 3" xfId="419"/>
    <cellStyle name="Currency 5 3 2" xfId="775"/>
    <cellStyle name="Currency 5 4" xfId="776"/>
    <cellStyle name="Currency 6" xfId="114"/>
    <cellStyle name="Currency 7" xfId="115"/>
    <cellStyle name="Currency 8" xfId="116"/>
    <cellStyle name="Currency 8 2" xfId="420"/>
    <cellStyle name="Currency 8 2 2" xfId="777"/>
    <cellStyle name="Currency 8 2 2 2" xfId="778"/>
    <cellStyle name="Currency 8 2 3" xfId="779"/>
    <cellStyle name="Currency 8 3" xfId="559"/>
    <cellStyle name="Currency 8 3 2" xfId="780"/>
    <cellStyle name="Currency 8 3 3" xfId="781"/>
    <cellStyle name="Currency 8 4" xfId="782"/>
    <cellStyle name="Currency 9" xfId="117"/>
    <cellStyle name="Currency 9 2" xfId="783"/>
    <cellStyle name="Currency 9 2 2" xfId="784"/>
    <cellStyle name="Currency 9 3" xfId="785"/>
    <cellStyle name="Currency0" xfId="421"/>
    <cellStyle name="Data Enter" xfId="118"/>
    <cellStyle name="date" xfId="119"/>
    <cellStyle name="Explanatory Text 2" xfId="120"/>
    <cellStyle name="Explanatory Text 3" xfId="312"/>
    <cellStyle name="Explanatory Text 4" xfId="786"/>
    <cellStyle name="F9ReportControlStyle_ctpInquire" xfId="422"/>
    <cellStyle name="FactSheet" xfId="121"/>
    <cellStyle name="fish" xfId="122"/>
    <cellStyle name="Good 2" xfId="123"/>
    <cellStyle name="Good 2 2" xfId="787"/>
    <cellStyle name="Good 2 2 2" xfId="788"/>
    <cellStyle name="Good 2 3" xfId="789"/>
    <cellStyle name="Good 3" xfId="124"/>
    <cellStyle name="Good 3 2" xfId="423"/>
    <cellStyle name="Good 3 3" xfId="790"/>
    <cellStyle name="Good 4" xfId="424"/>
    <cellStyle name="Good 5" xfId="791"/>
    <cellStyle name="Heading 1 2" xfId="125"/>
    <cellStyle name="Heading 1 2 2" xfId="425"/>
    <cellStyle name="Heading 1 2 3" xfId="426"/>
    <cellStyle name="Heading 1 2 4" xfId="792"/>
    <cellStyle name="Heading 1 3" xfId="126"/>
    <cellStyle name="Heading 1 3 2" xfId="427"/>
    <cellStyle name="Heading 1 3 3" xfId="428"/>
    <cellStyle name="Heading 1 4" xfId="127"/>
    <cellStyle name="Heading 1 4 2" xfId="793"/>
    <cellStyle name="Heading 2 2" xfId="128"/>
    <cellStyle name="Heading 2 2 2" xfId="429"/>
    <cellStyle name="Heading 2 2 3" xfId="430"/>
    <cellStyle name="Heading 2 2 4" xfId="794"/>
    <cellStyle name="Heading 2 3" xfId="129"/>
    <cellStyle name="Heading 2 3 2" xfId="431"/>
    <cellStyle name="Heading 2 3 3" xfId="432"/>
    <cellStyle name="Heading 2 4" xfId="130"/>
    <cellStyle name="Heading 2 4 2" xfId="795"/>
    <cellStyle name="Heading 3 2" xfId="131"/>
    <cellStyle name="Heading 3 2 2" xfId="433"/>
    <cellStyle name="Heading 3 2 3" xfId="434"/>
    <cellStyle name="Heading 3 2 4" xfId="796"/>
    <cellStyle name="Heading 3 3" xfId="132"/>
    <cellStyle name="Heading 3 3 2" xfId="435"/>
    <cellStyle name="Heading 3 3 3" xfId="436"/>
    <cellStyle name="Heading 3 4" xfId="133"/>
    <cellStyle name="Heading 3 4 2" xfId="797"/>
    <cellStyle name="Heading 4 2" xfId="134"/>
    <cellStyle name="Heading 4 2 2" xfId="798"/>
    <cellStyle name="Heading 4 2 2 2" xfId="799"/>
    <cellStyle name="Heading 4 2 3" xfId="800"/>
    <cellStyle name="Heading 4 3" xfId="135"/>
    <cellStyle name="Heading 4 3 2" xfId="437"/>
    <cellStyle name="Heading 4 4" xfId="801"/>
    <cellStyle name="Hyperlink 2" xfId="136"/>
    <cellStyle name="Hyperlink 2 2" xfId="802"/>
    <cellStyle name="Hyperlink 2 2 2" xfId="803"/>
    <cellStyle name="Hyperlink 2 2 3" xfId="804"/>
    <cellStyle name="Hyperlink 2 2 4" xfId="805"/>
    <cellStyle name="Hyperlink 2 3" xfId="806"/>
    <cellStyle name="Hyperlink 3" xfId="137"/>
    <cellStyle name="Hyperlink 3 2" xfId="438"/>
    <cellStyle name="Hyperlink 3 2 2" xfId="807"/>
    <cellStyle name="Hyperlink 3 3" xfId="808"/>
    <cellStyle name="Input 2" xfId="138"/>
    <cellStyle name="Input 2 2" xfId="809"/>
    <cellStyle name="Input 2 2 2" xfId="810"/>
    <cellStyle name="Input 2 3" xfId="811"/>
    <cellStyle name="Input 3" xfId="139"/>
    <cellStyle name="Input 3 2" xfId="439"/>
    <cellStyle name="Input 4" xfId="812"/>
    <cellStyle name="input(0)" xfId="140"/>
    <cellStyle name="Input(2)" xfId="141"/>
    <cellStyle name="Labels" xfId="813"/>
    <cellStyle name="Linked Cell 2" xfId="142"/>
    <cellStyle name="Linked Cell 2 2" xfId="440"/>
    <cellStyle name="Linked Cell 2 3" xfId="441"/>
    <cellStyle name="Linked Cell 2 4" xfId="814"/>
    <cellStyle name="Linked Cell 3" xfId="143"/>
    <cellStyle name="Linked Cell 3 2" xfId="442"/>
    <cellStyle name="Linked Cell 4" xfId="815"/>
    <cellStyle name="Neutral 2" xfId="144"/>
    <cellStyle name="Neutral 2 2" xfId="443"/>
    <cellStyle name="Neutral 2 3" xfId="444"/>
    <cellStyle name="Neutral 2 4" xfId="816"/>
    <cellStyle name="Neutral 3" xfId="145"/>
    <cellStyle name="Neutral 3 2" xfId="445"/>
    <cellStyle name="Neutral 4" xfId="817"/>
    <cellStyle name="New_normal" xfId="146"/>
    <cellStyle name="Normal" xfId="0" builtinId="0"/>
    <cellStyle name="Normal - Style1" xfId="147"/>
    <cellStyle name="Normal - Style2" xfId="148"/>
    <cellStyle name="Normal - Style3" xfId="149"/>
    <cellStyle name="Normal - Style4" xfId="150"/>
    <cellStyle name="Normal - Style5" xfId="151"/>
    <cellStyle name="Normal 10" xfId="152"/>
    <cellStyle name="Normal 10 2" xfId="153"/>
    <cellStyle name="Normal 10 2 2" xfId="154"/>
    <cellStyle name="Normal 10 2 2 2" xfId="818"/>
    <cellStyle name="Normal 10 2 2 2 2" xfId="819"/>
    <cellStyle name="Normal 10 2 2 3" xfId="820"/>
    <cellStyle name="Normal 10 2 3" xfId="446"/>
    <cellStyle name="Normal 10 2 3 2" xfId="821"/>
    <cellStyle name="Normal 10 2 4" xfId="447"/>
    <cellStyle name="Normal 10 2 4 2" xfId="822"/>
    <cellStyle name="Normal 10 2 5" xfId="553"/>
    <cellStyle name="Normal 10 3" xfId="448"/>
    <cellStyle name="Normal 10 3 2" xfId="823"/>
    <cellStyle name="Normal 10 3 2 2" xfId="824"/>
    <cellStyle name="Normal 10 3 3" xfId="825"/>
    <cellStyle name="Normal 10 4" xfId="826"/>
    <cellStyle name="Normal 10 4 2" xfId="827"/>
    <cellStyle name="Normal 10 5" xfId="828"/>
    <cellStyle name="Normal 10_2112 DF Schedule" xfId="155"/>
    <cellStyle name="Normal 100" xfId="449"/>
    <cellStyle name="Normal 100 2" xfId="829"/>
    <cellStyle name="Normal 101" xfId="450"/>
    <cellStyle name="Normal 101 2" xfId="830"/>
    <cellStyle name="Normal 102" xfId="451"/>
    <cellStyle name="Normal 102 2" xfId="831"/>
    <cellStyle name="Normal 103" xfId="452"/>
    <cellStyle name="Normal 103 2" xfId="832"/>
    <cellStyle name="Normal 104" xfId="453"/>
    <cellStyle name="Normal 104 2" xfId="833"/>
    <cellStyle name="Normal 105" xfId="454"/>
    <cellStyle name="Normal 105 2" xfId="834"/>
    <cellStyle name="Normal 106" xfId="455"/>
    <cellStyle name="Normal 107" xfId="456"/>
    <cellStyle name="Normal 107 2" xfId="835"/>
    <cellStyle name="Normal 108" xfId="457"/>
    <cellStyle name="Normal 108 2" xfId="836"/>
    <cellStyle name="Normal 109" xfId="458"/>
    <cellStyle name="Normal 109 2" xfId="837"/>
    <cellStyle name="Normal 109 3" xfId="838"/>
    <cellStyle name="Normal 11" xfId="156"/>
    <cellStyle name="Normal 11 2" xfId="459"/>
    <cellStyle name="Normal 11 2 2" xfId="460"/>
    <cellStyle name="Normal 11 2 2 2" xfId="839"/>
    <cellStyle name="Normal 11 2 2 2 2" xfId="840"/>
    <cellStyle name="Normal 11 2 2 3" xfId="841"/>
    <cellStyle name="Normal 11 2 3" xfId="842"/>
    <cellStyle name="Normal 11 2 3 2" xfId="843"/>
    <cellStyle name="Normal 11 2 4" xfId="844"/>
    <cellStyle name="Normal 11 3" xfId="845"/>
    <cellStyle name="Normal 11 3 2" xfId="846"/>
    <cellStyle name="Normal 11 3 2 2" xfId="847"/>
    <cellStyle name="Normal 11 3 3" xfId="848"/>
    <cellStyle name="Normal 11 4" xfId="849"/>
    <cellStyle name="Normal 11 4 2" xfId="850"/>
    <cellStyle name="Normal 11 5" xfId="851"/>
    <cellStyle name="Normal 110" xfId="461"/>
    <cellStyle name="Normal 110 2" xfId="852"/>
    <cellStyle name="Normal 111" xfId="462"/>
    <cellStyle name="Normal 111 2" xfId="853"/>
    <cellStyle name="Normal 111 3" xfId="854"/>
    <cellStyle name="Normal 112" xfId="855"/>
    <cellStyle name="Normal 112 2" xfId="856"/>
    <cellStyle name="Normal 112 3" xfId="857"/>
    <cellStyle name="Normal 113" xfId="858"/>
    <cellStyle name="Normal 113 2" xfId="859"/>
    <cellStyle name="Normal 113 3" xfId="860"/>
    <cellStyle name="Normal 114" xfId="861"/>
    <cellStyle name="Normal 115" xfId="862"/>
    <cellStyle name="Normal 116" xfId="863"/>
    <cellStyle name="Normal 117" xfId="864"/>
    <cellStyle name="Normal 117 2" xfId="865"/>
    <cellStyle name="Normal 118" xfId="866"/>
    <cellStyle name="Normal 12" xfId="157"/>
    <cellStyle name="Normal 12 2" xfId="463"/>
    <cellStyle name="Normal 12 2 2" xfId="867"/>
    <cellStyle name="Normal 12 2 2 2" xfId="868"/>
    <cellStyle name="Normal 12 2 2 2 2" xfId="869"/>
    <cellStyle name="Normal 12 2 2 3" xfId="870"/>
    <cellStyle name="Normal 12 2 3" xfId="871"/>
    <cellStyle name="Normal 12 2 3 2" xfId="872"/>
    <cellStyle name="Normal 12 2 4" xfId="873"/>
    <cellStyle name="Normal 12 3" xfId="464"/>
    <cellStyle name="Normal 12 3 2" xfId="874"/>
    <cellStyle name="Normal 12 3 2 2" xfId="875"/>
    <cellStyle name="Normal 12 3 3" xfId="876"/>
    <cellStyle name="Normal 12 4" xfId="465"/>
    <cellStyle name="Normal 12 4 2" xfId="877"/>
    <cellStyle name="Normal 12 5" xfId="466"/>
    <cellStyle name="Normal 12 6" xfId="878"/>
    <cellStyle name="Normal 12 7" xfId="879"/>
    <cellStyle name="Normal 12_Sheet1" xfId="467"/>
    <cellStyle name="Normal 13" xfId="158"/>
    <cellStyle name="Normal 13 2" xfId="468"/>
    <cellStyle name="Normal 13 2 2" xfId="880"/>
    <cellStyle name="Normal 13 2 2 2" xfId="881"/>
    <cellStyle name="Normal 13 2 2 2 2" xfId="882"/>
    <cellStyle name="Normal 13 2 2 3" xfId="883"/>
    <cellStyle name="Normal 13 2 3" xfId="884"/>
    <cellStyle name="Normal 13 2 3 2" xfId="885"/>
    <cellStyle name="Normal 13 2 4" xfId="886"/>
    <cellStyle name="Normal 13 3" xfId="469"/>
    <cellStyle name="Normal 13 3 2" xfId="887"/>
    <cellStyle name="Normal 13 3 2 2" xfId="888"/>
    <cellStyle name="Normal 13 3 3" xfId="889"/>
    <cellStyle name="Normal 13 4" xfId="470"/>
    <cellStyle name="Normal 13 4 2" xfId="890"/>
    <cellStyle name="Normal 13 5" xfId="471"/>
    <cellStyle name="Normal 13 6" xfId="891"/>
    <cellStyle name="Normal 13 7" xfId="892"/>
    <cellStyle name="Normal 13_Sheet1" xfId="472"/>
    <cellStyle name="Normal 14" xfId="159"/>
    <cellStyle name="Normal 14 2" xfId="473"/>
    <cellStyle name="Normal 14 2 2" xfId="893"/>
    <cellStyle name="Normal 14 2 2 2" xfId="894"/>
    <cellStyle name="Normal 14 2 3" xfId="895"/>
    <cellStyle name="Normal 14 3" xfId="474"/>
    <cellStyle name="Normal 14 3 2" xfId="896"/>
    <cellStyle name="Normal 14 4" xfId="475"/>
    <cellStyle name="Normal 14 5" xfId="897"/>
    <cellStyle name="Normal 14_Sheet1" xfId="476"/>
    <cellStyle name="Normal 15" xfId="160"/>
    <cellStyle name="Normal 15 2" xfId="477"/>
    <cellStyle name="Normal 15 2 2" xfId="898"/>
    <cellStyle name="Normal 15 2 2 2" xfId="899"/>
    <cellStyle name="Normal 15 2 3" xfId="900"/>
    <cellStyle name="Normal 15 3" xfId="478"/>
    <cellStyle name="Normal 15 3 2" xfId="901"/>
    <cellStyle name="Normal 15 4" xfId="479"/>
    <cellStyle name="Normal 15 5" xfId="902"/>
    <cellStyle name="Normal 16" xfId="161"/>
    <cellStyle name="Normal 16 2" xfId="480"/>
    <cellStyle name="Normal 16 2 2" xfId="903"/>
    <cellStyle name="Normal 16 2 2 2" xfId="904"/>
    <cellStyle name="Normal 16 3" xfId="481"/>
    <cellStyle name="Normal 16 3 2" xfId="905"/>
    <cellStyle name="Normal 16 3 2 2" xfId="906"/>
    <cellStyle name="Normal 16 3 3" xfId="907"/>
    <cellStyle name="Normal 16 4" xfId="908"/>
    <cellStyle name="Normal 16 4 2" xfId="909"/>
    <cellStyle name="Normal 16 5" xfId="910"/>
    <cellStyle name="Normal 16 6" xfId="911"/>
    <cellStyle name="Normal 17" xfId="162"/>
    <cellStyle name="Normal 17 2" xfId="482"/>
    <cellStyle name="Normal 17 2 2" xfId="912"/>
    <cellStyle name="Normal 17 2 2 2" xfId="913"/>
    <cellStyle name="Normal 17 3" xfId="483"/>
    <cellStyle name="Normal 17 3 2" xfId="914"/>
    <cellStyle name="Normal 17 4" xfId="915"/>
    <cellStyle name="Normal 18" xfId="163"/>
    <cellStyle name="Normal 18 2" xfId="484"/>
    <cellStyle name="Normal 18 2 2" xfId="916"/>
    <cellStyle name="Normal 18 2 2 2" xfId="917"/>
    <cellStyle name="Normal 18 2 3" xfId="918"/>
    <cellStyle name="Normal 18 3" xfId="485"/>
    <cellStyle name="Normal 18 3 2" xfId="919"/>
    <cellStyle name="Normal 18 3 2 2" xfId="920"/>
    <cellStyle name="Normal 18 3 3" xfId="921"/>
    <cellStyle name="Normal 18 4" xfId="922"/>
    <cellStyle name="Normal 18 4 2" xfId="923"/>
    <cellStyle name="Normal 18 5" xfId="924"/>
    <cellStyle name="Normal 18 5 2" xfId="925"/>
    <cellStyle name="Normal 18 6" xfId="926"/>
    <cellStyle name="Normal 18 7" xfId="927"/>
    <cellStyle name="Normal 19" xfId="164"/>
    <cellStyle name="Normal 19 2" xfId="486"/>
    <cellStyle name="Normal 19 2 2" xfId="928"/>
    <cellStyle name="Normal 19 3" xfId="487"/>
    <cellStyle name="Normal 19 3 2" xfId="929"/>
    <cellStyle name="Normal 19 4" xfId="930"/>
    <cellStyle name="Normal 2" xfId="165"/>
    <cellStyle name="Normal 2 10" xfId="488"/>
    <cellStyle name="Normal 2 11" xfId="489"/>
    <cellStyle name="Normal 2 2" xfId="166"/>
    <cellStyle name="Normal 2 2 2" xfId="167"/>
    <cellStyle name="Normal 2 2 2 2" xfId="490"/>
    <cellStyle name="Normal 2 2 2_JE_IS11" xfId="931"/>
    <cellStyle name="Normal 2 2 3" xfId="168"/>
    <cellStyle name="Normal 2 2 4" xfId="491"/>
    <cellStyle name="Normal 2 2 5" xfId="932"/>
    <cellStyle name="Normal 2 2 6" xfId="933"/>
    <cellStyle name="Normal 2 2 7" xfId="934"/>
    <cellStyle name="Normal 2 2 8" xfId="935"/>
    <cellStyle name="Normal 2 2_4MthProj2" xfId="492"/>
    <cellStyle name="Normal 2 3" xfId="169"/>
    <cellStyle name="Normal 2 3 2" xfId="170"/>
    <cellStyle name="Normal 2 3 2 2" xfId="936"/>
    <cellStyle name="Normal 2 3 2 3" xfId="937"/>
    <cellStyle name="Normal 2 3 3" xfId="171"/>
    <cellStyle name="Normal 2 3 3 2" xfId="938"/>
    <cellStyle name="Normal 2 3 3 2 2" xfId="939"/>
    <cellStyle name="Normal 2 3 3 3" xfId="940"/>
    <cellStyle name="Normal 2 3 4" xfId="941"/>
    <cellStyle name="Normal 2 3 4 2" xfId="942"/>
    <cellStyle name="Normal 2 3 5" xfId="943"/>
    <cellStyle name="Normal 2 3_4MthProj2" xfId="493"/>
    <cellStyle name="Normal 2 4" xfId="172"/>
    <cellStyle name="Normal 2 4 2" xfId="494"/>
    <cellStyle name="Normal 2 4 2 2" xfId="944"/>
    <cellStyle name="Normal 2 4 3" xfId="945"/>
    <cellStyle name="Normal 2 4 3 2" xfId="946"/>
    <cellStyle name="Normal 2 5" xfId="173"/>
    <cellStyle name="Normal 2 5 2" xfId="947"/>
    <cellStyle name="Normal 2 5 3" xfId="948"/>
    <cellStyle name="Normal 2 6" xfId="174"/>
    <cellStyle name="Normal 2 6 2" xfId="560"/>
    <cellStyle name="Normal 2 6 2 2" xfId="949"/>
    <cellStyle name="Normal 2 6 3" xfId="950"/>
    <cellStyle name="Normal 2 7" xfId="495"/>
    <cellStyle name="Normal 2 7 2" xfId="951"/>
    <cellStyle name="Normal 2 8" xfId="496"/>
    <cellStyle name="Normal 2 9" xfId="497"/>
    <cellStyle name="Normal 2_2009 Regulated Price Out" xfId="498"/>
    <cellStyle name="Normal 20" xfId="175"/>
    <cellStyle name="Normal 20 2" xfId="499"/>
    <cellStyle name="Normal 20 2 2" xfId="952"/>
    <cellStyle name="Normal 20 2 3" xfId="953"/>
    <cellStyle name="Normal 20 3" xfId="500"/>
    <cellStyle name="Normal 20 4" xfId="954"/>
    <cellStyle name="Normal 20 4 2" xfId="955"/>
    <cellStyle name="Normal 20 5" xfId="956"/>
    <cellStyle name="Normal 20 6" xfId="957"/>
    <cellStyle name="Normal 21" xfId="176"/>
    <cellStyle name="Normal 21 2" xfId="501"/>
    <cellStyle name="Normal 21 2 2" xfId="958"/>
    <cellStyle name="Normal 21 3" xfId="959"/>
    <cellStyle name="Normal 21 3 2" xfId="960"/>
    <cellStyle name="Normal 21 4" xfId="961"/>
    <cellStyle name="Normal 22" xfId="177"/>
    <cellStyle name="Normal 22 2" xfId="502"/>
    <cellStyle name="Normal 22 2 2" xfId="962"/>
    <cellStyle name="Normal 22 3" xfId="963"/>
    <cellStyle name="Normal 22 3 2" xfId="964"/>
    <cellStyle name="Normal 22 4" xfId="965"/>
    <cellStyle name="Normal 23" xfId="178"/>
    <cellStyle name="Normal 23 2" xfId="503"/>
    <cellStyle name="Normal 23 2 2" xfId="966"/>
    <cellStyle name="Normal 23 2 3" xfId="967"/>
    <cellStyle name="Normal 23 3" xfId="968"/>
    <cellStyle name="Normal 23 3 2" xfId="969"/>
    <cellStyle name="Normal 23 3 3" xfId="970"/>
    <cellStyle name="Normal 23 4" xfId="971"/>
    <cellStyle name="Normal 24" xfId="179"/>
    <cellStyle name="Normal 24 2" xfId="504"/>
    <cellStyle name="Normal 24 2 2" xfId="972"/>
    <cellStyle name="Normal 24 2 3" xfId="973"/>
    <cellStyle name="Normal 24 3" xfId="974"/>
    <cellStyle name="Normal 24 3 2" xfId="975"/>
    <cellStyle name="Normal 24 4" xfId="976"/>
    <cellStyle name="Normal 25" xfId="180"/>
    <cellStyle name="Normal 25 2" xfId="977"/>
    <cellStyle name="Normal 25 2 2" xfId="978"/>
    <cellStyle name="Normal 25 3" xfId="979"/>
    <cellStyle name="Normal 25 4" xfId="980"/>
    <cellStyle name="Normal 26" xfId="181"/>
    <cellStyle name="Normal 26 2" xfId="981"/>
    <cellStyle name="Normal 26 2 2" xfId="982"/>
    <cellStyle name="Normal 26 3" xfId="983"/>
    <cellStyle name="Normal 26 4" xfId="984"/>
    <cellStyle name="Normal 27" xfId="182"/>
    <cellStyle name="Normal 27 2" xfId="505"/>
    <cellStyle name="Normal 27 2 2" xfId="985"/>
    <cellStyle name="Normal 27 2 2 2" xfId="986"/>
    <cellStyle name="Normal 27 3" xfId="987"/>
    <cellStyle name="Normal 27 3 2" xfId="988"/>
    <cellStyle name="Normal 27 4" xfId="989"/>
    <cellStyle name="Normal 27 5" xfId="990"/>
    <cellStyle name="Normal 28" xfId="183"/>
    <cellStyle name="Normal 28 2" xfId="991"/>
    <cellStyle name="Normal 28 2 2" xfId="992"/>
    <cellStyle name="Normal 28 3" xfId="993"/>
    <cellStyle name="Normal 28 4" xfId="994"/>
    <cellStyle name="Normal 29" xfId="184"/>
    <cellStyle name="Normal 29 2" xfId="995"/>
    <cellStyle name="Normal 29 3" xfId="996"/>
    <cellStyle name="Normal 29 4" xfId="997"/>
    <cellStyle name="Normal 3" xfId="185"/>
    <cellStyle name="Normal 3 2" xfId="186"/>
    <cellStyle name="Normal 3 2 2" xfId="506"/>
    <cellStyle name="Normal 3 2 2 2" xfId="998"/>
    <cellStyle name="Normal 3 2 2 2 2" xfId="999"/>
    <cellStyle name="Normal 3 2 3" xfId="1000"/>
    <cellStyle name="Normal 3 2 3 2" xfId="1001"/>
    <cellStyle name="Normal 3 3" xfId="187"/>
    <cellStyle name="Normal 3 3 2" xfId="507"/>
    <cellStyle name="Normal 3 3 2 2" xfId="1002"/>
    <cellStyle name="Normal 3 3 3" xfId="1003"/>
    <cellStyle name="Normal 3 3 4" xfId="1004"/>
    <cellStyle name="Normal 3 4" xfId="508"/>
    <cellStyle name="Normal 3 4 2" xfId="556"/>
    <cellStyle name="Normal 3_2012 PR" xfId="188"/>
    <cellStyle name="Normal 30" xfId="189"/>
    <cellStyle name="Normal 30 2" xfId="1005"/>
    <cellStyle name="Normal 30 3" xfId="1006"/>
    <cellStyle name="Normal 30 4" xfId="1007"/>
    <cellStyle name="Normal 31" xfId="190"/>
    <cellStyle name="Normal 31 2" xfId="509"/>
    <cellStyle name="Normal 31 2 2" xfId="1008"/>
    <cellStyle name="Normal 31 2 2 2" xfId="1009"/>
    <cellStyle name="Normal 31 2 3" xfId="1010"/>
    <cellStyle name="Normal 31 3" xfId="1011"/>
    <cellStyle name="Normal 31 3 2" xfId="1012"/>
    <cellStyle name="Normal 31 3 3" xfId="1013"/>
    <cellStyle name="Normal 31 4" xfId="1014"/>
    <cellStyle name="Normal 31 4 2" xfId="1015"/>
    <cellStyle name="Normal 32" xfId="191"/>
    <cellStyle name="Normal 32 2" xfId="1016"/>
    <cellStyle name="Normal 32 2 2" xfId="1017"/>
    <cellStyle name="Normal 32 2 2 2" xfId="1018"/>
    <cellStyle name="Normal 32 2 3" xfId="1019"/>
    <cellStyle name="Normal 32 3" xfId="1020"/>
    <cellStyle name="Normal 32 3 2" xfId="1021"/>
    <cellStyle name="Normal 32 4" xfId="1022"/>
    <cellStyle name="Normal 32 4 2" xfId="1023"/>
    <cellStyle name="Normal 33" xfId="192"/>
    <cellStyle name="Normal 33 2" xfId="1024"/>
    <cellStyle name="Normal 33 3" xfId="1025"/>
    <cellStyle name="Normal 34" xfId="193"/>
    <cellStyle name="Normal 34 2" xfId="1026"/>
    <cellStyle name="Normal 34 3" xfId="1027"/>
    <cellStyle name="Normal 35" xfId="194"/>
    <cellStyle name="Normal 35 2" xfId="1028"/>
    <cellStyle name="Normal 35 2 2" xfId="1029"/>
    <cellStyle name="Normal 35 3" xfId="1030"/>
    <cellStyle name="Normal 35 3 2" xfId="1031"/>
    <cellStyle name="Normal 36" xfId="195"/>
    <cellStyle name="Normal 36 2" xfId="1032"/>
    <cellStyle name="Normal 36 2 2" xfId="1033"/>
    <cellStyle name="Normal 36 3" xfId="1034"/>
    <cellStyle name="Normal 37" xfId="196"/>
    <cellStyle name="Normal 37 2" xfId="1035"/>
    <cellStyle name="Normal 37 2 2" xfId="1036"/>
    <cellStyle name="Normal 37 3" xfId="1037"/>
    <cellStyle name="Normal 38" xfId="197"/>
    <cellStyle name="Normal 38 2" xfId="1038"/>
    <cellStyle name="Normal 38 2 2" xfId="1039"/>
    <cellStyle name="Normal 38 3" xfId="1040"/>
    <cellStyle name="Normal 39" xfId="198"/>
    <cellStyle name="Normal 39 2" xfId="1041"/>
    <cellStyle name="Normal 39 2 2" xfId="1042"/>
    <cellStyle name="Normal 39 3" xfId="1043"/>
    <cellStyle name="Normal 4" xfId="199"/>
    <cellStyle name="Normal 4 2" xfId="200"/>
    <cellStyle name="Normal 4 2 2" xfId="510"/>
    <cellStyle name="Normal 4 2 2 2" xfId="1044"/>
    <cellStyle name="Normal 4 2 3" xfId="1045"/>
    <cellStyle name="Normal 4 2 4" xfId="1046"/>
    <cellStyle name="Normal 4 3" xfId="511"/>
    <cellStyle name="Normal 4 3 2" xfId="512"/>
    <cellStyle name="Normal 4 3 2 2" xfId="1047"/>
    <cellStyle name="Normal 4 3 3" xfId="1048"/>
    <cellStyle name="Normal 4 4" xfId="1049"/>
    <cellStyle name="Normal 4 4 2" xfId="1050"/>
    <cellStyle name="Normal 4 5" xfId="1051"/>
    <cellStyle name="Normal 4_B&amp;O Taxes" xfId="1052"/>
    <cellStyle name="Normal 40" xfId="201"/>
    <cellStyle name="Normal 40 2" xfId="1053"/>
    <cellStyle name="Normal 40 2 2" xfId="1054"/>
    <cellStyle name="Normal 40 3" xfId="1055"/>
    <cellStyle name="Normal 41" xfId="202"/>
    <cellStyle name="Normal 41 2" xfId="1056"/>
    <cellStyle name="Normal 41 2 2" xfId="1057"/>
    <cellStyle name="Normal 41 3" xfId="1058"/>
    <cellStyle name="Normal 42" xfId="203"/>
    <cellStyle name="Normal 42 2" xfId="1059"/>
    <cellStyle name="Normal 42 3" xfId="1060"/>
    <cellStyle name="Normal 43" xfId="204"/>
    <cellStyle name="Normal 43 2" xfId="1061"/>
    <cellStyle name="Normal 43 3" xfId="1062"/>
    <cellStyle name="Normal 44" xfId="205"/>
    <cellStyle name="Normal 44 2" xfId="1063"/>
    <cellStyle name="Normal 44 2 2" xfId="1064"/>
    <cellStyle name="Normal 44 3" xfId="1065"/>
    <cellStyle name="Normal 45" xfId="206"/>
    <cellStyle name="Normal 45 2" xfId="1066"/>
    <cellStyle name="Normal 45 3" xfId="1067"/>
    <cellStyle name="Normal 46" xfId="207"/>
    <cellStyle name="Normal 46 2" xfId="1068"/>
    <cellStyle name="Normal 46 3" xfId="1069"/>
    <cellStyle name="Normal 47" xfId="208"/>
    <cellStyle name="Normal 47 2" xfId="1070"/>
    <cellStyle name="Normal 47 3" xfId="1071"/>
    <cellStyle name="Normal 48" xfId="209"/>
    <cellStyle name="Normal 48 2" xfId="1072"/>
    <cellStyle name="Normal 48 3" xfId="1073"/>
    <cellStyle name="Normal 49" xfId="210"/>
    <cellStyle name="Normal 49 2" xfId="1074"/>
    <cellStyle name="Normal 49 3" xfId="1075"/>
    <cellStyle name="Normal 5" xfId="211"/>
    <cellStyle name="Normal 5 2" xfId="212"/>
    <cellStyle name="Normal 5 2 2" xfId="1076"/>
    <cellStyle name="Normal 5 2 2 2" xfId="1077"/>
    <cellStyle name="Normal 5 2 2 2 2" xfId="1078"/>
    <cellStyle name="Normal 5 2 2 3" xfId="1079"/>
    <cellStyle name="Normal 5 2 3" xfId="1080"/>
    <cellStyle name="Normal 5 2 3 2" xfId="1081"/>
    <cellStyle name="Normal 5 2 4" xfId="1082"/>
    <cellStyle name="Normal 5 3" xfId="513"/>
    <cellStyle name="Normal 5 3 2" xfId="1083"/>
    <cellStyle name="Normal 5 3 2 2" xfId="1084"/>
    <cellStyle name="Normal 5 3 3" xfId="1085"/>
    <cellStyle name="Normal 5 4" xfId="514"/>
    <cellStyle name="Normal 5 4 2" xfId="1086"/>
    <cellStyle name="Normal 5 5" xfId="1087"/>
    <cellStyle name="Normal 5_2112 DF Schedule" xfId="213"/>
    <cellStyle name="Normal 50" xfId="214"/>
    <cellStyle name="Normal 50 2" xfId="1088"/>
    <cellStyle name="Normal 50 3" xfId="1089"/>
    <cellStyle name="Normal 51" xfId="215"/>
    <cellStyle name="Normal 51 2" xfId="1090"/>
    <cellStyle name="Normal 51 3" xfId="1091"/>
    <cellStyle name="Normal 52" xfId="216"/>
    <cellStyle name="Normal 52 2" xfId="1092"/>
    <cellStyle name="Normal 52 3" xfId="1093"/>
    <cellStyle name="Normal 53" xfId="217"/>
    <cellStyle name="Normal 53 2" xfId="1094"/>
    <cellStyle name="Normal 53 3" xfId="1095"/>
    <cellStyle name="Normal 54" xfId="218"/>
    <cellStyle name="Normal 54 2" xfId="1096"/>
    <cellStyle name="Normal 54 3" xfId="1097"/>
    <cellStyle name="Normal 55" xfId="219"/>
    <cellStyle name="Normal 55 2" xfId="1098"/>
    <cellStyle name="Normal 55 3" xfId="1099"/>
    <cellStyle name="Normal 56" xfId="220"/>
    <cellStyle name="Normal 56 2" xfId="1100"/>
    <cellStyle name="Normal 56 3" xfId="1101"/>
    <cellStyle name="Normal 57" xfId="221"/>
    <cellStyle name="Normal 57 2" xfId="1102"/>
    <cellStyle name="Normal 57 3" xfId="1103"/>
    <cellStyle name="Normal 58" xfId="222"/>
    <cellStyle name="Normal 58 2" xfId="1104"/>
    <cellStyle name="Normal 58 3" xfId="1105"/>
    <cellStyle name="Normal 59" xfId="223"/>
    <cellStyle name="Normal 59 2" xfId="1106"/>
    <cellStyle name="Normal 59 3" xfId="1107"/>
    <cellStyle name="Normal 6" xfId="224"/>
    <cellStyle name="Normal 6 2" xfId="313"/>
    <cellStyle name="Normal 6 2 2" xfId="515"/>
    <cellStyle name="Normal 6 2 2 2" xfId="1108"/>
    <cellStyle name="Normal 6 2 2 2 2" xfId="1109"/>
    <cellStyle name="Normal 6 2 2 3" xfId="1110"/>
    <cellStyle name="Normal 6 2 3" xfId="1111"/>
    <cellStyle name="Normal 6 2 3 2" xfId="1112"/>
    <cellStyle name="Normal 6 2 4" xfId="1113"/>
    <cellStyle name="Normal 6 3" xfId="516"/>
    <cellStyle name="Normal 6 3 2" xfId="1114"/>
    <cellStyle name="Normal 6 3 2 2" xfId="1115"/>
    <cellStyle name="Normal 6 3 3" xfId="1116"/>
    <cellStyle name="Normal 6 4" xfId="1117"/>
    <cellStyle name="Normal 6 4 2" xfId="1118"/>
    <cellStyle name="Normal 6 5" xfId="1119"/>
    <cellStyle name="Normal 60" xfId="225"/>
    <cellStyle name="Normal 60 2" xfId="1120"/>
    <cellStyle name="Normal 60 3" xfId="1121"/>
    <cellStyle name="Normal 61" xfId="226"/>
    <cellStyle name="Normal 61 2" xfId="1122"/>
    <cellStyle name="Normal 61 3" xfId="1123"/>
    <cellStyle name="Normal 62" xfId="227"/>
    <cellStyle name="Normal 62 2" xfId="1124"/>
    <cellStyle name="Normal 62 3" xfId="1125"/>
    <cellStyle name="Normal 63" xfId="228"/>
    <cellStyle name="Normal 63 2" xfId="1126"/>
    <cellStyle name="Normal 63 3" xfId="1127"/>
    <cellStyle name="Normal 64" xfId="229"/>
    <cellStyle name="Normal 64 2" xfId="1128"/>
    <cellStyle name="Normal 64 3" xfId="1129"/>
    <cellStyle name="Normal 65" xfId="230"/>
    <cellStyle name="Normal 65 2" xfId="1130"/>
    <cellStyle name="Normal 65 3" xfId="1131"/>
    <cellStyle name="Normal 66" xfId="231"/>
    <cellStyle name="Normal 66 2" xfId="1132"/>
    <cellStyle name="Normal 66 3" xfId="1133"/>
    <cellStyle name="Normal 67" xfId="232"/>
    <cellStyle name="Normal 67 2" xfId="1134"/>
    <cellStyle name="Normal 67 3" xfId="1135"/>
    <cellStyle name="Normal 68" xfId="233"/>
    <cellStyle name="Normal 68 2" xfId="1136"/>
    <cellStyle name="Normal 68 3" xfId="1137"/>
    <cellStyle name="Normal 69" xfId="234"/>
    <cellStyle name="Normal 69 2" xfId="1138"/>
    <cellStyle name="Normal 69 3" xfId="1139"/>
    <cellStyle name="Normal 7" xfId="235"/>
    <cellStyle name="Normal 7 2" xfId="236"/>
    <cellStyle name="Normal 7 2 2" xfId="517"/>
    <cellStyle name="Normal 7 2 2 2" xfId="1140"/>
    <cellStyle name="Normal 7 2 2 2 2" xfId="1141"/>
    <cellStyle name="Normal 7 2 2 2 2 2" xfId="1142"/>
    <cellStyle name="Normal 7 2 2 2 3" xfId="1143"/>
    <cellStyle name="Normal 7 2 2 3" xfId="1144"/>
    <cellStyle name="Normal 7 2 2 3 2" xfId="1145"/>
    <cellStyle name="Normal 7 2 2 4" xfId="1146"/>
    <cellStyle name="Normal 7 2 3" xfId="1147"/>
    <cellStyle name="Normal 7 2 3 2" xfId="1148"/>
    <cellStyle name="Normal 7 2 3 2 2" xfId="1149"/>
    <cellStyle name="Normal 7 2 3 3" xfId="1150"/>
    <cellStyle name="Normal 7 2 4" xfId="1151"/>
    <cellStyle name="Normal 7 2 4 2" xfId="1152"/>
    <cellStyle name="Normal 7 2 5" xfId="1153"/>
    <cellStyle name="Normal 7 3" xfId="1154"/>
    <cellStyle name="Normal 7 3 2" xfId="1155"/>
    <cellStyle name="Normal 7 3 2 2" xfId="1156"/>
    <cellStyle name="Normal 7 3 2 2 2" xfId="1157"/>
    <cellStyle name="Normal 7 3 2 3" xfId="1158"/>
    <cellStyle name="Normal 7 3 3" xfId="1159"/>
    <cellStyle name="Normal 7 3 3 2" xfId="1160"/>
    <cellStyle name="Normal 7 3 4" xfId="1161"/>
    <cellStyle name="Normal 7 4" xfId="1162"/>
    <cellStyle name="Normal 7 4 2" xfId="1163"/>
    <cellStyle name="Normal 7 4 2 2" xfId="1164"/>
    <cellStyle name="Normal 7 4 3" xfId="1165"/>
    <cellStyle name="Normal 7 5" xfId="1166"/>
    <cellStyle name="Normal 7 5 2" xfId="1167"/>
    <cellStyle name="Normal 7 6" xfId="1168"/>
    <cellStyle name="Normal 70" xfId="237"/>
    <cellStyle name="Normal 70 2" xfId="1169"/>
    <cellStyle name="Normal 70 3" xfId="1170"/>
    <cellStyle name="Normal 71" xfId="238"/>
    <cellStyle name="Normal 72" xfId="239"/>
    <cellStyle name="Normal 73" xfId="240"/>
    <cellStyle name="Normal 74" xfId="241"/>
    <cellStyle name="Normal 75" xfId="242"/>
    <cellStyle name="Normal 76" xfId="243"/>
    <cellStyle name="Normal 77" xfId="244"/>
    <cellStyle name="Normal 78" xfId="245"/>
    <cellStyle name="Normal 79" xfId="246"/>
    <cellStyle name="Normal 8" xfId="247"/>
    <cellStyle name="Normal 8 2" xfId="518"/>
    <cellStyle name="Normal 8 2 2" xfId="519"/>
    <cellStyle name="Normal 8 2 2 2" xfId="1171"/>
    <cellStyle name="Normal 8 2 2 2 2" xfId="1172"/>
    <cellStyle name="Normal 8 2 2 3" xfId="1173"/>
    <cellStyle name="Normal 8 2 3" xfId="1174"/>
    <cellStyle name="Normal 8 2 3 2" xfId="1175"/>
    <cellStyle name="Normal 8 2 4" xfId="1176"/>
    <cellStyle name="Normal 8 3" xfId="1177"/>
    <cellStyle name="Normal 8 3 2" xfId="1178"/>
    <cellStyle name="Normal 8 3 2 2" xfId="1179"/>
    <cellStyle name="Normal 8 3 3" xfId="1180"/>
    <cellStyle name="Normal 8 4" xfId="1181"/>
    <cellStyle name="Normal 8 4 2" xfId="1182"/>
    <cellStyle name="Normal 8 5" xfId="1183"/>
    <cellStyle name="Normal 80" xfId="248"/>
    <cellStyle name="Normal 81" xfId="249"/>
    <cellStyle name="Normal 82" xfId="250"/>
    <cellStyle name="Normal 83" xfId="251"/>
    <cellStyle name="Normal 84" xfId="252"/>
    <cellStyle name="Normal 84 2" xfId="314"/>
    <cellStyle name="Normal 84 3" xfId="520"/>
    <cellStyle name="Normal 85" xfId="253"/>
    <cellStyle name="Normal 85 2" xfId="521"/>
    <cellStyle name="Normal 85 2 2" xfId="1184"/>
    <cellStyle name="Normal 85 3" xfId="522"/>
    <cellStyle name="Normal 86" xfId="315"/>
    <cellStyle name="Normal 86 2" xfId="1185"/>
    <cellStyle name="Normal 86 3" xfId="1186"/>
    <cellStyle name="Normal 87" xfId="316"/>
    <cellStyle name="Normal 87 2" xfId="1187"/>
    <cellStyle name="Normal 88" xfId="317"/>
    <cellStyle name="Normal 88 2" xfId="1188"/>
    <cellStyle name="Normal 89" xfId="318"/>
    <cellStyle name="Normal 9" xfId="254"/>
    <cellStyle name="Normal 9 2" xfId="523"/>
    <cellStyle name="Normal 9 2 2" xfId="524"/>
    <cellStyle name="Normal 9 2 2 2" xfId="1189"/>
    <cellStyle name="Normal 9 2 2 2 2" xfId="1190"/>
    <cellStyle name="Normal 9 2 2 3" xfId="1191"/>
    <cellStyle name="Normal 9 2 3" xfId="1192"/>
    <cellStyle name="Normal 9 2 3 2" xfId="1193"/>
    <cellStyle name="Normal 9 2 4" xfId="1194"/>
    <cellStyle name="Normal 9 3" xfId="1195"/>
    <cellStyle name="Normal 9 3 2" xfId="1196"/>
    <cellStyle name="Normal 9 3 2 2" xfId="1197"/>
    <cellStyle name="Normal 9 3 3" xfId="1198"/>
    <cellStyle name="Normal 9 4" xfId="1199"/>
    <cellStyle name="Normal 9 4 2" xfId="1200"/>
    <cellStyle name="Normal 9 5" xfId="1201"/>
    <cellStyle name="Normal 90" xfId="319"/>
    <cellStyle name="Normal 91" xfId="320"/>
    <cellStyle name="Normal 92" xfId="525"/>
    <cellStyle name="Normal 92 2" xfId="1202"/>
    <cellStyle name="Normal 93" xfId="526"/>
    <cellStyle name="Normal 93 2" xfId="1203"/>
    <cellStyle name="Normal 94" xfId="527"/>
    <cellStyle name="Normal 94 2" xfId="1204"/>
    <cellStyle name="Normal 95" xfId="528"/>
    <cellStyle name="Normal 95 2" xfId="1205"/>
    <cellStyle name="Normal 96" xfId="529"/>
    <cellStyle name="Normal 96 2" xfId="1206"/>
    <cellStyle name="Normal 97" xfId="530"/>
    <cellStyle name="Normal 97 2" xfId="1207"/>
    <cellStyle name="Normal 98" xfId="531"/>
    <cellStyle name="Normal 98 2" xfId="1208"/>
    <cellStyle name="Normal 99" xfId="532"/>
    <cellStyle name="Normal 99 2" xfId="1209"/>
    <cellStyle name="Normal_Regulated Price Out 9-6-2011 Final HL" xfId="3"/>
    <cellStyle name="Note 2" xfId="255"/>
    <cellStyle name="Note 2 2" xfId="533"/>
    <cellStyle name="Note 2 3" xfId="534"/>
    <cellStyle name="Note 2 4" xfId="1210"/>
    <cellStyle name="Note 3" xfId="256"/>
    <cellStyle name="Note 3 2" xfId="535"/>
    <cellStyle name="Note 3 3" xfId="536"/>
    <cellStyle name="Note 3 4" xfId="1211"/>
    <cellStyle name="Note 4" xfId="257"/>
    <cellStyle name="Note 4 2" xfId="1212"/>
    <cellStyle name="Note 5" xfId="1213"/>
    <cellStyle name="Notes" xfId="258"/>
    <cellStyle name="Output 2" xfId="259"/>
    <cellStyle name="Output 2 2" xfId="1214"/>
    <cellStyle name="Output 2 2 2" xfId="1215"/>
    <cellStyle name="Output 2 3" xfId="1216"/>
    <cellStyle name="Output 3" xfId="260"/>
    <cellStyle name="Output 3 2" xfId="537"/>
    <cellStyle name="Output 4" xfId="1217"/>
    <cellStyle name="Percent" xfId="2" builtinId="5"/>
    <cellStyle name="Percent 10" xfId="538"/>
    <cellStyle name="Percent 10 2" xfId="1218"/>
    <cellStyle name="Percent 10 3" xfId="1219"/>
    <cellStyle name="Percent 2" xfId="261"/>
    <cellStyle name="Percent 2 2" xfId="262"/>
    <cellStyle name="Percent 2 2 2" xfId="321"/>
    <cellStyle name="Percent 2 2 3" xfId="539"/>
    <cellStyle name="Percent 2 3" xfId="263"/>
    <cellStyle name="Percent 2 4" xfId="540"/>
    <cellStyle name="Percent 2 6" xfId="322"/>
    <cellStyle name="Percent 3" xfId="264"/>
    <cellStyle name="Percent 3 2" xfId="323"/>
    <cellStyle name="Percent 3 2 2" xfId="541"/>
    <cellStyle name="Percent 3 2 2 2" xfId="1220"/>
    <cellStyle name="Percent 3 2 2 2 2" xfId="1221"/>
    <cellStyle name="Percent 3 2 2 3" xfId="1222"/>
    <cellStyle name="Percent 3 2 3" xfId="1223"/>
    <cellStyle name="Percent 3 2 3 2" xfId="1224"/>
    <cellStyle name="Percent 3 2 4" xfId="1225"/>
    <cellStyle name="Percent 3 3" xfId="1226"/>
    <cellStyle name="Percent 3 3 2" xfId="1227"/>
    <cellStyle name="Percent 3 3 2 2" xfId="1228"/>
    <cellStyle name="Percent 3 3 3" xfId="1229"/>
    <cellStyle name="Percent 3 4" xfId="1230"/>
    <cellStyle name="Percent 3 4 2" xfId="1231"/>
    <cellStyle name="Percent 3 5" xfId="1232"/>
    <cellStyle name="Percent 3 5 2" xfId="1233"/>
    <cellStyle name="Percent 3 6" xfId="1234"/>
    <cellStyle name="Percent 4" xfId="265"/>
    <cellStyle name="Percent 4 2" xfId="266"/>
    <cellStyle name="Percent 4 3" xfId="542"/>
    <cellStyle name="Percent 4 4" xfId="543"/>
    <cellStyle name="Percent 4 4 2" xfId="1235"/>
    <cellStyle name="Percent 4 4 2 2" xfId="1236"/>
    <cellStyle name="Percent 5" xfId="267"/>
    <cellStyle name="Percent 5 2" xfId="544"/>
    <cellStyle name="Percent 5 2 2" xfId="1237"/>
    <cellStyle name="Percent 5 2 2 2" xfId="1238"/>
    <cellStyle name="Percent 5 2 3" xfId="1239"/>
    <cellStyle name="Percent 5 3" xfId="1240"/>
    <cellStyle name="Percent 5 3 2" xfId="1241"/>
    <cellStyle name="Percent 5 4" xfId="1242"/>
    <cellStyle name="Percent 5 4 2" xfId="1243"/>
    <cellStyle name="Percent 6" xfId="268"/>
    <cellStyle name="Percent 6 2" xfId="545"/>
    <cellStyle name="Percent 6 2 2" xfId="1244"/>
    <cellStyle name="Percent 6 3" xfId="1245"/>
    <cellStyle name="Percent 7" xfId="269"/>
    <cellStyle name="Percent 7 2" xfId="324"/>
    <cellStyle name="Percent 7 2 2" xfId="1246"/>
    <cellStyle name="Percent 7 3" xfId="546"/>
    <cellStyle name="Percent 7 4" xfId="1247"/>
    <cellStyle name="Percent 8" xfId="270"/>
    <cellStyle name="Percent 8 2" xfId="1248"/>
    <cellStyle name="Percent 9" xfId="547"/>
    <cellStyle name="Percent 9 2" xfId="1249"/>
    <cellStyle name="Percent 9 3" xfId="1250"/>
    <cellStyle name="Percent(1)" xfId="271"/>
    <cellStyle name="Percent(2)" xfId="272"/>
    <cellStyle name="Posting_Period" xfId="1251"/>
    <cellStyle name="PRM" xfId="273"/>
    <cellStyle name="PRM 2" xfId="274"/>
    <cellStyle name="PRM 3" xfId="275"/>
    <cellStyle name="PRM_2011-11" xfId="276"/>
    <cellStyle name="PS_Comma" xfId="325"/>
    <cellStyle name="PSChar" xfId="277"/>
    <cellStyle name="PSDate" xfId="326"/>
    <cellStyle name="PSDec" xfId="327"/>
    <cellStyle name="PSHeading" xfId="278"/>
    <cellStyle name="PSInt" xfId="328"/>
    <cellStyle name="PSSpacer" xfId="329"/>
    <cellStyle name="STYL0 - Style1" xfId="279"/>
    <cellStyle name="STYL1 - Style2" xfId="280"/>
    <cellStyle name="STYL2 - Style3" xfId="281"/>
    <cellStyle name="STYL3 - Style4" xfId="282"/>
    <cellStyle name="STYL4 - Style5" xfId="283"/>
    <cellStyle name="STYL5 - Style6" xfId="284"/>
    <cellStyle name="STYL6 - Style7" xfId="285"/>
    <cellStyle name="STYL7 - Style8" xfId="286"/>
    <cellStyle name="Style 1" xfId="287"/>
    <cellStyle name="Style 1 2" xfId="288"/>
    <cellStyle name="STYLE1" xfId="289"/>
    <cellStyle name="STYLE1 2" xfId="1252"/>
    <cellStyle name="sub heading" xfId="290"/>
    <cellStyle name="Tax_Rate" xfId="1253"/>
    <cellStyle name="Title 2" xfId="291"/>
    <cellStyle name="Title 2 2" xfId="1254"/>
    <cellStyle name="Title 2 2 2" xfId="1255"/>
    <cellStyle name="Title 2 3" xfId="1256"/>
    <cellStyle name="Title 3" xfId="292"/>
    <cellStyle name="Title 3 2" xfId="548"/>
    <cellStyle name="Title 4" xfId="1257"/>
    <cellStyle name="Total 2" xfId="293"/>
    <cellStyle name="Total 2 2" xfId="549"/>
    <cellStyle name="Total 2 3" xfId="550"/>
    <cellStyle name="Total 2 4" xfId="1258"/>
    <cellStyle name="Total 3" xfId="294"/>
    <cellStyle name="Total 3 2" xfId="551"/>
    <cellStyle name="Total 3 3" xfId="552"/>
    <cellStyle name="Total 4" xfId="295"/>
    <cellStyle name="Total 4 2" xfId="1259"/>
    <cellStyle name="Transcript_Date" xfId="1260"/>
    <cellStyle name="Warning Text 2" xfId="296"/>
    <cellStyle name="Warning Text 3" xfId="330"/>
    <cellStyle name="Warning Text 4" xfId="1261"/>
    <cellStyle name="WM_STANDARD" xfId="3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customXml" Target="../customXml/item4.xml"/><Relationship Id="rId21" Type="http://schemas.openxmlformats.org/officeDocument/2006/relationships/externalLink" Target="externalLinks/externalLink16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customXml" Target="../customXml/item1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calcChain" Target="calcChain.xml"/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son\Rate%20Increase%201-1-2013\1%20Filing%2011-14-2012\Revised%202-21-2013\staff%20Mason%20Proforma%209-30-2012-Linked%20Cust%20Count%20Fix%2012-2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utcfs2\grp_data\District\Joe_Garza\mark%20gregg\WUTC%20Files\Eastside\Eastside%20Rate%20Case%202006\Eastside%20RC%202006%20Filing%20Docs\Proforma%20Eastside%202005%204.17.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5\DistShares\WCNX%20Stuff\Excel\Financials\Excel%20Financials\ExcelFinancial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Columbia%202025/General%20Filing%204-15-2016/Filed%204-15-16/CRD%20Pro%20forma%203-31-2016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ControllerDir/Brent_Blair_Kortney/PO%20Report%20by%20Division/PO%20Report_v3b%202013-08-26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Vashon/Rate%20Incr%201-1-2012/Vashon%20Pro%20Form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shon\Rate%20Incr%201-1-2012\Vashon%20Pro%20Form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rmgardw\Local%20Settings\Temporary%20Internet%20Files\Content.Outlook\1ZKX32J2\Proforma%209-14-1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6\sacshare\Data_Automation\DMS\RouteManagerReports\RM_MM001_Query_v4c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IP%20Files/2010%20Clark%20County-%202009%20Vancouver/12.31.2010%20Test%20Year/Proforma%20Clark%20County%20101231%20Filing-Draft-FINAL%20VERS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disnap\accounting\MODEST~1\203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b1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Annual%20Reports/2180%20LeMay/2009/LeMay%20Annual%20Report%2009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4\home$\Annual%20Reports\2180%20LeMay\2009\LeMay%20Annual%20Report%2009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nual%20Reports\2180%20LeMay\2009\LeMay%20Annual%20Report%2009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4\home$\LeMay\Master%20Truck%20Schedule\South_LeMay%20Master%20Truck%20Schedule-Shared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May\Master%20Truck%20Schedule\South_LeMay%20Master%20Truck%20Schedule-Shared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c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_WASTE\SYS\ACCOUNT\CV2000\022000\2000_FEBRUARY_%20GL%20REC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RC%20Reports/SRC%20Format/Bonus%20Schedule/PNWR%20SRC%20Bonus%20Schedule%20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4\home$\SRC%20Reports\SRC%20Format\Bonus%20Schedule\PNWR%20SRC%20Bonus%20Schedule%20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RC%20Reports\SRC%20Format\Bonus%20Schedule\PNWR%20SRC%20Bonus%20Schedule%20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LeMay/2183-1%20Pacific%20Disp,%20Butlers%20Cove/Filing%20Possibly%202012/Filing/Audit/Final%20Outcome%208-14-2012/Pro%20Forma%20Pacific%20Disposal_Staf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May\2183-1%20Pacific%20Disp,%20Butlers%20Cove\Filing%20Possibly%202012\Filing\Audit\Final%20Outcome%208-14-2012\Pro%20Forma%20Pacific%20Disposal_Staff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ason/Rate%20Increase%201-1-2013/1%20Filing%2011-14-2012/Revised%202-21-2013/staff%20Mason%20Proforma%209-30-2012-Linked%20Cust%20Count%20Fix%2012-2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>
        <row r="5">
          <cell r="D5">
            <v>10.71</v>
          </cell>
        </row>
        <row r="14">
          <cell r="C14" t="str">
            <v>dist</v>
          </cell>
          <cell r="E14" t="str">
            <v>=</v>
          </cell>
          <cell r="F14">
            <v>2149</v>
          </cell>
        </row>
      </sheetData>
      <sheetData sheetId="4" refreshError="1">
        <row r="6">
          <cell r="F6" t="str">
            <v>Time Series</v>
          </cell>
        </row>
        <row r="17">
          <cell r="B17" t="str">
            <v>ACCT</v>
          </cell>
          <cell r="C17" t="str">
            <v>-</v>
          </cell>
        </row>
        <row r="22">
          <cell r="C22" t="str">
            <v>Financial</v>
          </cell>
        </row>
        <row r="23">
          <cell r="C23" t="str">
            <v>ALL</v>
          </cell>
        </row>
        <row r="24">
          <cell r="C24" t="str">
            <v>Variable</v>
          </cell>
        </row>
      </sheetData>
      <sheetData sheetId="5" refreshError="1">
        <row r="8">
          <cell r="E8" t="str">
            <v>Report</v>
          </cell>
        </row>
        <row r="12">
          <cell r="B12" t="b">
            <v>0</v>
          </cell>
        </row>
      </sheetData>
      <sheetData sheetId="6" refreshError="1"/>
      <sheetData sheetId="7" refreshError="1">
        <row r="11">
          <cell r="D11">
            <v>10002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 t="str">
            <v>Cash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Class A IS"/>
      <sheetName val="2149 BS"/>
      <sheetName val="9-30-11 BS"/>
      <sheetName val="2149 IS"/>
      <sheetName val="Consolidated IS"/>
      <sheetName val="Ratios"/>
      <sheetName val="Restating Adj"/>
      <sheetName val="Restating Expl"/>
      <sheetName val="Pro forma Adj"/>
      <sheetName val="Pro-forma"/>
      <sheetName val="LG-Combined"/>
      <sheetName val="LG-Pckr,RO"/>
      <sheetName val="LG-Recycl"/>
      <sheetName val="Price Out"/>
      <sheetName val="Rate Sheet"/>
      <sheetName val="Pckr, RO, Matrix"/>
      <sheetName val="COS Packer,RO "/>
      <sheetName val="Recycl Matrix"/>
      <sheetName val="COS Recycle"/>
      <sheetName val="Disposal Calc"/>
      <sheetName val="Disposal Schedule"/>
      <sheetName val="Fuel"/>
      <sheetName val="PR Summary"/>
      <sheetName val="Depr Summary"/>
      <sheetName val="Depreciation"/>
      <sheetName val="Cust Count"/>
      <sheetName val="Rt Study Summary"/>
      <sheetName val="Recycl Tons, Commodity Value"/>
      <sheetName val="Tribal Cnts"/>
      <sheetName val="Corp OH"/>
      <sheetName val="Corp Debt Equity"/>
      <sheetName val="Balance Sheet"/>
      <sheetName val="P&amp;L"/>
      <sheetName val="70195 JE-WRRA Dues"/>
      <sheetName val="56095 JE"/>
      <sheetName val="Non-Reg Price Out"/>
      <sheetName val="30% Commodity Justification"/>
      <sheetName val="TRC Processing Justfication"/>
      <sheetName val="Orig Price Out"/>
      <sheetName val="Rate Sheet Dec 2012"/>
      <sheetName val="Orig COS Packer,RO "/>
      <sheetName val="LG-Pckr w DF"/>
      <sheetName val="LG-Pckr w-out DF"/>
      <sheetName val="LG-RO"/>
    </sheetNames>
    <sheetDataSet>
      <sheetData sheetId="0" refreshError="1">
        <row r="107">
          <cell r="L107">
            <v>1755086.2007667283</v>
          </cell>
        </row>
        <row r="214">
          <cell r="L214">
            <v>861493.18580596044</v>
          </cell>
        </row>
        <row r="278">
          <cell r="L278">
            <v>840474.49671344017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3">
          <cell r="L23">
            <v>2329.3388396454475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LG Garbage"/>
      <sheetName val=" LG recycle"/>
      <sheetName val="LG Yardwaste"/>
      <sheetName val="LG MF Recycle"/>
      <sheetName val="Proforma"/>
      <sheetName val="matrix"/>
      <sheetName val="COS"/>
      <sheetName val="Price Out-Reg EASTSIDE-Resi"/>
      <sheetName val="Price Out-Comm MSW"/>
      <sheetName val="Price Out-Drop Box"/>
      <sheetName val="Price Out-MF Recycle 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 refreshError="1">
        <row r="2">
          <cell r="X2" t="str">
            <v>P&amp;L Close Report</v>
          </cell>
          <cell r="Z2" t="str">
            <v>Consolidated</v>
          </cell>
        </row>
        <row r="3">
          <cell r="Z3" t="str">
            <v>Region</v>
          </cell>
        </row>
        <row r="4">
          <cell r="Z4" t="str">
            <v>District</v>
          </cell>
        </row>
        <row r="5">
          <cell r="Z5" t="str">
            <v>Multiple Districts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 BS"/>
      <sheetName val="2025 IS"/>
      <sheetName val="Consolidated IS"/>
      <sheetName val="Pro-forma"/>
      <sheetName val="Restating Adj"/>
      <sheetName val="Restating Expl"/>
      <sheetName val="Pro Forma Adj"/>
      <sheetName val="Ratios"/>
      <sheetName val="LG"/>
      <sheetName val="LG G-48"/>
      <sheetName val="LG G-51"/>
      <sheetName val="G-48 Price Out"/>
      <sheetName val="G-51 Price Out"/>
      <sheetName val="Rate Schedule G-48"/>
      <sheetName val="References"/>
      <sheetName val="G-48 DF Calc"/>
      <sheetName val="DF Schedule"/>
      <sheetName val="Depr Summary"/>
      <sheetName val="Depreciation"/>
      <sheetName val="Payroll Detail"/>
      <sheetName val="DivCon-DVP Alloc In"/>
      <sheetName val="Corp-OH"/>
      <sheetName val="Region OH Calc"/>
      <sheetName val="Corp-BS"/>
      <sheetName val="Corp-IS"/>
      <sheetName val="38000 Other Rev"/>
      <sheetName val="2025 BS 3-31-2015"/>
    </sheetNames>
    <sheetDataSet>
      <sheetData sheetId="0"/>
      <sheetData sheetId="1"/>
      <sheetData sheetId="2"/>
      <sheetData sheetId="3" refreshError="1"/>
      <sheetData sheetId="4"/>
      <sheetData sheetId="5">
        <row r="78">
          <cell r="D78">
            <v>13340.018881532844</v>
          </cell>
        </row>
      </sheetData>
      <sheetData sheetId="6">
        <row r="27">
          <cell r="B27">
            <v>353.32367365298381</v>
          </cell>
        </row>
      </sheetData>
      <sheetData sheetId="7">
        <row r="13">
          <cell r="B13">
            <v>0.89361089902323576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60">
          <cell r="C60">
            <v>178633.12500000003</v>
          </cell>
        </row>
      </sheetData>
      <sheetData sheetId="17">
        <row r="1">
          <cell r="A1" t="str">
            <v>Columbia River Disposal, Inc. G-48/G-51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6">
          <cell r="D6">
            <v>10000</v>
          </cell>
        </row>
        <row r="8">
          <cell r="H8" t="str">
            <v>2016-06</v>
          </cell>
        </row>
        <row r="12">
          <cell r="G12" t="str">
            <v>2015-04</v>
          </cell>
        </row>
        <row r="13">
          <cell r="G13" t="str">
            <v>2016-03</v>
          </cell>
        </row>
      </sheetData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 Tables"/>
      <sheetName val="Data"/>
      <sheetName val="By Division"/>
      <sheetName val="&quot;Invioced&quot;"/>
      <sheetName val="Invoice_Drill"/>
      <sheetName val="PO_Drill"/>
      <sheetName val="District-Division Listing"/>
    </sheetNames>
    <sheetDataSet>
      <sheetData sheetId="0">
        <row r="1">
          <cell r="A1" t="str">
            <v>All</v>
          </cell>
        </row>
        <row r="2">
          <cell r="A2" t="str">
            <v>2008-01</v>
          </cell>
        </row>
        <row r="3">
          <cell r="A3" t="str">
            <v>2008-02</v>
          </cell>
        </row>
        <row r="4">
          <cell r="A4" t="str">
            <v>2008-03</v>
          </cell>
        </row>
        <row r="5">
          <cell r="A5" t="str">
            <v>2008-04</v>
          </cell>
        </row>
        <row r="6">
          <cell r="A6" t="str">
            <v>2008-05</v>
          </cell>
        </row>
        <row r="7">
          <cell r="A7" t="str">
            <v>2008-06</v>
          </cell>
        </row>
        <row r="8">
          <cell r="A8" t="str">
            <v>2008-07</v>
          </cell>
        </row>
        <row r="9">
          <cell r="A9" t="str">
            <v>2008-08</v>
          </cell>
        </row>
        <row r="10">
          <cell r="A10" t="str">
            <v>2008-09</v>
          </cell>
        </row>
        <row r="11">
          <cell r="A11" t="str">
            <v>2008-10</v>
          </cell>
        </row>
        <row r="12">
          <cell r="A12" t="str">
            <v>2008-11</v>
          </cell>
        </row>
        <row r="13">
          <cell r="A13" t="str">
            <v>2008-12</v>
          </cell>
        </row>
      </sheetData>
      <sheetData sheetId="1">
        <row r="3">
          <cell r="E3" t="str">
            <v>Western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Consolidated BS"/>
      <sheetName val="IS-2120"/>
      <sheetName val="IS-2121"/>
      <sheetName val="Consolidated IS"/>
      <sheetName val="Proforma"/>
      <sheetName val="Restate-Regulated"/>
      <sheetName val="Restating Expl"/>
      <sheetName val="Pro forma Adj"/>
      <sheetName val="LG"/>
      <sheetName val="LG-Pckr Rts"/>
      <sheetName val="LG-RO"/>
      <sheetName val="LG-Recycl"/>
      <sheetName val="Price-out"/>
      <sheetName val="Rate Schedule"/>
      <sheetName val="2120 Depr Summary"/>
      <sheetName val="2120 Depr"/>
      <sheetName val="2121 Depr Summary"/>
      <sheetName val="2121 Depr"/>
      <sheetName val="2120 Fuel "/>
      <sheetName val="DF-Summary"/>
      <sheetName val="Whitman"/>
      <sheetName val="Spokane"/>
      <sheetName val="Lincoln"/>
      <sheetName val="Med Waste"/>
      <sheetName val="Payroll, 2120"/>
      <sheetName val="Contract-Rev,Cust Cnt"/>
      <sheetName val="Time Allocation"/>
    </sheetNames>
    <sheetDataSet>
      <sheetData sheetId="0"/>
      <sheetData sheetId="1"/>
      <sheetData sheetId="2"/>
      <sheetData sheetId="3"/>
      <sheetData sheetId="4">
        <row r="91">
          <cell r="C91">
            <v>8686.3100000000013</v>
          </cell>
        </row>
      </sheetData>
      <sheetData sheetId="5"/>
      <sheetData sheetId="6">
        <row r="19">
          <cell r="G19">
            <v>2099422.06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/>
      <sheetData sheetId="1">
        <row r="9">
          <cell r="L9">
            <v>11501</v>
          </cell>
        </row>
        <row r="10">
          <cell r="L10" t="str">
            <v>11501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009 BS"/>
      <sheetName val="2010 BS"/>
      <sheetName val="Combined BS"/>
      <sheetName val="2009 IS"/>
      <sheetName val="2010 IS"/>
      <sheetName val="Combined 12 mo IS"/>
      <sheetName val="Consolidated IS 2009 2010"/>
      <sheetName val="Consolidated IS - IRMGARD"/>
      <sheetName val="Pro forma "/>
      <sheetName val="Pro forma-Line of Service"/>
      <sheetName val="Restatements"/>
      <sheetName val="Proforma Adjusts"/>
      <sheetName val="2009 Price Out (REG)"/>
      <sheetName val="GL Recon"/>
      <sheetName val="Customer Count Summary"/>
      <sheetName val="2009 Payroll"/>
      <sheetName val="2010 Payroll"/>
      <sheetName val="2009,2010 Depr Summary"/>
      <sheetName val="Time Study"/>
      <sheetName val="2009 Insurance"/>
      <sheetName val="2010 Insurance"/>
      <sheetName val="2009 Disposal"/>
      <sheetName val="2010 Disposal"/>
      <sheetName val="2009 Fuel"/>
      <sheetName val="2009 Depr Summary"/>
      <sheetName val="2009 Trks"/>
      <sheetName val="2009 Cont, DB"/>
      <sheetName val="2009 Serv, Shop"/>
      <sheetName val="2009 Office"/>
      <sheetName val="2009 Leasehold"/>
      <sheetName val="2010 Fuel"/>
      <sheetName val="2010 Deprec Summary"/>
      <sheetName val="2010 Trks"/>
      <sheetName val="2010 Cont, DB"/>
      <sheetName val="2010 Serv, Shop"/>
      <sheetName val="2010 Office"/>
      <sheetName val="2010 Leasehold"/>
      <sheetName val="Region Allocation (2)"/>
      <sheetName val="LG-Total Company before DF"/>
      <sheetName val="LG-Packer Rts before DF"/>
      <sheetName val="LG-RO Rts before DF"/>
      <sheetName val="LG-Total Company"/>
      <sheetName val="LG-Packer Rts"/>
      <sheetName val="LG-RO Rts"/>
      <sheetName val="LG-Recycl"/>
      <sheetName val="Scenarios"/>
      <sheetName val="Scenarios (2)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41429.11</v>
          </cell>
          <cell r="F14">
            <v>39826.22</v>
          </cell>
          <cell r="G14">
            <v>49022.75</v>
          </cell>
          <cell r="H14">
            <v>45137.86</v>
          </cell>
          <cell r="I14">
            <v>48263.81</v>
          </cell>
          <cell r="J14">
            <v>55314.5</v>
          </cell>
          <cell r="K14">
            <v>60046.02</v>
          </cell>
          <cell r="L14">
            <v>64582.7</v>
          </cell>
          <cell r="M14">
            <v>55932.07</v>
          </cell>
          <cell r="N14">
            <v>50932.34</v>
          </cell>
          <cell r="O14">
            <v>38587.67</v>
          </cell>
          <cell r="P14">
            <v>43420.76</v>
          </cell>
          <cell r="Q14">
            <v>592495.81000000006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93946.63</v>
          </cell>
          <cell r="F19">
            <v>91101.8</v>
          </cell>
          <cell r="G19">
            <v>108743.12</v>
          </cell>
          <cell r="H19">
            <v>100411.54</v>
          </cell>
          <cell r="I19">
            <v>109421.85</v>
          </cell>
          <cell r="J19">
            <v>119111.11</v>
          </cell>
          <cell r="K19">
            <v>114939.05</v>
          </cell>
          <cell r="L19">
            <v>123201.29</v>
          </cell>
          <cell r="M19">
            <v>128616.56</v>
          </cell>
          <cell r="N19">
            <v>103849.76</v>
          </cell>
          <cell r="O19">
            <v>87162.7</v>
          </cell>
          <cell r="P19">
            <v>101585.44</v>
          </cell>
          <cell r="Q19">
            <v>1282090.8499999999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31010</v>
          </cell>
          <cell r="B22" t="str">
            <v>Hauling Revenue - Roll Off Extras</v>
          </cell>
          <cell r="E22">
            <v>16354.41</v>
          </cell>
          <cell r="F22">
            <v>16430.849999999999</v>
          </cell>
          <cell r="G22">
            <v>18226.63</v>
          </cell>
          <cell r="H22">
            <v>17972.400000000001</v>
          </cell>
          <cell r="I22">
            <v>18790.919999999998</v>
          </cell>
          <cell r="J22">
            <v>19705.3</v>
          </cell>
          <cell r="K22">
            <v>21354.080000000002</v>
          </cell>
          <cell r="L22">
            <v>22365.29</v>
          </cell>
          <cell r="M22">
            <v>20804.36</v>
          </cell>
          <cell r="N22">
            <v>18374.21</v>
          </cell>
          <cell r="O22">
            <v>17346.11</v>
          </cell>
          <cell r="P22">
            <v>15627.2</v>
          </cell>
          <cell r="Q22">
            <v>223351.76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754535.74</v>
          </cell>
          <cell r="F26">
            <v>750848.79</v>
          </cell>
          <cell r="G26">
            <v>751484.07</v>
          </cell>
          <cell r="H26">
            <v>759461.88</v>
          </cell>
          <cell r="I26">
            <v>756344.84</v>
          </cell>
          <cell r="J26">
            <v>762351.19</v>
          </cell>
          <cell r="K26">
            <v>763571.04</v>
          </cell>
          <cell r="L26">
            <v>762014.08</v>
          </cell>
          <cell r="M26">
            <v>763381.19</v>
          </cell>
          <cell r="N26">
            <v>760410.82</v>
          </cell>
          <cell r="O26">
            <v>760222.53</v>
          </cell>
          <cell r="P26">
            <v>757663.07</v>
          </cell>
          <cell r="Q26">
            <v>9102289.2400000002</v>
          </cell>
        </row>
        <row r="27">
          <cell r="A27">
            <v>32001</v>
          </cell>
          <cell r="B27" t="str">
            <v>Hauling Revenue - Residential MSW Extras</v>
          </cell>
          <cell r="E27">
            <v>48676.93</v>
          </cell>
          <cell r="F27">
            <v>46005.81</v>
          </cell>
          <cell r="G27">
            <v>44057.39</v>
          </cell>
          <cell r="H27">
            <v>54145.79</v>
          </cell>
          <cell r="I27">
            <v>47089.22</v>
          </cell>
          <cell r="J27">
            <v>62711.39</v>
          </cell>
          <cell r="K27">
            <v>60222.84</v>
          </cell>
          <cell r="L27">
            <v>63321.38</v>
          </cell>
          <cell r="M27">
            <v>48663.92</v>
          </cell>
          <cell r="N27">
            <v>45750.71</v>
          </cell>
          <cell r="O27">
            <v>44578.41</v>
          </cell>
          <cell r="P27">
            <v>66011.64</v>
          </cell>
          <cell r="Q27">
            <v>631235.43000000005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414760.73</v>
          </cell>
          <cell r="F41">
            <v>412841.01</v>
          </cell>
          <cell r="G41">
            <v>416757.93</v>
          </cell>
          <cell r="H41">
            <v>417298.76</v>
          </cell>
          <cell r="I41">
            <v>417121.97</v>
          </cell>
          <cell r="J41">
            <v>421939.51</v>
          </cell>
          <cell r="K41">
            <v>420917.49</v>
          </cell>
          <cell r="L41">
            <v>425821.47</v>
          </cell>
          <cell r="M41">
            <v>424192</v>
          </cell>
          <cell r="N41">
            <v>415412.9</v>
          </cell>
          <cell r="O41">
            <v>413023.47</v>
          </cell>
          <cell r="P41">
            <v>411406.25</v>
          </cell>
          <cell r="Q41">
            <v>5011493.49</v>
          </cell>
        </row>
        <row r="42">
          <cell r="A42">
            <v>33001</v>
          </cell>
          <cell r="B42" t="str">
            <v>Hauling Revenue - Commercial FEL Extras</v>
          </cell>
          <cell r="E42">
            <v>16369.94</v>
          </cell>
          <cell r="F42">
            <v>15223.46</v>
          </cell>
          <cell r="G42">
            <v>18054.59</v>
          </cell>
          <cell r="H42">
            <v>17483.330000000002</v>
          </cell>
          <cell r="I42">
            <v>19168.46</v>
          </cell>
          <cell r="J42">
            <v>18357.68</v>
          </cell>
          <cell r="K42">
            <v>21453.19</v>
          </cell>
          <cell r="L42">
            <v>22591.22</v>
          </cell>
          <cell r="M42">
            <v>16352.74</v>
          </cell>
          <cell r="N42">
            <v>17430.650000000001</v>
          </cell>
          <cell r="O42">
            <v>16278.67</v>
          </cell>
          <cell r="P42">
            <v>16972.88</v>
          </cell>
          <cell r="Q42">
            <v>215736.81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1386073.49</v>
          </cell>
          <cell r="F61">
            <v>1372277.94</v>
          </cell>
          <cell r="G61">
            <v>1406346.48</v>
          </cell>
          <cell r="H61">
            <v>1411911.56</v>
          </cell>
          <cell r="I61">
            <v>1416201.0699999998</v>
          </cell>
          <cell r="J61">
            <v>1459490.68</v>
          </cell>
          <cell r="K61">
            <v>1462503.71</v>
          </cell>
          <cell r="L61">
            <v>1483897.43</v>
          </cell>
          <cell r="M61">
            <v>1457942.84</v>
          </cell>
          <cell r="N61">
            <v>1412161.3899999997</v>
          </cell>
          <cell r="O61">
            <v>1377199.56</v>
          </cell>
          <cell r="P61">
            <v>1412687.2399999998</v>
          </cell>
          <cell r="Q61">
            <v>17058693.389999997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3459.12</v>
          </cell>
          <cell r="F152">
            <v>7799.57</v>
          </cell>
          <cell r="G152">
            <v>2100.42</v>
          </cell>
          <cell r="H152">
            <v>7267.51</v>
          </cell>
          <cell r="I152">
            <v>3376.39</v>
          </cell>
          <cell r="J152">
            <v>7176.57</v>
          </cell>
          <cell r="K152">
            <v>3493.22</v>
          </cell>
          <cell r="L152">
            <v>8060.32</v>
          </cell>
          <cell r="M152">
            <v>2594</v>
          </cell>
          <cell r="N152">
            <v>7784.1</v>
          </cell>
          <cell r="O152">
            <v>6369.79</v>
          </cell>
          <cell r="P152">
            <v>9281.82</v>
          </cell>
          <cell r="Q152">
            <v>68762.829999999987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3459.12</v>
          </cell>
          <cell r="F154">
            <v>7799.57</v>
          </cell>
          <cell r="G154">
            <v>2100.42</v>
          </cell>
          <cell r="H154">
            <v>7267.51</v>
          </cell>
          <cell r="I154">
            <v>3376.39</v>
          </cell>
          <cell r="J154">
            <v>7176.57</v>
          </cell>
          <cell r="K154">
            <v>3493.22</v>
          </cell>
          <cell r="L154">
            <v>8060.32</v>
          </cell>
          <cell r="M154">
            <v>2594</v>
          </cell>
          <cell r="N154">
            <v>7784.1</v>
          </cell>
          <cell r="O154">
            <v>6369.79</v>
          </cell>
          <cell r="P154">
            <v>9281.82</v>
          </cell>
          <cell r="Q154">
            <v>68762.829999999987</v>
          </cell>
        </row>
        <row r="156">
          <cell r="A156" t="str">
            <v>Total Revenue</v>
          </cell>
          <cell r="E156">
            <v>1389532.61</v>
          </cell>
          <cell r="F156">
            <v>1380077.51</v>
          </cell>
          <cell r="G156">
            <v>1408446.9</v>
          </cell>
          <cell r="H156">
            <v>1419179.07</v>
          </cell>
          <cell r="I156">
            <v>1419577.4599999997</v>
          </cell>
          <cell r="J156">
            <v>1466667.25</v>
          </cell>
          <cell r="K156">
            <v>1465996.93</v>
          </cell>
          <cell r="L156">
            <v>1491957.75</v>
          </cell>
          <cell r="M156">
            <v>1460536.84</v>
          </cell>
          <cell r="N156">
            <v>1419945.4899999998</v>
          </cell>
          <cell r="O156">
            <v>1383569.35</v>
          </cell>
          <cell r="P156">
            <v>1421969.0599999998</v>
          </cell>
          <cell r="Q156">
            <v>17127456.219999995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</row>
        <row r="161">
          <cell r="A161">
            <v>40109</v>
          </cell>
          <cell r="B161" t="str">
            <v>Disposal Landfill Intercompany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</row>
        <row r="166">
          <cell r="A166">
            <v>40139</v>
          </cell>
          <cell r="B166" t="str">
            <v>Disposal Transfer Intercompany</v>
          </cell>
          <cell r="E166">
            <v>522940.33</v>
          </cell>
          <cell r="F166">
            <v>473522.39</v>
          </cell>
          <cell r="G166">
            <v>554204.89</v>
          </cell>
          <cell r="H166">
            <v>538277.64</v>
          </cell>
          <cell r="I166">
            <v>535071.71</v>
          </cell>
          <cell r="J166">
            <v>582693.4</v>
          </cell>
          <cell r="K166">
            <v>571614.11</v>
          </cell>
          <cell r="L166">
            <v>571380.55000000005</v>
          </cell>
          <cell r="M166">
            <v>569779.74</v>
          </cell>
          <cell r="N166">
            <v>537814.68999999994</v>
          </cell>
          <cell r="O166">
            <v>530807.82999999996</v>
          </cell>
          <cell r="P166">
            <v>576009.71</v>
          </cell>
          <cell r="Q166">
            <v>6564116.9899999993</v>
          </cell>
        </row>
        <row r="167">
          <cell r="A167" t="str">
            <v>Total Disposal</v>
          </cell>
          <cell r="E167">
            <v>522940.33</v>
          </cell>
          <cell r="F167">
            <v>473522.39</v>
          </cell>
          <cell r="G167">
            <v>554204.89</v>
          </cell>
          <cell r="H167">
            <v>538277.64</v>
          </cell>
          <cell r="I167">
            <v>535071.71</v>
          </cell>
          <cell r="J167">
            <v>582693.4</v>
          </cell>
          <cell r="K167">
            <v>571614.11</v>
          </cell>
          <cell r="L167">
            <v>571380.55000000005</v>
          </cell>
          <cell r="M167">
            <v>569779.74</v>
          </cell>
          <cell r="N167">
            <v>537814.68999999994</v>
          </cell>
          <cell r="O167">
            <v>530807.82999999996</v>
          </cell>
          <cell r="P167">
            <v>576009.71</v>
          </cell>
          <cell r="Q167">
            <v>6564116.9899999993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A184">
            <v>43001</v>
          </cell>
          <cell r="B184" t="str">
            <v>Taxes and Pass Thru Fees</v>
          </cell>
          <cell r="E184">
            <v>21087.73</v>
          </cell>
          <cell r="F184">
            <v>20959.080000000002</v>
          </cell>
          <cell r="G184">
            <v>21310.05</v>
          </cell>
          <cell r="H184">
            <v>15944.56</v>
          </cell>
          <cell r="I184">
            <v>23292.27</v>
          </cell>
          <cell r="J184">
            <v>26639.14</v>
          </cell>
          <cell r="K184">
            <v>26629.39</v>
          </cell>
          <cell r="L184">
            <v>27074.49</v>
          </cell>
          <cell r="M184">
            <v>26539.13</v>
          </cell>
          <cell r="N184">
            <v>25799.21</v>
          </cell>
          <cell r="O184">
            <v>25079.16</v>
          </cell>
          <cell r="P184">
            <v>25860.43</v>
          </cell>
          <cell r="Q184">
            <v>286214.64</v>
          </cell>
        </row>
        <row r="185">
          <cell r="A185">
            <v>43002</v>
          </cell>
          <cell r="B185" t="str">
            <v>WUTC Taxes</v>
          </cell>
          <cell r="E185">
            <v>5546.62</v>
          </cell>
          <cell r="F185">
            <v>5496.04</v>
          </cell>
          <cell r="G185">
            <v>5619.91</v>
          </cell>
          <cell r="H185">
            <v>5691.97</v>
          </cell>
          <cell r="I185">
            <v>5646.5</v>
          </cell>
          <cell r="J185">
            <v>5841.42</v>
          </cell>
          <cell r="K185">
            <v>5857.81</v>
          </cell>
          <cell r="L185">
            <v>5948.97</v>
          </cell>
          <cell r="M185">
            <v>5802.43</v>
          </cell>
          <cell r="N185">
            <v>5678.9</v>
          </cell>
          <cell r="O185">
            <v>5511.15</v>
          </cell>
          <cell r="P185">
            <v>5695</v>
          </cell>
          <cell r="Q185">
            <v>68336.72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26634.35</v>
          </cell>
          <cell r="F188">
            <v>26455.120000000003</v>
          </cell>
          <cell r="G188">
            <v>26929.96</v>
          </cell>
          <cell r="H188">
            <v>21636.53</v>
          </cell>
          <cell r="I188">
            <v>28938.77</v>
          </cell>
          <cell r="J188">
            <v>32480.559999999998</v>
          </cell>
          <cell r="K188">
            <v>32487.200000000001</v>
          </cell>
          <cell r="L188">
            <v>33023.46</v>
          </cell>
          <cell r="M188">
            <v>32341.56</v>
          </cell>
          <cell r="N188">
            <v>31478.11</v>
          </cell>
          <cell r="O188">
            <v>30590.309999999998</v>
          </cell>
          <cell r="P188">
            <v>31555.43</v>
          </cell>
          <cell r="Q188">
            <v>354551.36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>
            <v>44169</v>
          </cell>
          <cell r="B199" t="str">
            <v>Cost of Materials - Intercompany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</row>
        <row r="212">
          <cell r="A212" t="str">
            <v>Total Revenue Reductions</v>
          </cell>
          <cell r="E212">
            <v>549574.68000000005</v>
          </cell>
          <cell r="F212">
            <v>499977.51</v>
          </cell>
          <cell r="G212">
            <v>581134.85</v>
          </cell>
          <cell r="H212">
            <v>559914.17000000004</v>
          </cell>
          <cell r="I212">
            <v>564010.48</v>
          </cell>
          <cell r="J212">
            <v>615173.96</v>
          </cell>
          <cell r="K212">
            <v>604101.30999999994</v>
          </cell>
          <cell r="L212">
            <v>604404.01</v>
          </cell>
          <cell r="M212">
            <v>602121.30000000005</v>
          </cell>
          <cell r="N212">
            <v>569292.79999999993</v>
          </cell>
          <cell r="O212">
            <v>561398.1399999999</v>
          </cell>
          <cell r="P212">
            <v>607565.14</v>
          </cell>
          <cell r="Q212">
            <v>6918668.3499999996</v>
          </cell>
        </row>
        <row r="214">
          <cell r="A214" t="str">
            <v>Net Revenue</v>
          </cell>
          <cell r="E214">
            <v>839957.93</v>
          </cell>
          <cell r="F214">
            <v>880100</v>
          </cell>
          <cell r="G214">
            <v>827312.04999999993</v>
          </cell>
          <cell r="H214">
            <v>859264.9</v>
          </cell>
          <cell r="I214">
            <v>855566.97999999975</v>
          </cell>
          <cell r="J214">
            <v>851493.29</v>
          </cell>
          <cell r="K214">
            <v>861895.62</v>
          </cell>
          <cell r="L214">
            <v>887553.74</v>
          </cell>
          <cell r="M214">
            <v>858415.54</v>
          </cell>
          <cell r="N214">
            <v>850652.68999999983</v>
          </cell>
          <cell r="O214">
            <v>822171.2100000002</v>
          </cell>
          <cell r="P214">
            <v>814403.91999999981</v>
          </cell>
          <cell r="Q214">
            <v>10208787.869999995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148506.62</v>
          </cell>
          <cell r="F219">
            <v>147781.52000000002</v>
          </cell>
          <cell r="G219">
            <v>162872.48000000001</v>
          </cell>
          <cell r="H219">
            <v>152426.56</v>
          </cell>
          <cell r="I219">
            <v>133250.6</v>
          </cell>
          <cell r="J219">
            <v>141014.94</v>
          </cell>
          <cell r="K219">
            <v>138800.41999999998</v>
          </cell>
          <cell r="L219">
            <v>144467.28999999998</v>
          </cell>
          <cell r="M219">
            <v>139411.4</v>
          </cell>
          <cell r="N219">
            <v>131255.16</v>
          </cell>
          <cell r="O219">
            <v>135440.33000000002</v>
          </cell>
          <cell r="P219">
            <v>141049.91999999998</v>
          </cell>
          <cell r="Q219">
            <v>1716277.2399999998</v>
          </cell>
        </row>
        <row r="220">
          <cell r="A220">
            <v>50025</v>
          </cell>
          <cell r="B220" t="str">
            <v>Wages O.T.</v>
          </cell>
          <cell r="E220">
            <v>22975.54</v>
          </cell>
          <cell r="F220">
            <v>6810.35</v>
          </cell>
          <cell r="G220">
            <v>14008.81</v>
          </cell>
          <cell r="H220">
            <v>20795.96</v>
          </cell>
          <cell r="I220">
            <v>28625.24</v>
          </cell>
          <cell r="J220">
            <v>22652.750000000004</v>
          </cell>
          <cell r="K220">
            <v>20035.850000000002</v>
          </cell>
          <cell r="L220">
            <v>20754.88</v>
          </cell>
          <cell r="M220">
            <v>29699.32</v>
          </cell>
          <cell r="N220">
            <v>20332.329999999998</v>
          </cell>
          <cell r="O220">
            <v>32459.590000000004</v>
          </cell>
          <cell r="P220">
            <v>20007.580000000002</v>
          </cell>
          <cell r="Q220">
            <v>259158.2</v>
          </cell>
        </row>
        <row r="221">
          <cell r="A221">
            <v>50035</v>
          </cell>
          <cell r="B221" t="str">
            <v>Safety Bonuses</v>
          </cell>
          <cell r="E221">
            <v>3200</v>
          </cell>
          <cell r="F221">
            <v>3200</v>
          </cell>
          <cell r="G221">
            <v>3200</v>
          </cell>
          <cell r="H221">
            <v>3200</v>
          </cell>
          <cell r="I221">
            <v>3950</v>
          </cell>
          <cell r="J221">
            <v>3950</v>
          </cell>
          <cell r="K221">
            <v>3950</v>
          </cell>
          <cell r="L221">
            <v>3950</v>
          </cell>
          <cell r="M221">
            <v>2000</v>
          </cell>
          <cell r="N221">
            <v>2000</v>
          </cell>
          <cell r="O221">
            <v>3200</v>
          </cell>
          <cell r="P221">
            <v>0</v>
          </cell>
          <cell r="Q221">
            <v>35800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1125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1125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>
            <v>50050</v>
          </cell>
          <cell r="B224" t="str">
            <v>Payroll Taxes</v>
          </cell>
          <cell r="E224">
            <v>21085.43</v>
          </cell>
          <cell r="F224">
            <v>16517.190000000002</v>
          </cell>
          <cell r="G224">
            <v>17618.89</v>
          </cell>
          <cell r="H224">
            <v>17201.14</v>
          </cell>
          <cell r="I224">
            <v>16035.320000000002</v>
          </cell>
          <cell r="J224">
            <v>17468.87</v>
          </cell>
          <cell r="K224">
            <v>16392.41</v>
          </cell>
          <cell r="L224">
            <v>16351.01</v>
          </cell>
          <cell r="M224">
            <v>17217.28</v>
          </cell>
          <cell r="N224">
            <v>14701.12</v>
          </cell>
          <cell r="O224">
            <v>17942.59</v>
          </cell>
          <cell r="P224">
            <v>10482.15</v>
          </cell>
          <cell r="Q224">
            <v>199013.4</v>
          </cell>
        </row>
        <row r="225">
          <cell r="A225">
            <v>50060</v>
          </cell>
          <cell r="B225" t="str">
            <v>Group Insurance</v>
          </cell>
          <cell r="E225">
            <v>1330</v>
          </cell>
          <cell r="F225">
            <v>1226</v>
          </cell>
          <cell r="G225">
            <v>729.5</v>
          </cell>
          <cell r="H225">
            <v>1026.5</v>
          </cell>
          <cell r="I225">
            <v>878</v>
          </cell>
          <cell r="J225">
            <v>878</v>
          </cell>
          <cell r="K225">
            <v>878.77</v>
          </cell>
          <cell r="L225">
            <v>826</v>
          </cell>
          <cell r="M225">
            <v>1077.5</v>
          </cell>
          <cell r="N225">
            <v>1826.5</v>
          </cell>
          <cell r="O225">
            <v>1678.77</v>
          </cell>
          <cell r="P225">
            <v>1088.4199999999998</v>
          </cell>
          <cell r="Q225">
            <v>13443.960000000001</v>
          </cell>
        </row>
        <row r="226">
          <cell r="A226">
            <v>50065</v>
          </cell>
          <cell r="B226" t="str">
            <v>Vacation Pay</v>
          </cell>
          <cell r="E226">
            <v>13381.59</v>
          </cell>
          <cell r="F226">
            <v>8706.9500000000007</v>
          </cell>
          <cell r="G226">
            <v>9543.1899999999987</v>
          </cell>
          <cell r="H226">
            <v>7013.4</v>
          </cell>
          <cell r="I226">
            <v>14309.95</v>
          </cell>
          <cell r="J226">
            <v>8179.11</v>
          </cell>
          <cell r="K226">
            <v>14227.68</v>
          </cell>
          <cell r="L226">
            <v>7288.4699999999993</v>
          </cell>
          <cell r="M226">
            <v>15009.16</v>
          </cell>
          <cell r="N226">
            <v>10400.879999999999</v>
          </cell>
          <cell r="O226">
            <v>16702.490000000002</v>
          </cell>
          <cell r="P226">
            <v>14167.710000000001</v>
          </cell>
          <cell r="Q226">
            <v>138930.58000000002</v>
          </cell>
        </row>
        <row r="227">
          <cell r="A227">
            <v>50070</v>
          </cell>
          <cell r="B227" t="str">
            <v>Sick Pay</v>
          </cell>
          <cell r="E227">
            <v>510.84</v>
          </cell>
          <cell r="F227">
            <v>-249.9</v>
          </cell>
          <cell r="G227">
            <v>257.39999999999998</v>
          </cell>
          <cell r="H227">
            <v>14.4</v>
          </cell>
          <cell r="I227">
            <v>0</v>
          </cell>
          <cell r="J227">
            <v>722.88</v>
          </cell>
          <cell r="K227">
            <v>80.319999999999993</v>
          </cell>
          <cell r="L227">
            <v>92</v>
          </cell>
          <cell r="M227">
            <v>0</v>
          </cell>
          <cell r="N227">
            <v>200.8</v>
          </cell>
          <cell r="O227">
            <v>156.4</v>
          </cell>
          <cell r="P227">
            <v>27.6</v>
          </cell>
          <cell r="Q227">
            <v>1812.7399999999998</v>
          </cell>
        </row>
        <row r="228">
          <cell r="A228">
            <v>50086</v>
          </cell>
          <cell r="B228" t="str">
            <v>Safety and Training</v>
          </cell>
          <cell r="E228">
            <v>52.5</v>
          </cell>
          <cell r="F228">
            <v>57.5</v>
          </cell>
          <cell r="G228">
            <v>269.42</v>
          </cell>
          <cell r="H228">
            <v>-147.5</v>
          </cell>
          <cell r="I228">
            <v>423.2</v>
          </cell>
          <cell r="J228">
            <v>0</v>
          </cell>
          <cell r="K228">
            <v>0</v>
          </cell>
          <cell r="L228">
            <v>0</v>
          </cell>
          <cell r="M228">
            <v>1724.48</v>
          </cell>
          <cell r="N228">
            <v>1092.78</v>
          </cell>
          <cell r="O228">
            <v>642.78</v>
          </cell>
          <cell r="P228">
            <v>0</v>
          </cell>
          <cell r="Q228">
            <v>4115.16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0</v>
          </cell>
          <cell r="G229">
            <v>0</v>
          </cell>
          <cell r="H229">
            <v>240</v>
          </cell>
          <cell r="I229">
            <v>120</v>
          </cell>
          <cell r="J229">
            <v>240</v>
          </cell>
          <cell r="K229">
            <v>694</v>
          </cell>
          <cell r="L229">
            <v>180</v>
          </cell>
          <cell r="M229">
            <v>420</v>
          </cell>
          <cell r="N229">
            <v>60</v>
          </cell>
          <cell r="O229">
            <v>360</v>
          </cell>
          <cell r="P229">
            <v>60</v>
          </cell>
          <cell r="Q229">
            <v>2434</v>
          </cell>
        </row>
        <row r="230">
          <cell r="A230">
            <v>50090</v>
          </cell>
          <cell r="B230" t="str">
            <v>Uniforms</v>
          </cell>
          <cell r="E230">
            <v>6868.59</v>
          </cell>
          <cell r="F230">
            <v>9292.77</v>
          </cell>
          <cell r="G230">
            <v>8124.38</v>
          </cell>
          <cell r="H230">
            <v>7694.95</v>
          </cell>
          <cell r="I230">
            <v>4128.24</v>
          </cell>
          <cell r="J230">
            <v>12100.73</v>
          </cell>
          <cell r="K230">
            <v>9167.7900000000009</v>
          </cell>
          <cell r="L230">
            <v>12042.49</v>
          </cell>
          <cell r="M230">
            <v>8237.0400000000009</v>
          </cell>
          <cell r="N230">
            <v>8038.55</v>
          </cell>
          <cell r="O230">
            <v>7814.48</v>
          </cell>
          <cell r="P230">
            <v>9358.16</v>
          </cell>
          <cell r="Q230">
            <v>102868.17000000001</v>
          </cell>
        </row>
        <row r="231">
          <cell r="A231">
            <v>50115</v>
          </cell>
          <cell r="B231" t="str">
            <v>Pension and Profit Sharing</v>
          </cell>
          <cell r="E231">
            <v>20881.310000000001</v>
          </cell>
          <cell r="F231">
            <v>19908.310000000001</v>
          </cell>
          <cell r="G231">
            <v>22571.059999999998</v>
          </cell>
          <cell r="H231">
            <v>20908.93</v>
          </cell>
          <cell r="I231">
            <v>20644.87</v>
          </cell>
          <cell r="J231">
            <v>20431.82</v>
          </cell>
          <cell r="K231">
            <v>19793.68</v>
          </cell>
          <cell r="L231">
            <v>25409.94</v>
          </cell>
          <cell r="M231">
            <v>19345.43</v>
          </cell>
          <cell r="N231">
            <v>18963.18</v>
          </cell>
          <cell r="O231">
            <v>19131.61</v>
          </cell>
          <cell r="P231">
            <v>16610.04</v>
          </cell>
          <cell r="Q231">
            <v>244600.17999999996</v>
          </cell>
        </row>
        <row r="232">
          <cell r="A232">
            <v>50116</v>
          </cell>
          <cell r="B232" t="str">
            <v>Union Benefit Expense</v>
          </cell>
          <cell r="E232">
            <v>55955.6</v>
          </cell>
          <cell r="F232">
            <v>54981.08</v>
          </cell>
          <cell r="G232">
            <v>57124.76</v>
          </cell>
          <cell r="H232">
            <v>59521.61</v>
          </cell>
          <cell r="I232">
            <v>55020.61</v>
          </cell>
          <cell r="J232">
            <v>53907.77</v>
          </cell>
          <cell r="K232">
            <v>51487.79</v>
          </cell>
          <cell r="L232">
            <v>50364.490000000005</v>
          </cell>
          <cell r="M232">
            <v>51135.950000000004</v>
          </cell>
          <cell r="N232">
            <v>51271.57</v>
          </cell>
          <cell r="O232">
            <v>52010.640000000007</v>
          </cell>
          <cell r="P232">
            <v>49943.11</v>
          </cell>
          <cell r="Q232">
            <v>642724.98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294808.01999999996</v>
          </cell>
          <cell r="F240">
            <v>268231.77</v>
          </cell>
          <cell r="G240">
            <v>297444.89</v>
          </cell>
          <cell r="H240">
            <v>289895.94999999995</v>
          </cell>
          <cell r="I240">
            <v>277386.03000000003</v>
          </cell>
          <cell r="J240">
            <v>281546.87</v>
          </cell>
          <cell r="K240">
            <v>275508.70999999996</v>
          </cell>
          <cell r="L240">
            <v>281726.57</v>
          </cell>
          <cell r="M240">
            <v>285277.56</v>
          </cell>
          <cell r="N240">
            <v>260142.86999999997</v>
          </cell>
          <cell r="O240">
            <v>287539.68</v>
          </cell>
          <cell r="P240">
            <v>262794.69</v>
          </cell>
          <cell r="Q240">
            <v>3362303.6100000003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2602.56</v>
          </cell>
          <cell r="F247">
            <v>2531.56</v>
          </cell>
          <cell r="G247">
            <v>2595.5500000000002</v>
          </cell>
          <cell r="H247">
            <v>2489.9299999999998</v>
          </cell>
          <cell r="I247">
            <v>2160.58</v>
          </cell>
          <cell r="J247">
            <v>2256.83</v>
          </cell>
          <cell r="K247">
            <v>2128.83</v>
          </cell>
          <cell r="L247">
            <v>2085.83</v>
          </cell>
          <cell r="M247">
            <v>2085.83</v>
          </cell>
          <cell r="N247">
            <v>2190.83</v>
          </cell>
          <cell r="O247">
            <v>2085.83</v>
          </cell>
          <cell r="P247">
            <v>2550.89</v>
          </cell>
          <cell r="Q247">
            <v>27765.050000000003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2602.56</v>
          </cell>
          <cell r="F251">
            <v>2531.56</v>
          </cell>
          <cell r="G251">
            <v>2595.5500000000002</v>
          </cell>
          <cell r="H251">
            <v>2489.9299999999998</v>
          </cell>
          <cell r="I251">
            <v>2160.58</v>
          </cell>
          <cell r="J251">
            <v>2256.83</v>
          </cell>
          <cell r="K251">
            <v>2128.83</v>
          </cell>
          <cell r="L251">
            <v>2085.83</v>
          </cell>
          <cell r="M251">
            <v>2085.83</v>
          </cell>
          <cell r="N251">
            <v>2190.83</v>
          </cell>
          <cell r="O251">
            <v>2085.83</v>
          </cell>
          <cell r="P251">
            <v>2550.89</v>
          </cell>
          <cell r="Q251">
            <v>27765.050000000003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6209.13</v>
          </cell>
          <cell r="F254">
            <v>5913.46</v>
          </cell>
          <cell r="G254">
            <v>6800.48</v>
          </cell>
          <cell r="H254">
            <v>6504.81</v>
          </cell>
          <cell r="I254">
            <v>6209.13</v>
          </cell>
          <cell r="J254">
            <v>6504.8</v>
          </cell>
          <cell r="K254">
            <v>6504.81</v>
          </cell>
          <cell r="L254">
            <v>6504.81</v>
          </cell>
          <cell r="M254">
            <v>6504.8</v>
          </cell>
          <cell r="N254">
            <v>6209.14</v>
          </cell>
          <cell r="O254">
            <v>6504.8</v>
          </cell>
          <cell r="P254">
            <v>6800.48</v>
          </cell>
          <cell r="Q254">
            <v>77170.649999999994</v>
          </cell>
        </row>
        <row r="255">
          <cell r="A255">
            <v>52020</v>
          </cell>
          <cell r="B255" t="str">
            <v>Wages Regular</v>
          </cell>
          <cell r="E255">
            <v>11640.62</v>
          </cell>
          <cell r="F255">
            <v>14929.71</v>
          </cell>
          <cell r="G255">
            <v>14082.73</v>
          </cell>
          <cell r="H255">
            <v>13654.74</v>
          </cell>
          <cell r="I255">
            <v>14918.37</v>
          </cell>
          <cell r="J255">
            <v>14754.95</v>
          </cell>
          <cell r="K255">
            <v>12181.44</v>
          </cell>
          <cell r="L255">
            <v>11315.17</v>
          </cell>
          <cell r="M255">
            <v>11931.83</v>
          </cell>
          <cell r="N255">
            <v>11946.65</v>
          </cell>
          <cell r="O255">
            <v>12371.33</v>
          </cell>
          <cell r="P255">
            <v>15662.7</v>
          </cell>
          <cell r="Q255">
            <v>159390.24</v>
          </cell>
        </row>
        <row r="256">
          <cell r="A256">
            <v>52025</v>
          </cell>
          <cell r="B256" t="str">
            <v>Wages O.T.</v>
          </cell>
          <cell r="E256">
            <v>2614.52</v>
          </cell>
          <cell r="F256">
            <v>2473.63</v>
          </cell>
          <cell r="G256">
            <v>2117.09</v>
          </cell>
          <cell r="H256">
            <v>2164.7199999999998</v>
          </cell>
          <cell r="I256">
            <v>2848.44</v>
          </cell>
          <cell r="J256">
            <v>3075.19</v>
          </cell>
          <cell r="K256">
            <v>3378.52</v>
          </cell>
          <cell r="L256">
            <v>1747.37</v>
          </cell>
          <cell r="M256">
            <v>2402.91</v>
          </cell>
          <cell r="N256">
            <v>2322.34</v>
          </cell>
          <cell r="O256">
            <v>3755.06</v>
          </cell>
          <cell r="P256">
            <v>2288.11</v>
          </cell>
          <cell r="Q256">
            <v>31187.9</v>
          </cell>
        </row>
        <row r="257">
          <cell r="A257">
            <v>52035</v>
          </cell>
          <cell r="B257" t="str">
            <v>Safety Bonuses</v>
          </cell>
          <cell r="E257">
            <v>833</v>
          </cell>
          <cell r="F257">
            <v>833</v>
          </cell>
          <cell r="G257">
            <v>833</v>
          </cell>
          <cell r="H257">
            <v>833</v>
          </cell>
          <cell r="I257">
            <v>1583</v>
          </cell>
          <cell r="J257">
            <v>1583</v>
          </cell>
          <cell r="K257">
            <v>1583</v>
          </cell>
          <cell r="L257">
            <v>1583</v>
          </cell>
          <cell r="M257">
            <v>500</v>
          </cell>
          <cell r="N257">
            <v>500</v>
          </cell>
          <cell r="O257">
            <v>1000</v>
          </cell>
          <cell r="P257">
            <v>0</v>
          </cell>
          <cell r="Q257">
            <v>11664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2869.35</v>
          </cell>
          <cell r="F260">
            <v>2242.16</v>
          </cell>
          <cell r="G260">
            <v>2468.5100000000002</v>
          </cell>
          <cell r="H260">
            <v>2064.63</v>
          </cell>
          <cell r="I260">
            <v>2186.88</v>
          </cell>
          <cell r="J260">
            <v>2344.56</v>
          </cell>
          <cell r="K260">
            <v>1962.2</v>
          </cell>
          <cell r="L260">
            <v>1763.36</v>
          </cell>
          <cell r="M260">
            <v>1881.81</v>
          </cell>
          <cell r="N260">
            <v>1731.74</v>
          </cell>
          <cell r="O260">
            <v>2453.91</v>
          </cell>
          <cell r="P260">
            <v>1757.74</v>
          </cell>
          <cell r="Q260">
            <v>25726.850000000006</v>
          </cell>
        </row>
        <row r="261">
          <cell r="A261">
            <v>52060</v>
          </cell>
          <cell r="B261" t="str">
            <v>Group Insurance</v>
          </cell>
          <cell r="E261">
            <v>1441</v>
          </cell>
          <cell r="F261">
            <v>1441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583.48</v>
          </cell>
          <cell r="Q261">
            <v>9234.48</v>
          </cell>
        </row>
        <row r="262">
          <cell r="A262">
            <v>52065</v>
          </cell>
          <cell r="B262" t="str">
            <v>Vacation Pay</v>
          </cell>
          <cell r="E262">
            <v>1511.38</v>
          </cell>
          <cell r="F262">
            <v>-838.54</v>
          </cell>
          <cell r="G262">
            <v>2800.68</v>
          </cell>
          <cell r="H262">
            <v>381.27</v>
          </cell>
          <cell r="I262">
            <v>800.29</v>
          </cell>
          <cell r="J262">
            <v>1912.65</v>
          </cell>
          <cell r="K262">
            <v>745.69</v>
          </cell>
          <cell r="L262">
            <v>1755.74</v>
          </cell>
          <cell r="M262">
            <v>996.88</v>
          </cell>
          <cell r="N262">
            <v>1492.04</v>
          </cell>
          <cell r="O262">
            <v>2476.17</v>
          </cell>
          <cell r="P262">
            <v>1846.32</v>
          </cell>
          <cell r="Q262">
            <v>15880.569999999998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</row>
        <row r="264">
          <cell r="A264">
            <v>52086</v>
          </cell>
          <cell r="B264" t="str">
            <v>Safety and Training</v>
          </cell>
          <cell r="E264">
            <v>104.55</v>
          </cell>
          <cell r="F264">
            <v>112.64</v>
          </cell>
          <cell r="G264">
            <v>154.71</v>
          </cell>
          <cell r="H264">
            <v>299.60000000000002</v>
          </cell>
          <cell r="I264">
            <v>846.98</v>
          </cell>
          <cell r="J264">
            <v>185.38</v>
          </cell>
          <cell r="K264">
            <v>78.989999999999995</v>
          </cell>
          <cell r="L264">
            <v>145.65</v>
          </cell>
          <cell r="M264">
            <v>0</v>
          </cell>
          <cell r="N264">
            <v>876.33</v>
          </cell>
          <cell r="O264">
            <v>-395.59</v>
          </cell>
          <cell r="P264">
            <v>1720.49</v>
          </cell>
          <cell r="Q264">
            <v>4129.7300000000005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1040.42</v>
          </cell>
          <cell r="F266">
            <v>1033.9000000000001</v>
          </cell>
          <cell r="G266">
            <v>1397.48</v>
          </cell>
          <cell r="H266">
            <v>1377.31</v>
          </cell>
          <cell r="I266">
            <v>475.1</v>
          </cell>
          <cell r="J266">
            <v>1617.7</v>
          </cell>
          <cell r="K266">
            <v>910.5</v>
          </cell>
          <cell r="L266">
            <v>1633.6</v>
          </cell>
          <cell r="M266">
            <v>1021.73</v>
          </cell>
          <cell r="N266">
            <v>756.54</v>
          </cell>
          <cell r="O266">
            <v>828.81</v>
          </cell>
          <cell r="P266">
            <v>987.61</v>
          </cell>
          <cell r="Q266">
            <v>13080.699999999999</v>
          </cell>
        </row>
        <row r="267">
          <cell r="A267">
            <v>52115</v>
          </cell>
          <cell r="B267" t="str">
            <v>Pension and Profit Sharing</v>
          </cell>
          <cell r="E267">
            <v>2995.29</v>
          </cell>
          <cell r="F267">
            <v>2862.61</v>
          </cell>
          <cell r="G267">
            <v>3299.63</v>
          </cell>
          <cell r="H267">
            <v>2999.06</v>
          </cell>
          <cell r="I267">
            <v>2963.05</v>
          </cell>
          <cell r="J267">
            <v>2934</v>
          </cell>
          <cell r="K267">
            <v>2846.98</v>
          </cell>
          <cell r="L267">
            <v>2774.57</v>
          </cell>
          <cell r="M267">
            <v>2785.85</v>
          </cell>
          <cell r="N267">
            <v>2807.65</v>
          </cell>
          <cell r="O267">
            <v>2756.7</v>
          </cell>
          <cell r="P267">
            <v>2412.85</v>
          </cell>
          <cell r="Q267">
            <v>34438.239999999998</v>
          </cell>
        </row>
        <row r="268">
          <cell r="A268">
            <v>52116</v>
          </cell>
          <cell r="B268" t="str">
            <v>Union Benefit Expense</v>
          </cell>
          <cell r="E268">
            <v>7876.76</v>
          </cell>
          <cell r="F268">
            <v>7880.62</v>
          </cell>
          <cell r="G268">
            <v>7872.8</v>
          </cell>
          <cell r="H268">
            <v>7884.58</v>
          </cell>
          <cell r="I268">
            <v>7878.69</v>
          </cell>
          <cell r="J268">
            <v>7878.69</v>
          </cell>
          <cell r="K268">
            <v>7881.97</v>
          </cell>
          <cell r="L268">
            <v>6752.1</v>
          </cell>
          <cell r="M268">
            <v>6747.85</v>
          </cell>
          <cell r="N268">
            <v>6756.35</v>
          </cell>
          <cell r="O268">
            <v>7182.94</v>
          </cell>
          <cell r="P268">
            <v>7779.69</v>
          </cell>
          <cell r="Q268">
            <v>90373.040000000023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13715.59</v>
          </cell>
          <cell r="F270">
            <v>21102.71</v>
          </cell>
          <cell r="G270">
            <v>18678.920000000006</v>
          </cell>
          <cell r="H270">
            <v>30064.99</v>
          </cell>
          <cell r="I270">
            <v>11133.51</v>
          </cell>
          <cell r="J270">
            <v>9706.94</v>
          </cell>
          <cell r="K270">
            <v>12873.069999999998</v>
          </cell>
          <cell r="L270">
            <v>12811.720000000001</v>
          </cell>
          <cell r="M270">
            <v>13514.23</v>
          </cell>
          <cell r="N270">
            <v>8953.7200000000012</v>
          </cell>
          <cell r="O270">
            <v>16547.27</v>
          </cell>
          <cell r="P270">
            <v>15817.25</v>
          </cell>
          <cell r="Q270">
            <v>184919.91999999998</v>
          </cell>
        </row>
        <row r="271">
          <cell r="A271">
            <v>52125</v>
          </cell>
          <cell r="B271" t="str">
            <v>Operating Supplies</v>
          </cell>
          <cell r="E271">
            <v>568.15</v>
          </cell>
          <cell r="F271">
            <v>288.02999999999997</v>
          </cell>
          <cell r="G271">
            <v>385.62</v>
          </cell>
          <cell r="H271">
            <v>179.18</v>
          </cell>
          <cell r="I271">
            <v>339.98</v>
          </cell>
          <cell r="J271">
            <v>264.08</v>
          </cell>
          <cell r="K271">
            <v>131.13</v>
          </cell>
          <cell r="L271">
            <v>13.55</v>
          </cell>
          <cell r="M271">
            <v>9.8699999999999992</v>
          </cell>
          <cell r="N271">
            <v>372.92</v>
          </cell>
          <cell r="O271">
            <v>819.61</v>
          </cell>
          <cell r="P271">
            <v>414.71</v>
          </cell>
          <cell r="Q271">
            <v>3786.8300000000004</v>
          </cell>
        </row>
        <row r="272">
          <cell r="A272">
            <v>52135</v>
          </cell>
          <cell r="B272" t="str">
            <v>Equipment and Maint Repair</v>
          </cell>
          <cell r="E272">
            <v>0</v>
          </cell>
          <cell r="F272">
            <v>0</v>
          </cell>
          <cell r="G272">
            <v>149.16</v>
          </cell>
          <cell r="H272">
            <v>681.98</v>
          </cell>
          <cell r="I272">
            <v>545.25</v>
          </cell>
          <cell r="J272">
            <v>332.59</v>
          </cell>
          <cell r="K272">
            <v>984.37</v>
          </cell>
          <cell r="L272">
            <v>173.37</v>
          </cell>
          <cell r="M272">
            <v>0</v>
          </cell>
          <cell r="N272">
            <v>156.19999999999999</v>
          </cell>
          <cell r="O272">
            <v>-156.19999999999999</v>
          </cell>
          <cell r="P272">
            <v>27.01</v>
          </cell>
          <cell r="Q272">
            <v>2893.73</v>
          </cell>
        </row>
        <row r="273">
          <cell r="A273">
            <v>52140</v>
          </cell>
          <cell r="B273" t="str">
            <v>Tires</v>
          </cell>
          <cell r="E273">
            <v>11282.69</v>
          </cell>
          <cell r="F273">
            <v>1664.63</v>
          </cell>
          <cell r="G273">
            <v>5175.3999999999996</v>
          </cell>
          <cell r="H273">
            <v>8753.43</v>
          </cell>
          <cell r="I273">
            <v>9084.64</v>
          </cell>
          <cell r="J273">
            <v>1370.04</v>
          </cell>
          <cell r="K273">
            <v>8864.5</v>
          </cell>
          <cell r="L273">
            <v>438.2</v>
          </cell>
          <cell r="M273">
            <v>5010.1400000000003</v>
          </cell>
          <cell r="N273">
            <v>1896.06</v>
          </cell>
          <cell r="O273">
            <v>7161.25</v>
          </cell>
          <cell r="P273">
            <v>3395.56</v>
          </cell>
          <cell r="Q273">
            <v>64096.539999999994</v>
          </cell>
        </row>
        <row r="274">
          <cell r="A274">
            <v>52142</v>
          </cell>
          <cell r="B274" t="str">
            <v>Fuel Expense</v>
          </cell>
          <cell r="E274">
            <v>54158.289999999994</v>
          </cell>
          <cell r="F274">
            <v>50956.94</v>
          </cell>
          <cell r="G274">
            <v>60111.49</v>
          </cell>
          <cell r="H274">
            <v>62505</v>
          </cell>
          <cell r="I274">
            <v>58155.18</v>
          </cell>
          <cell r="J274">
            <v>61304.36</v>
          </cell>
          <cell r="K274">
            <v>60908.59</v>
          </cell>
          <cell r="L274">
            <v>64096.240000000005</v>
          </cell>
          <cell r="M274">
            <v>63144.08</v>
          </cell>
          <cell r="N274">
            <v>63868.340000000004</v>
          </cell>
          <cell r="O274">
            <v>56605.93</v>
          </cell>
          <cell r="P274">
            <v>67191.64</v>
          </cell>
          <cell r="Q274">
            <v>723006.08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3179.71</v>
          </cell>
          <cell r="F277">
            <v>7401.66</v>
          </cell>
          <cell r="G277">
            <v>5696.15</v>
          </cell>
          <cell r="H277">
            <v>6990.25</v>
          </cell>
          <cell r="I277">
            <v>4918.58</v>
          </cell>
          <cell r="J277">
            <v>3341.27</v>
          </cell>
          <cell r="K277">
            <v>1599.94</v>
          </cell>
          <cell r="L277">
            <v>9095.31</v>
          </cell>
          <cell r="M277">
            <v>5629.35</v>
          </cell>
          <cell r="N277">
            <v>4937.97</v>
          </cell>
          <cell r="O277">
            <v>5285.37</v>
          </cell>
          <cell r="P277">
            <v>5402.36</v>
          </cell>
          <cell r="Q277">
            <v>63477.919999999998</v>
          </cell>
        </row>
        <row r="278">
          <cell r="A278">
            <v>52147</v>
          </cell>
          <cell r="B278" t="str">
            <v>Outside Repairs</v>
          </cell>
          <cell r="E278">
            <v>2520.1099999999997</v>
          </cell>
          <cell r="F278">
            <v>148.44</v>
          </cell>
          <cell r="G278">
            <v>4753.75</v>
          </cell>
          <cell r="H278">
            <v>2049.4</v>
          </cell>
          <cell r="I278">
            <v>568.04999999999995</v>
          </cell>
          <cell r="J278">
            <v>4319.34</v>
          </cell>
          <cell r="K278">
            <v>3088.65</v>
          </cell>
          <cell r="L278">
            <v>4131.92</v>
          </cell>
          <cell r="M278">
            <v>939.12</v>
          </cell>
          <cell r="N278">
            <v>4227.5600000000004</v>
          </cell>
          <cell r="O278">
            <v>38.909999999999997</v>
          </cell>
          <cell r="P278">
            <v>448.88</v>
          </cell>
          <cell r="Q278">
            <v>27234.129999999997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1060.3800000000001</v>
          </cell>
          <cell r="F281">
            <v>764.22</v>
          </cell>
          <cell r="G281">
            <v>713.08</v>
          </cell>
          <cell r="H281">
            <v>617.6</v>
          </cell>
          <cell r="I281">
            <v>412.22</v>
          </cell>
          <cell r="J281">
            <v>355.41</v>
          </cell>
          <cell r="K281">
            <v>1187.46</v>
          </cell>
          <cell r="L281">
            <v>314.74</v>
          </cell>
          <cell r="M281">
            <v>291.92</v>
          </cell>
          <cell r="N281">
            <v>296.52999999999997</v>
          </cell>
          <cell r="O281">
            <v>545.01</v>
          </cell>
          <cell r="P281">
            <v>997.3</v>
          </cell>
          <cell r="Q281">
            <v>7555.87</v>
          </cell>
        </row>
        <row r="282">
          <cell r="A282">
            <v>52165</v>
          </cell>
          <cell r="B282" t="str">
            <v>Communications</v>
          </cell>
          <cell r="E282">
            <v>497.52</v>
          </cell>
          <cell r="F282">
            <v>509.58</v>
          </cell>
          <cell r="G282">
            <v>521.71</v>
          </cell>
          <cell r="H282">
            <v>497.47</v>
          </cell>
          <cell r="I282">
            <v>622.69000000000005</v>
          </cell>
          <cell r="J282">
            <v>534.09</v>
          </cell>
          <cell r="K282">
            <v>-388.32</v>
          </cell>
          <cell r="L282">
            <v>662.93</v>
          </cell>
          <cell r="M282">
            <v>678.76</v>
          </cell>
          <cell r="N282">
            <v>509.78</v>
          </cell>
          <cell r="O282">
            <v>678.67</v>
          </cell>
          <cell r="P282">
            <v>546.71</v>
          </cell>
          <cell r="Q282">
            <v>5871.59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</row>
        <row r="287">
          <cell r="A287">
            <v>52182</v>
          </cell>
          <cell r="B287" t="str">
            <v>Towing Expense</v>
          </cell>
          <cell r="E287">
            <v>243.9</v>
          </cell>
          <cell r="F287">
            <v>678.32</v>
          </cell>
          <cell r="G287">
            <v>518.41999999999996</v>
          </cell>
          <cell r="H287">
            <v>0</v>
          </cell>
          <cell r="I287">
            <v>0</v>
          </cell>
          <cell r="J287">
            <v>271</v>
          </cell>
          <cell r="K287">
            <v>0</v>
          </cell>
          <cell r="L287">
            <v>211.38</v>
          </cell>
          <cell r="M287">
            <v>563.67999999999995</v>
          </cell>
          <cell r="N287">
            <v>0</v>
          </cell>
          <cell r="O287">
            <v>0</v>
          </cell>
          <cell r="P287">
            <v>243.9</v>
          </cell>
          <cell r="Q287">
            <v>2730.6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397.98</v>
          </cell>
          <cell r="O288">
            <v>-397.98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100.76</v>
          </cell>
          <cell r="F289">
            <v>168.31</v>
          </cell>
          <cell r="G289">
            <v>81.760000000000005</v>
          </cell>
          <cell r="H289">
            <v>538.53</v>
          </cell>
          <cell r="I289">
            <v>50.95</v>
          </cell>
          <cell r="J289">
            <v>51.81</v>
          </cell>
          <cell r="K289">
            <v>0</v>
          </cell>
          <cell r="L289">
            <v>226.01</v>
          </cell>
          <cell r="M289">
            <v>51.5</v>
          </cell>
          <cell r="N289">
            <v>0</v>
          </cell>
          <cell r="O289">
            <v>556.91</v>
          </cell>
          <cell r="P289">
            <v>324.24</v>
          </cell>
          <cell r="Q289">
            <v>2150.7799999999997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9</v>
          </cell>
          <cell r="F291">
            <v>0</v>
          </cell>
          <cell r="G291">
            <v>4.5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13.5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</row>
        <row r="296">
          <cell r="A296" t="str">
            <v>Total Truck Variable</v>
          </cell>
          <cell r="E296">
            <v>126472.12</v>
          </cell>
          <cell r="F296">
            <v>122567.03000000001</v>
          </cell>
          <cell r="G296">
            <v>139178.57</v>
          </cell>
          <cell r="H296">
            <v>151762.04999999999</v>
          </cell>
          <cell r="I296">
            <v>127181.98000000001</v>
          </cell>
          <cell r="J296">
            <v>125282.85</v>
          </cell>
          <cell r="K296">
            <v>127964.48999999999</v>
          </cell>
          <cell r="L296">
            <v>128791.74</v>
          </cell>
          <cell r="M296">
            <v>125167.81</v>
          </cell>
          <cell r="N296">
            <v>121736.34</v>
          </cell>
          <cell r="O296">
            <v>127259.88000000002</v>
          </cell>
          <cell r="P296">
            <v>136649.02999999997</v>
          </cell>
          <cell r="Q296">
            <v>1560013.8900000001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10121.69</v>
          </cell>
          <cell r="F307">
            <v>8242.4699999999993</v>
          </cell>
          <cell r="G307">
            <v>12061.67</v>
          </cell>
          <cell r="H307">
            <v>10915.7</v>
          </cell>
          <cell r="I307">
            <v>8008.44</v>
          </cell>
          <cell r="J307">
            <v>8531.7900000000009</v>
          </cell>
          <cell r="K307">
            <v>9525.08</v>
          </cell>
          <cell r="L307">
            <v>11641.49</v>
          </cell>
          <cell r="M307">
            <v>9358.9</v>
          </cell>
          <cell r="N307">
            <v>9463.3700000000008</v>
          </cell>
          <cell r="O307">
            <v>10355.24</v>
          </cell>
          <cell r="P307">
            <v>9802.01</v>
          </cell>
          <cell r="Q307">
            <v>118027.84999999999</v>
          </cell>
        </row>
        <row r="308">
          <cell r="A308">
            <v>55025</v>
          </cell>
          <cell r="B308" t="str">
            <v>Wages O.T.</v>
          </cell>
          <cell r="E308">
            <v>636.62</v>
          </cell>
          <cell r="F308">
            <v>425.9</v>
          </cell>
          <cell r="G308">
            <v>278.45999999999998</v>
          </cell>
          <cell r="H308">
            <v>1269.6099999999999</v>
          </cell>
          <cell r="I308">
            <v>580.07000000000005</v>
          </cell>
          <cell r="J308">
            <v>803.54</v>
          </cell>
          <cell r="K308">
            <v>467.98</v>
          </cell>
          <cell r="L308">
            <v>832.02</v>
          </cell>
          <cell r="M308">
            <v>17.989999999999998</v>
          </cell>
          <cell r="N308">
            <v>412.16</v>
          </cell>
          <cell r="O308">
            <v>650.38</v>
          </cell>
          <cell r="P308">
            <v>65.599999999999994</v>
          </cell>
          <cell r="Q308">
            <v>6440.3300000000008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1302.32</v>
          </cell>
          <cell r="F312">
            <v>934.4</v>
          </cell>
          <cell r="G312">
            <v>1150.47</v>
          </cell>
          <cell r="H312">
            <v>1167.9000000000001</v>
          </cell>
          <cell r="I312">
            <v>860.19</v>
          </cell>
          <cell r="J312">
            <v>884.97</v>
          </cell>
          <cell r="K312">
            <v>1058.24</v>
          </cell>
          <cell r="L312">
            <v>1180.19</v>
          </cell>
          <cell r="M312">
            <v>1055.3399999999999</v>
          </cell>
          <cell r="N312">
            <v>1038.93</v>
          </cell>
          <cell r="O312">
            <v>1185.43</v>
          </cell>
          <cell r="P312">
            <v>525.12</v>
          </cell>
          <cell r="Q312">
            <v>12343.500000000002</v>
          </cell>
        </row>
        <row r="313">
          <cell r="A313">
            <v>55060</v>
          </cell>
          <cell r="B313" t="str">
            <v>Group Insurance</v>
          </cell>
          <cell r="E313">
            <v>2215</v>
          </cell>
          <cell r="F313">
            <v>2215</v>
          </cell>
          <cell r="G313">
            <v>1935</v>
          </cell>
          <cell r="H313">
            <v>2495</v>
          </cell>
          <cell r="I313">
            <v>2215</v>
          </cell>
          <cell r="J313">
            <v>1919</v>
          </cell>
          <cell r="K313">
            <v>1919</v>
          </cell>
          <cell r="L313">
            <v>1919</v>
          </cell>
          <cell r="M313">
            <v>1691</v>
          </cell>
          <cell r="N313">
            <v>2147</v>
          </cell>
          <cell r="O313">
            <v>1711</v>
          </cell>
          <cell r="P313">
            <v>2215</v>
          </cell>
          <cell r="Q313">
            <v>24596</v>
          </cell>
        </row>
        <row r="314">
          <cell r="A314">
            <v>55065</v>
          </cell>
          <cell r="B314" t="str">
            <v>Vacation Pay</v>
          </cell>
          <cell r="E314">
            <v>303.81</v>
          </cell>
          <cell r="F314">
            <v>1016.29</v>
          </cell>
          <cell r="G314">
            <v>-198.06</v>
          </cell>
          <cell r="H314">
            <v>1145.3599999999999</v>
          </cell>
          <cell r="I314">
            <v>1042.8699999999999</v>
          </cell>
          <cell r="J314">
            <v>-719.54</v>
          </cell>
          <cell r="K314">
            <v>1222.3399999999999</v>
          </cell>
          <cell r="L314">
            <v>925.15</v>
          </cell>
          <cell r="M314">
            <v>1907.53</v>
          </cell>
          <cell r="N314">
            <v>789.75</v>
          </cell>
          <cell r="O314">
            <v>394.38</v>
          </cell>
          <cell r="P314">
            <v>930.27</v>
          </cell>
          <cell r="Q314">
            <v>8760.15</v>
          </cell>
        </row>
        <row r="315">
          <cell r="A315">
            <v>55070</v>
          </cell>
          <cell r="B315" t="str">
            <v>Sick Pay</v>
          </cell>
          <cell r="E315">
            <v>255.74</v>
          </cell>
          <cell r="F315">
            <v>163.92</v>
          </cell>
          <cell r="G315">
            <v>253.25</v>
          </cell>
          <cell r="H315">
            <v>-42.31</v>
          </cell>
          <cell r="I315">
            <v>0</v>
          </cell>
          <cell r="J315">
            <v>317.39999999999998</v>
          </cell>
          <cell r="K315">
            <v>165.6</v>
          </cell>
          <cell r="L315">
            <v>-138</v>
          </cell>
          <cell r="M315">
            <v>138</v>
          </cell>
          <cell r="N315">
            <v>216.36</v>
          </cell>
          <cell r="O315">
            <v>0</v>
          </cell>
          <cell r="P315">
            <v>317.60000000000002</v>
          </cell>
          <cell r="Q315">
            <v>1647.56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34.299999999999997</v>
          </cell>
          <cell r="I316">
            <v>29.01</v>
          </cell>
          <cell r="J316">
            <v>0</v>
          </cell>
          <cell r="K316">
            <v>0</v>
          </cell>
          <cell r="L316">
            <v>1292.83</v>
          </cell>
          <cell r="M316">
            <v>425.23</v>
          </cell>
          <cell r="N316">
            <v>50</v>
          </cell>
          <cell r="O316">
            <v>0</v>
          </cell>
          <cell r="P316">
            <v>0</v>
          </cell>
          <cell r="Q316">
            <v>1831.37</v>
          </cell>
        </row>
        <row r="317">
          <cell r="A317">
            <v>55090</v>
          </cell>
          <cell r="B317" t="str">
            <v>Uniforms</v>
          </cell>
          <cell r="E317">
            <v>711.08</v>
          </cell>
          <cell r="F317">
            <v>516.91999999999996</v>
          </cell>
          <cell r="G317">
            <v>548.66</v>
          </cell>
          <cell r="H317">
            <v>420.37</v>
          </cell>
          <cell r="I317">
            <v>237.53</v>
          </cell>
          <cell r="J317">
            <v>620.41999999999996</v>
          </cell>
          <cell r="K317">
            <v>488.2</v>
          </cell>
          <cell r="L317">
            <v>1071.5999999999999</v>
          </cell>
          <cell r="M317">
            <v>360.8</v>
          </cell>
          <cell r="N317">
            <v>378.21</v>
          </cell>
          <cell r="O317">
            <v>414.33</v>
          </cell>
          <cell r="P317">
            <v>378.31</v>
          </cell>
          <cell r="Q317">
            <v>6146.43</v>
          </cell>
        </row>
        <row r="318">
          <cell r="A318">
            <v>55115</v>
          </cell>
          <cell r="B318" t="str">
            <v>Pension and Profit Sharing</v>
          </cell>
          <cell r="E318">
            <v>75.61</v>
          </cell>
          <cell r="F318">
            <v>80.2</v>
          </cell>
          <cell r="G318">
            <v>115.17</v>
          </cell>
          <cell r="H318">
            <v>81.77</v>
          </cell>
          <cell r="I318">
            <v>90.46</v>
          </cell>
          <cell r="J318">
            <v>86.97</v>
          </cell>
          <cell r="K318">
            <v>86.46</v>
          </cell>
          <cell r="L318">
            <v>85.09</v>
          </cell>
          <cell r="M318">
            <v>75.69</v>
          </cell>
          <cell r="N318">
            <v>120.4</v>
          </cell>
          <cell r="O318">
            <v>78.64</v>
          </cell>
          <cell r="P318">
            <v>73.08</v>
          </cell>
          <cell r="Q318">
            <v>1049.54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6822.4</v>
          </cell>
          <cell r="F321">
            <v>7408.98</v>
          </cell>
          <cell r="G321">
            <v>6676.59</v>
          </cell>
          <cell r="H321">
            <v>10883.54</v>
          </cell>
          <cell r="I321">
            <v>6756.74</v>
          </cell>
          <cell r="J321">
            <v>6992.66</v>
          </cell>
          <cell r="K321">
            <v>7598.15</v>
          </cell>
          <cell r="L321">
            <v>6124.07</v>
          </cell>
          <cell r="M321">
            <v>6075.32</v>
          </cell>
          <cell r="N321">
            <v>1985.95</v>
          </cell>
          <cell r="O321">
            <v>4110.71</v>
          </cell>
          <cell r="P321">
            <v>5007.25</v>
          </cell>
          <cell r="Q321">
            <v>76442.360000000015</v>
          </cell>
        </row>
        <row r="322">
          <cell r="A322">
            <v>55125</v>
          </cell>
          <cell r="B322" t="str">
            <v>Operating Supplies</v>
          </cell>
          <cell r="E322">
            <v>208.43</v>
          </cell>
          <cell r="F322">
            <v>96</v>
          </cell>
          <cell r="G322">
            <v>0</v>
          </cell>
          <cell r="H322">
            <v>269.91000000000003</v>
          </cell>
          <cell r="I322">
            <v>134.9</v>
          </cell>
          <cell r="J322">
            <v>0</v>
          </cell>
          <cell r="K322">
            <v>0</v>
          </cell>
          <cell r="L322">
            <v>242.16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951.4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107.12</v>
          </cell>
          <cell r="G323">
            <v>103.06</v>
          </cell>
          <cell r="H323">
            <v>127.6</v>
          </cell>
          <cell r="I323">
            <v>177.2</v>
          </cell>
          <cell r="J323">
            <v>0</v>
          </cell>
          <cell r="K323">
            <v>402.9</v>
          </cell>
          <cell r="L323">
            <v>0</v>
          </cell>
          <cell r="M323">
            <v>1045.6400000000001</v>
          </cell>
          <cell r="N323">
            <v>613.79999999999995</v>
          </cell>
          <cell r="O323">
            <v>0.01</v>
          </cell>
          <cell r="P323">
            <v>0</v>
          </cell>
          <cell r="Q323">
            <v>2577.33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145.91</v>
          </cell>
          <cell r="F331">
            <v>170</v>
          </cell>
          <cell r="G331">
            <v>160.13999999999999</v>
          </cell>
          <cell r="H331">
            <v>153.57</v>
          </cell>
          <cell r="I331">
            <v>132.77000000000001</v>
          </cell>
          <cell r="J331">
            <v>124.01</v>
          </cell>
          <cell r="K331">
            <v>109.77</v>
          </cell>
          <cell r="L331">
            <v>522.32000000000005</v>
          </cell>
          <cell r="M331">
            <v>123.5</v>
          </cell>
          <cell r="N331">
            <v>114.69</v>
          </cell>
          <cell r="O331">
            <v>122.68</v>
          </cell>
          <cell r="P331">
            <v>122.68</v>
          </cell>
          <cell r="Q331">
            <v>2002.04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</row>
        <row r="337">
          <cell r="A337" t="str">
            <v>Total Container</v>
          </cell>
          <cell r="E337">
            <v>22798.61</v>
          </cell>
          <cell r="F337">
            <v>21377.199999999997</v>
          </cell>
          <cell r="G337">
            <v>23084.41</v>
          </cell>
          <cell r="H337">
            <v>28922.319999999996</v>
          </cell>
          <cell r="I337">
            <v>20265.18</v>
          </cell>
          <cell r="J337">
            <v>19561.219999999998</v>
          </cell>
          <cell r="K337">
            <v>23043.72</v>
          </cell>
          <cell r="L337">
            <v>25697.919999999998</v>
          </cell>
          <cell r="M337">
            <v>22274.94</v>
          </cell>
          <cell r="N337">
            <v>17330.62</v>
          </cell>
          <cell r="O337">
            <v>19022.799999999996</v>
          </cell>
          <cell r="P337">
            <v>19436.920000000002</v>
          </cell>
          <cell r="Q337">
            <v>262815.86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21484.6</v>
          </cell>
          <cell r="F340">
            <v>20461.52</v>
          </cell>
          <cell r="G340">
            <v>23530.74</v>
          </cell>
          <cell r="H340">
            <v>22507.68</v>
          </cell>
          <cell r="I340">
            <v>21484.6</v>
          </cell>
          <cell r="J340">
            <v>22507.66</v>
          </cell>
          <cell r="K340">
            <v>22636.52</v>
          </cell>
          <cell r="L340">
            <v>22649.4</v>
          </cell>
          <cell r="M340">
            <v>22649.39</v>
          </cell>
          <cell r="N340">
            <v>21768.59</v>
          </cell>
          <cell r="O340">
            <v>22733.7</v>
          </cell>
          <cell r="P340">
            <v>23898.34</v>
          </cell>
          <cell r="Q340">
            <v>268312.74</v>
          </cell>
        </row>
        <row r="341">
          <cell r="A341">
            <v>56020</v>
          </cell>
          <cell r="B341" t="str">
            <v>Wages Regular</v>
          </cell>
          <cell r="E341">
            <v>4948.7299999999996</v>
          </cell>
          <cell r="F341">
            <v>4243.8599999999997</v>
          </cell>
          <cell r="G341">
            <v>5249.43</v>
          </cell>
          <cell r="H341">
            <v>5618.66</v>
          </cell>
          <cell r="I341">
            <v>4920.93</v>
          </cell>
          <cell r="J341">
            <v>5799.39</v>
          </cell>
          <cell r="K341">
            <v>5404.71</v>
          </cell>
          <cell r="L341">
            <v>5365.56</v>
          </cell>
          <cell r="M341">
            <v>4903.59</v>
          </cell>
          <cell r="N341">
            <v>5263.01</v>
          </cell>
          <cell r="O341">
            <v>5800.6</v>
          </cell>
          <cell r="P341">
            <v>5428.54</v>
          </cell>
          <cell r="Q341">
            <v>62947.01</v>
          </cell>
        </row>
        <row r="342">
          <cell r="A342">
            <v>56025</v>
          </cell>
          <cell r="B342" t="str">
            <v>Wages O.T.</v>
          </cell>
          <cell r="E342">
            <v>515.38</v>
          </cell>
          <cell r="F342">
            <v>23.34</v>
          </cell>
          <cell r="G342">
            <v>199.47</v>
          </cell>
          <cell r="H342">
            <v>439.74</v>
          </cell>
          <cell r="I342">
            <v>937.69</v>
          </cell>
          <cell r="J342">
            <v>676.04</v>
          </cell>
          <cell r="K342">
            <v>89.23</v>
          </cell>
          <cell r="L342">
            <v>691.05</v>
          </cell>
          <cell r="M342">
            <v>707.32</v>
          </cell>
          <cell r="N342">
            <v>322.20999999999998</v>
          </cell>
          <cell r="O342">
            <v>737.63</v>
          </cell>
          <cell r="P342">
            <v>791.29</v>
          </cell>
          <cell r="Q342">
            <v>6130.3899999999994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</row>
        <row r="347">
          <cell r="A347">
            <v>56050</v>
          </cell>
          <cell r="B347" t="str">
            <v>Payroll Taxes</v>
          </cell>
          <cell r="E347">
            <v>3178.64</v>
          </cell>
          <cell r="F347">
            <v>2251.66</v>
          </cell>
          <cell r="G347">
            <v>2524.9499999999998</v>
          </cell>
          <cell r="H347">
            <v>2497.5100000000002</v>
          </cell>
          <cell r="I347">
            <v>2309.15</v>
          </cell>
          <cell r="J347">
            <v>2588.5</v>
          </cell>
          <cell r="K347">
            <v>2219.94</v>
          </cell>
          <cell r="L347">
            <v>1586.57</v>
          </cell>
          <cell r="M347">
            <v>1804.92</v>
          </cell>
          <cell r="N347">
            <v>1787.26</v>
          </cell>
          <cell r="O347">
            <v>1971.2</v>
          </cell>
          <cell r="P347">
            <v>1725.76</v>
          </cell>
          <cell r="Q347">
            <v>26446.059999999994</v>
          </cell>
        </row>
        <row r="348">
          <cell r="A348">
            <v>56060</v>
          </cell>
          <cell r="B348" t="str">
            <v>Group Insurance</v>
          </cell>
          <cell r="E348">
            <v>2508.5</v>
          </cell>
          <cell r="F348">
            <v>2315.5</v>
          </cell>
          <cell r="G348">
            <v>2043</v>
          </cell>
          <cell r="H348">
            <v>2781</v>
          </cell>
          <cell r="I348">
            <v>2412</v>
          </cell>
          <cell r="J348">
            <v>1237</v>
          </cell>
          <cell r="K348">
            <v>1237</v>
          </cell>
          <cell r="L348">
            <v>1237</v>
          </cell>
          <cell r="M348">
            <v>868</v>
          </cell>
          <cell r="N348">
            <v>1606</v>
          </cell>
          <cell r="O348">
            <v>1237</v>
          </cell>
          <cell r="P348">
            <v>1237</v>
          </cell>
          <cell r="Q348">
            <v>20719</v>
          </cell>
        </row>
        <row r="349">
          <cell r="A349">
            <v>56065</v>
          </cell>
          <cell r="B349" t="str">
            <v>Vacation Pay</v>
          </cell>
          <cell r="E349">
            <v>2015.83</v>
          </cell>
          <cell r="F349">
            <v>1112.7</v>
          </cell>
          <cell r="G349">
            <v>1240.4000000000001</v>
          </cell>
          <cell r="H349">
            <v>1221.3699999999999</v>
          </cell>
          <cell r="I349">
            <v>1789.21</v>
          </cell>
          <cell r="J349">
            <v>2096.9899999999998</v>
          </cell>
          <cell r="K349">
            <v>-3773.2</v>
          </cell>
          <cell r="L349">
            <v>-940.29</v>
          </cell>
          <cell r="M349">
            <v>2549.7399999999998</v>
          </cell>
          <cell r="N349">
            <v>360.95</v>
          </cell>
          <cell r="O349">
            <v>2162.4499999999998</v>
          </cell>
          <cell r="P349">
            <v>2200.5700000000002</v>
          </cell>
          <cell r="Q349">
            <v>12036.72</v>
          </cell>
        </row>
        <row r="350">
          <cell r="A350">
            <v>56070</v>
          </cell>
          <cell r="B350" t="str">
            <v>Sick Pay</v>
          </cell>
          <cell r="E350">
            <v>-88.92</v>
          </cell>
          <cell r="F350">
            <v>208.16</v>
          </cell>
          <cell r="G350">
            <v>-102.08</v>
          </cell>
          <cell r="H350">
            <v>0</v>
          </cell>
          <cell r="I350">
            <v>487.17</v>
          </cell>
          <cell r="J350">
            <v>-182.69</v>
          </cell>
          <cell r="K350">
            <v>304.48</v>
          </cell>
          <cell r="L350">
            <v>182.69</v>
          </cell>
          <cell r="M350">
            <v>124.67</v>
          </cell>
          <cell r="N350">
            <v>66.48</v>
          </cell>
          <cell r="O350">
            <v>0</v>
          </cell>
          <cell r="P350">
            <v>0</v>
          </cell>
          <cell r="Q350">
            <v>999.96000000000015</v>
          </cell>
        </row>
        <row r="351">
          <cell r="A351">
            <v>56086</v>
          </cell>
          <cell r="B351" t="str">
            <v>Safety and Training</v>
          </cell>
          <cell r="E351">
            <v>86.34</v>
          </cell>
          <cell r="F351">
            <v>16.23</v>
          </cell>
          <cell r="G351">
            <v>31.23</v>
          </cell>
          <cell r="H351">
            <v>21.48</v>
          </cell>
          <cell r="I351">
            <v>0</v>
          </cell>
          <cell r="J351">
            <v>64.92</v>
          </cell>
          <cell r="K351">
            <v>0</v>
          </cell>
          <cell r="L351">
            <v>80.650000000000006</v>
          </cell>
          <cell r="M351">
            <v>0</v>
          </cell>
          <cell r="N351">
            <v>121.71</v>
          </cell>
          <cell r="O351">
            <v>0</v>
          </cell>
          <cell r="P351">
            <v>0</v>
          </cell>
          <cell r="Q351">
            <v>422.56</v>
          </cell>
        </row>
        <row r="352">
          <cell r="A352">
            <v>56090</v>
          </cell>
          <cell r="B352" t="str">
            <v>Uniforms</v>
          </cell>
          <cell r="E352">
            <v>356.19</v>
          </cell>
          <cell r="F352">
            <v>519.97</v>
          </cell>
          <cell r="G352">
            <v>1421.43</v>
          </cell>
          <cell r="H352">
            <v>967.63</v>
          </cell>
          <cell r="I352">
            <v>1153.95</v>
          </cell>
          <cell r="J352">
            <v>1314.26</v>
          </cell>
          <cell r="K352">
            <v>1629.69</v>
          </cell>
          <cell r="L352">
            <v>1082.08</v>
          </cell>
          <cell r="M352">
            <v>1087.67</v>
          </cell>
          <cell r="N352">
            <v>1240.51</v>
          </cell>
          <cell r="O352">
            <v>1230.1199999999999</v>
          </cell>
          <cell r="P352">
            <v>1719.85</v>
          </cell>
          <cell r="Q352">
            <v>13723.35</v>
          </cell>
        </row>
        <row r="353">
          <cell r="A353">
            <v>56095</v>
          </cell>
          <cell r="B353" t="str">
            <v>Empl &amp; Commun Activ</v>
          </cell>
          <cell r="E353">
            <v>242.51</v>
          </cell>
          <cell r="F353">
            <v>-88.98</v>
          </cell>
          <cell r="G353">
            <v>0</v>
          </cell>
          <cell r="H353">
            <v>30.82</v>
          </cell>
          <cell r="I353">
            <v>161.91999999999999</v>
          </cell>
          <cell r="J353">
            <v>154.44999999999999</v>
          </cell>
          <cell r="K353">
            <v>0</v>
          </cell>
          <cell r="L353">
            <v>81.739999999999995</v>
          </cell>
          <cell r="M353">
            <v>97.68</v>
          </cell>
          <cell r="N353">
            <v>250.97</v>
          </cell>
          <cell r="O353">
            <v>-60.35</v>
          </cell>
          <cell r="P353">
            <v>0</v>
          </cell>
          <cell r="Q353">
            <v>870.75999999999988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259.32</v>
          </cell>
          <cell r="F356">
            <v>257.68</v>
          </cell>
          <cell r="G356">
            <v>386.43</v>
          </cell>
          <cell r="H356">
            <v>258.10000000000002</v>
          </cell>
          <cell r="I356">
            <v>332.41</v>
          </cell>
          <cell r="J356">
            <v>433.93</v>
          </cell>
          <cell r="K356">
            <v>427.05</v>
          </cell>
          <cell r="L356">
            <v>424.39</v>
          </cell>
          <cell r="M356">
            <v>428.34</v>
          </cell>
          <cell r="N356">
            <v>657.37</v>
          </cell>
          <cell r="O356">
            <v>545.69000000000005</v>
          </cell>
          <cell r="P356">
            <v>433.37</v>
          </cell>
          <cell r="Q356">
            <v>4844.0800000000008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391.66</v>
          </cell>
          <cell r="F359">
            <v>526.79999999999995</v>
          </cell>
          <cell r="G359">
            <v>580.32000000000005</v>
          </cell>
          <cell r="H359">
            <v>1039.98</v>
          </cell>
          <cell r="I359">
            <v>-623.28</v>
          </cell>
          <cell r="J359">
            <v>102.55</v>
          </cell>
          <cell r="K359">
            <v>582.14</v>
          </cell>
          <cell r="L359">
            <v>366.9</v>
          </cell>
          <cell r="M359">
            <v>350.1</v>
          </cell>
          <cell r="N359">
            <v>0</v>
          </cell>
          <cell r="O359">
            <v>255.27</v>
          </cell>
          <cell r="P359">
            <v>127.61</v>
          </cell>
          <cell r="Q359">
            <v>3700.05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1519.45</v>
          </cell>
          <cell r="F364">
            <v>1450.07</v>
          </cell>
          <cell r="G364">
            <v>1554.65</v>
          </cell>
          <cell r="H364">
            <v>4434.3500000000004</v>
          </cell>
          <cell r="I364">
            <v>-1597.73</v>
          </cell>
          <cell r="J364">
            <v>1513.67</v>
          </cell>
          <cell r="K364">
            <v>1505.33</v>
          </cell>
          <cell r="L364">
            <v>5156.7</v>
          </cell>
          <cell r="M364">
            <v>1422.01</v>
          </cell>
          <cell r="N364">
            <v>1404.71</v>
          </cell>
          <cell r="O364">
            <v>4969.07</v>
          </cell>
          <cell r="P364">
            <v>2885.81</v>
          </cell>
          <cell r="Q364">
            <v>26218.09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23</v>
          </cell>
          <cell r="G365">
            <v>32.75</v>
          </cell>
          <cell r="H365">
            <v>17.62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14.84</v>
          </cell>
          <cell r="O365">
            <v>-12.97</v>
          </cell>
          <cell r="P365">
            <v>0</v>
          </cell>
          <cell r="Q365">
            <v>75.240000000000009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34.36</v>
          </cell>
          <cell r="K366">
            <v>0</v>
          </cell>
          <cell r="L366">
            <v>0</v>
          </cell>
          <cell r="M366">
            <v>0</v>
          </cell>
          <cell r="N366">
            <v>348.63</v>
          </cell>
          <cell r="O366">
            <v>-333.79</v>
          </cell>
          <cell r="P366">
            <v>0</v>
          </cell>
          <cell r="Q366">
            <v>49.199999999999989</v>
          </cell>
        </row>
        <row r="367">
          <cell r="A367">
            <v>56210</v>
          </cell>
          <cell r="B367" t="str">
            <v>Office Supply and Equip</v>
          </cell>
          <cell r="E367">
            <v>302.63</v>
          </cell>
          <cell r="F367">
            <v>422.29</v>
          </cell>
          <cell r="G367">
            <v>391.69</v>
          </cell>
          <cell r="H367">
            <v>179.55</v>
          </cell>
          <cell r="I367">
            <v>722.74</v>
          </cell>
          <cell r="J367">
            <v>352.24</v>
          </cell>
          <cell r="K367">
            <v>0</v>
          </cell>
          <cell r="L367">
            <v>741.46</v>
          </cell>
          <cell r="M367">
            <v>364.82</v>
          </cell>
          <cell r="N367">
            <v>0</v>
          </cell>
          <cell r="O367">
            <v>886.4</v>
          </cell>
          <cell r="P367">
            <v>0</v>
          </cell>
          <cell r="Q367">
            <v>4363.8200000000006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37720.86</v>
          </cell>
          <cell r="F371">
            <v>33743.800000000003</v>
          </cell>
          <cell r="G371">
            <v>39084.410000000011</v>
          </cell>
          <cell r="H371">
            <v>42015.490000000013</v>
          </cell>
          <cell r="I371">
            <v>34490.759999999995</v>
          </cell>
          <cell r="J371">
            <v>38693.26999999999</v>
          </cell>
          <cell r="K371">
            <v>32262.889999999992</v>
          </cell>
          <cell r="L371">
            <v>38705.899999999994</v>
          </cell>
          <cell r="M371">
            <v>37358.249999999993</v>
          </cell>
          <cell r="N371">
            <v>35213.239999999991</v>
          </cell>
          <cell r="O371">
            <v>42122.020000000004</v>
          </cell>
          <cell r="P371">
            <v>40448.14</v>
          </cell>
          <cell r="Q371">
            <v>451859.03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142.55000000000001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1177.5899999999999</v>
          </cell>
          <cell r="O376">
            <v>-1102.77</v>
          </cell>
          <cell r="P376">
            <v>0</v>
          </cell>
          <cell r="Q376">
            <v>217.36999999999989</v>
          </cell>
        </row>
        <row r="377">
          <cell r="A377">
            <v>57147</v>
          </cell>
          <cell r="B377" t="str">
            <v>Bldg &amp; Property</v>
          </cell>
          <cell r="E377">
            <v>5273.81</v>
          </cell>
          <cell r="F377">
            <v>1312.43</v>
          </cell>
          <cell r="G377">
            <v>1899.21</v>
          </cell>
          <cell r="H377">
            <v>1309.79</v>
          </cell>
          <cell r="I377">
            <v>1872.61</v>
          </cell>
          <cell r="J377">
            <v>1128</v>
          </cell>
          <cell r="K377">
            <v>1740.26</v>
          </cell>
          <cell r="L377">
            <v>3083.68</v>
          </cell>
          <cell r="M377">
            <v>2114.81</v>
          </cell>
          <cell r="N377">
            <v>1811.92</v>
          </cell>
          <cell r="O377">
            <v>3002.6</v>
          </cell>
          <cell r="P377">
            <v>2169.63</v>
          </cell>
          <cell r="Q377">
            <v>26718.750000000004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461.43</v>
          </cell>
          <cell r="F380">
            <v>96.57</v>
          </cell>
          <cell r="G380">
            <v>117.6</v>
          </cell>
          <cell r="H380">
            <v>83.43</v>
          </cell>
          <cell r="I380">
            <v>90.9</v>
          </cell>
          <cell r="J380">
            <v>57.15</v>
          </cell>
          <cell r="K380">
            <v>89.42</v>
          </cell>
          <cell r="L380">
            <v>52.59</v>
          </cell>
          <cell r="M380">
            <v>307.08</v>
          </cell>
          <cell r="N380">
            <v>59.56</v>
          </cell>
          <cell r="O380">
            <v>541.69000000000005</v>
          </cell>
          <cell r="P380">
            <v>104.21</v>
          </cell>
          <cell r="Q380">
            <v>2061.6299999999997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5891.03</v>
          </cell>
          <cell r="F383">
            <v>6528.62</v>
          </cell>
          <cell r="G383">
            <v>5891.03</v>
          </cell>
          <cell r="H383">
            <v>5800.95</v>
          </cell>
          <cell r="I383">
            <v>5800.95</v>
          </cell>
          <cell r="J383">
            <v>5800.95</v>
          </cell>
          <cell r="K383">
            <v>5800.95</v>
          </cell>
          <cell r="L383">
            <v>5800.95</v>
          </cell>
          <cell r="M383">
            <v>4412</v>
          </cell>
          <cell r="N383">
            <v>4412</v>
          </cell>
          <cell r="O383">
            <v>5800.95</v>
          </cell>
          <cell r="P383">
            <v>13259</v>
          </cell>
          <cell r="Q383">
            <v>75199.37999999999</v>
          </cell>
        </row>
        <row r="384">
          <cell r="A384">
            <v>57175</v>
          </cell>
          <cell r="B384" t="str">
            <v>Equipment Vehicle Rental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1912.5</v>
          </cell>
          <cell r="F387">
            <v>1912.5</v>
          </cell>
          <cell r="G387">
            <v>1912.5</v>
          </cell>
          <cell r="H387">
            <v>1912.5</v>
          </cell>
          <cell r="I387">
            <v>2520</v>
          </cell>
          <cell r="J387">
            <v>2520</v>
          </cell>
          <cell r="K387">
            <v>2678.73</v>
          </cell>
          <cell r="L387">
            <v>2580.4699999999998</v>
          </cell>
          <cell r="M387">
            <v>2576.33</v>
          </cell>
          <cell r="N387">
            <v>2636.37</v>
          </cell>
          <cell r="O387">
            <v>2511.33</v>
          </cell>
          <cell r="P387">
            <v>2531.54</v>
          </cell>
          <cell r="Q387">
            <v>28204.769999999997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4.5</v>
          </cell>
          <cell r="H388">
            <v>4.5</v>
          </cell>
          <cell r="I388">
            <v>4.5</v>
          </cell>
          <cell r="J388">
            <v>4.5</v>
          </cell>
          <cell r="K388">
            <v>18</v>
          </cell>
          <cell r="L388">
            <v>4.5</v>
          </cell>
          <cell r="M388">
            <v>4.5</v>
          </cell>
          <cell r="N388">
            <v>4.5</v>
          </cell>
          <cell r="O388">
            <v>4.5</v>
          </cell>
          <cell r="P388">
            <v>0</v>
          </cell>
          <cell r="Q388">
            <v>54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18100.03</v>
          </cell>
          <cell r="K390">
            <v>1254.3699999999999</v>
          </cell>
          <cell r="L390">
            <v>1448.12</v>
          </cell>
          <cell r="M390">
            <v>-11585</v>
          </cell>
          <cell r="N390">
            <v>0</v>
          </cell>
          <cell r="O390">
            <v>0</v>
          </cell>
          <cell r="P390">
            <v>0</v>
          </cell>
          <cell r="Q390">
            <v>9217.5199999999968</v>
          </cell>
        </row>
        <row r="391">
          <cell r="A391">
            <v>57275</v>
          </cell>
          <cell r="B391" t="str">
            <v>Property Taxes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</row>
        <row r="392">
          <cell r="A392">
            <v>57280</v>
          </cell>
          <cell r="B392" t="str">
            <v>Other Taxes</v>
          </cell>
          <cell r="E392">
            <v>459</v>
          </cell>
          <cell r="F392">
            <v>459</v>
          </cell>
          <cell r="G392">
            <v>459</v>
          </cell>
          <cell r="H392">
            <v>459</v>
          </cell>
          <cell r="I392">
            <v>459</v>
          </cell>
          <cell r="J392">
            <v>459</v>
          </cell>
          <cell r="K392">
            <v>459</v>
          </cell>
          <cell r="L392">
            <v>459</v>
          </cell>
          <cell r="M392">
            <v>459</v>
          </cell>
          <cell r="N392">
            <v>459</v>
          </cell>
          <cell r="O392">
            <v>459</v>
          </cell>
          <cell r="P392">
            <v>459</v>
          </cell>
          <cell r="Q392">
            <v>5508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0</v>
          </cell>
          <cell r="P393">
            <v>631.95000000000005</v>
          </cell>
          <cell r="Q393">
            <v>898.90000000000009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62.5</v>
          </cell>
          <cell r="F395">
            <v>62.5</v>
          </cell>
          <cell r="G395">
            <v>62.5</v>
          </cell>
          <cell r="H395">
            <v>62.5</v>
          </cell>
          <cell r="I395">
            <v>62.5</v>
          </cell>
          <cell r="J395">
            <v>62.5</v>
          </cell>
          <cell r="K395">
            <v>62.5</v>
          </cell>
          <cell r="L395">
            <v>62.5</v>
          </cell>
          <cell r="M395">
            <v>62.5</v>
          </cell>
          <cell r="N395">
            <v>0</v>
          </cell>
          <cell r="O395">
            <v>125</v>
          </cell>
          <cell r="P395">
            <v>0</v>
          </cell>
          <cell r="Q395">
            <v>687.5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15</v>
          </cell>
          <cell r="O398">
            <v>0</v>
          </cell>
          <cell r="P398">
            <v>80</v>
          </cell>
          <cell r="Q398">
            <v>95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79.209999999999994</v>
          </cell>
          <cell r="F400">
            <v>79.209999999999994</v>
          </cell>
          <cell r="G400">
            <v>79.209999999999994</v>
          </cell>
          <cell r="H400">
            <v>129.57</v>
          </cell>
          <cell r="I400">
            <v>342.55</v>
          </cell>
          <cell r="J400">
            <v>129.55000000000001</v>
          </cell>
          <cell r="K400">
            <v>129.55000000000001</v>
          </cell>
          <cell r="L400">
            <v>129.55000000000001</v>
          </cell>
          <cell r="M400">
            <v>129.55000000000001</v>
          </cell>
          <cell r="N400">
            <v>129.55000000000001</v>
          </cell>
          <cell r="O400">
            <v>129.55000000000001</v>
          </cell>
          <cell r="P400">
            <v>39.549999999999997</v>
          </cell>
          <cell r="Q400">
            <v>1526.5999999999997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14139.48</v>
          </cell>
          <cell r="F406">
            <v>10450.829999999998</v>
          </cell>
          <cell r="G406">
            <v>10425.549999999999</v>
          </cell>
          <cell r="H406">
            <v>9904.7899999999991</v>
          </cell>
          <cell r="I406">
            <v>11153.009999999998</v>
          </cell>
          <cell r="J406">
            <v>28261.679999999997</v>
          </cell>
          <cell r="K406">
            <v>12232.779999999999</v>
          </cell>
          <cell r="L406">
            <v>13621.359999999997</v>
          </cell>
          <cell r="M406">
            <v>-1519.2300000000007</v>
          </cell>
          <cell r="N406">
            <v>10972.439999999999</v>
          </cell>
          <cell r="O406">
            <v>11471.849999999999</v>
          </cell>
          <cell r="P406">
            <v>19274.88</v>
          </cell>
          <cell r="Q406">
            <v>150389.41999999998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-2328.46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-2328.46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6884.94</v>
          </cell>
          <cell r="F417">
            <v>6884.94</v>
          </cell>
          <cell r="G417">
            <v>6884.94</v>
          </cell>
          <cell r="H417">
            <v>6884.94</v>
          </cell>
          <cell r="I417">
            <v>6884.94</v>
          </cell>
          <cell r="J417">
            <v>6884.94</v>
          </cell>
          <cell r="K417">
            <v>6884.94</v>
          </cell>
          <cell r="L417">
            <v>6884.94</v>
          </cell>
          <cell r="M417">
            <v>6884.94</v>
          </cell>
          <cell r="N417">
            <v>6884.94</v>
          </cell>
          <cell r="O417">
            <v>6884.94</v>
          </cell>
          <cell r="P417">
            <v>6884.94</v>
          </cell>
          <cell r="Q417">
            <v>82619.280000000013</v>
          </cell>
        </row>
        <row r="418">
          <cell r="A418">
            <v>59341</v>
          </cell>
          <cell r="B418" t="str">
            <v>A&amp;L - Current Year Claims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2600</v>
          </cell>
          <cell r="Q418">
            <v>2600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0.3</v>
          </cell>
          <cell r="J419">
            <v>-0.15</v>
          </cell>
          <cell r="K419">
            <v>1577.07</v>
          </cell>
          <cell r="L419">
            <v>0.05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1577.27</v>
          </cell>
        </row>
        <row r="420">
          <cell r="A420">
            <v>59343</v>
          </cell>
          <cell r="B420" t="str">
            <v>WC - Current Year Claims</v>
          </cell>
          <cell r="E420">
            <v>53330.6</v>
          </cell>
          <cell r="F420">
            <v>13301</v>
          </cell>
          <cell r="G420">
            <v>13532.93</v>
          </cell>
          <cell r="H420">
            <v>-35945.980000000003</v>
          </cell>
          <cell r="I420">
            <v>151.47999999999999</v>
          </cell>
          <cell r="J420">
            <v>0</v>
          </cell>
          <cell r="K420">
            <v>-5630.29</v>
          </cell>
          <cell r="L420">
            <v>19.420000000000002</v>
          </cell>
          <cell r="M420">
            <v>28.64</v>
          </cell>
          <cell r="N420">
            <v>6955.88</v>
          </cell>
          <cell r="O420">
            <v>11900</v>
          </cell>
          <cell r="P420">
            <v>2180.23</v>
          </cell>
          <cell r="Q420">
            <v>59823.909999999996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66006.16</v>
          </cell>
          <cell r="I421">
            <v>2800</v>
          </cell>
          <cell r="J421">
            <v>-3742.81</v>
          </cell>
          <cell r="K421">
            <v>36406.36</v>
          </cell>
          <cell r="L421">
            <v>0</v>
          </cell>
          <cell r="M421">
            <v>28.28</v>
          </cell>
          <cell r="N421">
            <v>4000</v>
          </cell>
          <cell r="O421">
            <v>-547</v>
          </cell>
          <cell r="P421">
            <v>12729.61</v>
          </cell>
          <cell r="Q421">
            <v>117680.6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-3539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2099.67</v>
          </cell>
          <cell r="Q423">
            <v>-1439.33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A425">
            <v>59500</v>
          </cell>
          <cell r="B425" t="str">
            <v>Workers Comp Prem</v>
          </cell>
          <cell r="E425">
            <v>1104</v>
          </cell>
          <cell r="F425">
            <v>4000</v>
          </cell>
          <cell r="G425">
            <v>4000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27104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57780.54</v>
          </cell>
          <cell r="F428">
            <v>24185.94</v>
          </cell>
          <cell r="G428">
            <v>22089.41</v>
          </cell>
          <cell r="H428">
            <v>38945.119999999995</v>
          </cell>
          <cell r="I428">
            <v>10836.72</v>
          </cell>
          <cell r="J428">
            <v>5141.9799999999996</v>
          </cell>
          <cell r="K428">
            <v>41238.080000000002</v>
          </cell>
          <cell r="L428">
            <v>8904.41</v>
          </cell>
          <cell r="M428">
            <v>9941.86</v>
          </cell>
          <cell r="N428">
            <v>20840.82</v>
          </cell>
          <cell r="O428">
            <v>21237.94</v>
          </cell>
          <cell r="P428">
            <v>26494.449999999997</v>
          </cell>
          <cell r="Q428">
            <v>287637.27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145.82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145.82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145.82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145.82</v>
          </cell>
        </row>
        <row r="435">
          <cell r="A435" t="str">
            <v>Total Operating Costs</v>
          </cell>
          <cell r="E435">
            <v>556322.18999999994</v>
          </cell>
          <cell r="F435">
            <v>483088.13</v>
          </cell>
          <cell r="G435">
            <v>533902.79</v>
          </cell>
          <cell r="H435">
            <v>564081.47</v>
          </cell>
          <cell r="I435">
            <v>483474.26</v>
          </cell>
          <cell r="J435">
            <v>500744.69999999995</v>
          </cell>
          <cell r="K435">
            <v>514379.49999999994</v>
          </cell>
          <cell r="L435">
            <v>499533.73</v>
          </cell>
          <cell r="M435">
            <v>480587.02</v>
          </cell>
          <cell r="N435">
            <v>468427.15999999992</v>
          </cell>
          <cell r="O435">
            <v>510740</v>
          </cell>
          <cell r="P435">
            <v>507649</v>
          </cell>
          <cell r="Q435">
            <v>6102929.9500000002</v>
          </cell>
        </row>
        <row r="437">
          <cell r="A437" t="str">
            <v>Gross Profit</v>
          </cell>
          <cell r="E437">
            <v>283635.74000000011</v>
          </cell>
          <cell r="F437">
            <v>397011.87</v>
          </cell>
          <cell r="G437">
            <v>293409.25999999989</v>
          </cell>
          <cell r="H437">
            <v>295183.43000000005</v>
          </cell>
          <cell r="I437">
            <v>372092.71999999974</v>
          </cell>
          <cell r="J437">
            <v>350748.59000000008</v>
          </cell>
          <cell r="K437">
            <v>347516.12000000005</v>
          </cell>
          <cell r="L437">
            <v>388020.01</v>
          </cell>
          <cell r="M437">
            <v>377828.52</v>
          </cell>
          <cell r="N437">
            <v>382225.52999999991</v>
          </cell>
          <cell r="O437">
            <v>311431.2100000002</v>
          </cell>
          <cell r="P437">
            <v>306754.91999999981</v>
          </cell>
          <cell r="Q437">
            <v>4105857.9199999953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3237.6</v>
          </cell>
          <cell r="Q470">
            <v>3237.6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3237.6</v>
          </cell>
          <cell r="Q480">
            <v>3237.6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28808.37</v>
          </cell>
          <cell r="F483">
            <v>29237.93</v>
          </cell>
          <cell r="G483">
            <v>34055.660000000003</v>
          </cell>
          <cell r="H483">
            <v>32303.54</v>
          </cell>
          <cell r="I483">
            <v>32394.99</v>
          </cell>
          <cell r="J483">
            <v>34374</v>
          </cell>
          <cell r="K483">
            <v>35547.46</v>
          </cell>
          <cell r="L483">
            <v>34794.910000000003</v>
          </cell>
          <cell r="M483">
            <v>35448.120000000003</v>
          </cell>
          <cell r="N483">
            <v>34195.99</v>
          </cell>
          <cell r="O483">
            <v>35269.089999999997</v>
          </cell>
          <cell r="P483">
            <v>37099.64</v>
          </cell>
          <cell r="Q483">
            <v>403529.69999999995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28572.240000000002</v>
          </cell>
          <cell r="F485">
            <v>30096.06</v>
          </cell>
          <cell r="G485">
            <v>32883.68</v>
          </cell>
          <cell r="H485">
            <v>33553.279999999999</v>
          </cell>
          <cell r="I485">
            <v>27323.32</v>
          </cell>
          <cell r="J485">
            <v>31281.360000000001</v>
          </cell>
          <cell r="K485">
            <v>28636.82</v>
          </cell>
          <cell r="L485">
            <v>32591.07</v>
          </cell>
          <cell r="M485">
            <v>25152.99</v>
          </cell>
          <cell r="N485">
            <v>26476.49</v>
          </cell>
          <cell r="O485">
            <v>29556.5</v>
          </cell>
          <cell r="P485">
            <v>26409.97</v>
          </cell>
          <cell r="Q485">
            <v>352533.78</v>
          </cell>
        </row>
        <row r="486">
          <cell r="A486">
            <v>70025</v>
          </cell>
          <cell r="B486" t="str">
            <v>Wages O.T.</v>
          </cell>
          <cell r="E486">
            <v>1534.05</v>
          </cell>
          <cell r="F486">
            <v>1546.14</v>
          </cell>
          <cell r="G486">
            <v>1142.1400000000001</v>
          </cell>
          <cell r="H486">
            <v>1991.39</v>
          </cell>
          <cell r="I486">
            <v>1423.14</v>
          </cell>
          <cell r="J486">
            <v>1581.5</v>
          </cell>
          <cell r="K486">
            <v>577.54</v>
          </cell>
          <cell r="L486">
            <v>3583.2</v>
          </cell>
          <cell r="M486">
            <v>1079.97</v>
          </cell>
          <cell r="N486">
            <v>1516.27</v>
          </cell>
          <cell r="O486">
            <v>2000.96</v>
          </cell>
          <cell r="P486">
            <v>1477.46</v>
          </cell>
          <cell r="Q486">
            <v>19453.760000000002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1075</v>
          </cell>
          <cell r="F489">
            <v>1675</v>
          </cell>
          <cell r="G489">
            <v>7455.5</v>
          </cell>
          <cell r="H489">
            <v>3066.38</v>
          </cell>
          <cell r="I489">
            <v>1438.95</v>
          </cell>
          <cell r="J489">
            <v>3016.36</v>
          </cell>
          <cell r="K489">
            <v>2625</v>
          </cell>
          <cell r="L489">
            <v>2678.43</v>
          </cell>
          <cell r="M489">
            <v>2913.79</v>
          </cell>
          <cell r="N489">
            <v>1746.4</v>
          </cell>
          <cell r="O489">
            <v>2652.32</v>
          </cell>
          <cell r="P489">
            <v>5362.05</v>
          </cell>
          <cell r="Q489">
            <v>35705.180000000008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</row>
        <row r="492">
          <cell r="A492">
            <v>70050</v>
          </cell>
          <cell r="B492" t="str">
            <v>Payroll Taxes</v>
          </cell>
          <cell r="E492">
            <v>7335.33</v>
          </cell>
          <cell r="F492">
            <v>5253.85</v>
          </cell>
          <cell r="G492">
            <v>6887.21</v>
          </cell>
          <cell r="H492">
            <v>5839.13</v>
          </cell>
          <cell r="I492">
            <v>4643.53</v>
          </cell>
          <cell r="J492">
            <v>5669.76</v>
          </cell>
          <cell r="K492">
            <v>4555.33</v>
          </cell>
          <cell r="L492">
            <v>5742.05</v>
          </cell>
          <cell r="M492">
            <v>4517.6899999999996</v>
          </cell>
          <cell r="N492">
            <v>4408.2</v>
          </cell>
          <cell r="O492">
            <v>4942.4399999999996</v>
          </cell>
          <cell r="P492">
            <v>5199.09</v>
          </cell>
          <cell r="Q492">
            <v>64993.61</v>
          </cell>
        </row>
        <row r="493">
          <cell r="A493">
            <v>70060</v>
          </cell>
          <cell r="B493" t="str">
            <v>Group Insurance</v>
          </cell>
          <cell r="E493">
            <v>11410.52</v>
          </cell>
          <cell r="F493">
            <v>11524.58</v>
          </cell>
          <cell r="G493">
            <v>10554.24</v>
          </cell>
          <cell r="H493">
            <v>13084.2</v>
          </cell>
          <cell r="I493">
            <v>12115.75</v>
          </cell>
          <cell r="J493">
            <v>12494.37</v>
          </cell>
          <cell r="K493">
            <v>12559.75</v>
          </cell>
          <cell r="L493">
            <v>12415.93</v>
          </cell>
          <cell r="M493">
            <v>11362.28</v>
          </cell>
          <cell r="N493">
            <v>13749.11</v>
          </cell>
          <cell r="O493">
            <v>12593.52</v>
          </cell>
          <cell r="P493">
            <v>12600.59</v>
          </cell>
          <cell r="Q493">
            <v>146464.84</v>
          </cell>
        </row>
        <row r="494">
          <cell r="A494">
            <v>70065</v>
          </cell>
          <cell r="B494" t="str">
            <v>Vacation Pay</v>
          </cell>
          <cell r="E494">
            <v>1582.88</v>
          </cell>
          <cell r="F494">
            <v>4413.99</v>
          </cell>
          <cell r="G494">
            <v>48.78</v>
          </cell>
          <cell r="H494">
            <v>2185.79</v>
          </cell>
          <cell r="I494">
            <v>4000.59</v>
          </cell>
          <cell r="J494">
            <v>-891.88</v>
          </cell>
          <cell r="K494">
            <v>4756.8500000000004</v>
          </cell>
          <cell r="L494">
            <v>2920.08</v>
          </cell>
          <cell r="M494">
            <v>4784.29</v>
          </cell>
          <cell r="N494">
            <v>3124.36</v>
          </cell>
          <cell r="O494">
            <v>2610.1999999999998</v>
          </cell>
          <cell r="P494">
            <v>4173.68</v>
          </cell>
          <cell r="Q494">
            <v>33709.61</v>
          </cell>
        </row>
        <row r="495">
          <cell r="A495">
            <v>70070</v>
          </cell>
          <cell r="B495" t="str">
            <v>Sick Pay</v>
          </cell>
          <cell r="E495">
            <v>396.68</v>
          </cell>
          <cell r="F495">
            <v>680.36</v>
          </cell>
          <cell r="G495">
            <v>1133.57</v>
          </cell>
          <cell r="H495">
            <v>674.93</v>
          </cell>
          <cell r="I495">
            <v>892.47</v>
          </cell>
          <cell r="J495">
            <v>554.58000000000004</v>
          </cell>
          <cell r="K495">
            <v>198.93</v>
          </cell>
          <cell r="L495">
            <v>122.21</v>
          </cell>
          <cell r="M495">
            <v>727.21</v>
          </cell>
          <cell r="N495">
            <v>366.82</v>
          </cell>
          <cell r="O495">
            <v>768.29</v>
          </cell>
          <cell r="P495">
            <v>121.28</v>
          </cell>
          <cell r="Q495">
            <v>6637.329999999999</v>
          </cell>
        </row>
        <row r="496">
          <cell r="A496">
            <v>70086</v>
          </cell>
          <cell r="B496" t="str">
            <v>Safety and Training</v>
          </cell>
          <cell r="E496">
            <v>14.8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35.6</v>
          </cell>
          <cell r="K496">
            <v>0</v>
          </cell>
          <cell r="L496">
            <v>70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120.4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708.81</v>
          </cell>
          <cell r="O497">
            <v>-708.81</v>
          </cell>
          <cell r="P497">
            <v>0</v>
          </cell>
          <cell r="Q497">
            <v>0</v>
          </cell>
        </row>
        <row r="498">
          <cell r="A498">
            <v>70095</v>
          </cell>
          <cell r="B498" t="str">
            <v>Empl &amp; Commun Activ</v>
          </cell>
          <cell r="E498">
            <v>16986.41</v>
          </cell>
          <cell r="F498">
            <v>158.86000000000001</v>
          </cell>
          <cell r="G498">
            <v>1019.92</v>
          </cell>
          <cell r="H498">
            <v>210.51</v>
          </cell>
          <cell r="I498">
            <v>1580.13</v>
          </cell>
          <cell r="J498">
            <v>4162.7</v>
          </cell>
          <cell r="K498">
            <v>660.39</v>
          </cell>
          <cell r="L498">
            <v>2656.19</v>
          </cell>
          <cell r="M498">
            <v>517.80999999999995</v>
          </cell>
          <cell r="N498">
            <v>54.01</v>
          </cell>
          <cell r="O498">
            <v>1519.35</v>
          </cell>
          <cell r="P498">
            <v>3351.61</v>
          </cell>
          <cell r="Q498">
            <v>32877.889999999992</v>
          </cell>
        </row>
        <row r="499">
          <cell r="A499">
            <v>70105</v>
          </cell>
          <cell r="B499" t="str">
            <v>Employee Relocation</v>
          </cell>
          <cell r="E499">
            <v>381.64</v>
          </cell>
          <cell r="F499">
            <v>381.64</v>
          </cell>
          <cell r="G499">
            <v>381.64</v>
          </cell>
          <cell r="H499">
            <v>381.64</v>
          </cell>
          <cell r="I499">
            <v>381.64</v>
          </cell>
          <cell r="J499">
            <v>381.64</v>
          </cell>
          <cell r="K499">
            <v>381.64</v>
          </cell>
          <cell r="L499">
            <v>381.64</v>
          </cell>
          <cell r="M499">
            <v>381.64</v>
          </cell>
          <cell r="N499">
            <v>381.64</v>
          </cell>
          <cell r="O499">
            <v>381.64</v>
          </cell>
          <cell r="P499">
            <v>381.64</v>
          </cell>
          <cell r="Q499">
            <v>4579.6799999999994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312.5</v>
          </cell>
          <cell r="F502">
            <v>5000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1308.46</v>
          </cell>
          <cell r="L502">
            <v>0</v>
          </cell>
          <cell r="M502">
            <v>250</v>
          </cell>
          <cell r="N502">
            <v>0</v>
          </cell>
          <cell r="O502">
            <v>0</v>
          </cell>
          <cell r="P502">
            <v>0</v>
          </cell>
          <cell r="Q502">
            <v>6870.96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</row>
        <row r="505">
          <cell r="A505">
            <v>70116</v>
          </cell>
          <cell r="B505" t="str">
            <v>Pension and Profit Sharing</v>
          </cell>
          <cell r="E505">
            <v>775.31</v>
          </cell>
          <cell r="F505">
            <v>784.92</v>
          </cell>
          <cell r="G505">
            <v>1191.3900000000001</v>
          </cell>
          <cell r="H505">
            <v>882.19</v>
          </cell>
          <cell r="I505">
            <v>848.69</v>
          </cell>
          <cell r="J505">
            <v>942.95</v>
          </cell>
          <cell r="K505">
            <v>949.67</v>
          </cell>
          <cell r="L505">
            <v>1042.08</v>
          </cell>
          <cell r="M505">
            <v>979.97</v>
          </cell>
          <cell r="N505">
            <v>1418.44</v>
          </cell>
          <cell r="O505">
            <v>969.88</v>
          </cell>
          <cell r="P505">
            <v>1066.9100000000001</v>
          </cell>
          <cell r="Q505">
            <v>11852.4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2932.61</v>
          </cell>
          <cell r="F510">
            <v>3215.3</v>
          </cell>
          <cell r="G510">
            <v>3962.99</v>
          </cell>
          <cell r="H510">
            <v>2924.73</v>
          </cell>
          <cell r="I510">
            <v>1275.23</v>
          </cell>
          <cell r="J510">
            <v>4265.58</v>
          </cell>
          <cell r="K510">
            <v>8940.42</v>
          </cell>
          <cell r="L510">
            <v>7247.4</v>
          </cell>
          <cell r="M510">
            <v>-383</v>
          </cell>
          <cell r="N510">
            <v>2709.33</v>
          </cell>
          <cell r="O510">
            <v>3459.2</v>
          </cell>
          <cell r="P510">
            <v>2793.15</v>
          </cell>
          <cell r="Q510">
            <v>43342.94</v>
          </cell>
        </row>
        <row r="511">
          <cell r="A511">
            <v>70150</v>
          </cell>
          <cell r="B511" t="str">
            <v>Utilities</v>
          </cell>
          <cell r="E511">
            <v>380.73</v>
          </cell>
          <cell r="F511">
            <v>364.13</v>
          </cell>
          <cell r="G511">
            <v>364.19</v>
          </cell>
          <cell r="H511">
            <v>352.07</v>
          </cell>
          <cell r="I511">
            <v>323.74</v>
          </cell>
          <cell r="J511">
            <v>309.05</v>
          </cell>
          <cell r="K511">
            <v>1116.01</v>
          </cell>
          <cell r="L511">
            <v>325.92</v>
          </cell>
          <cell r="M511">
            <v>289.63</v>
          </cell>
          <cell r="N511">
            <v>300.67</v>
          </cell>
          <cell r="O511">
            <v>324.64999999999998</v>
          </cell>
          <cell r="P511">
            <v>559.65</v>
          </cell>
          <cell r="Q511">
            <v>5010.4399999999996</v>
          </cell>
        </row>
        <row r="512">
          <cell r="A512">
            <v>70165</v>
          </cell>
          <cell r="B512" t="str">
            <v>Communications</v>
          </cell>
          <cell r="E512">
            <v>471.39</v>
          </cell>
          <cell r="F512">
            <v>299.95</v>
          </cell>
          <cell r="G512">
            <v>548.38</v>
          </cell>
          <cell r="H512">
            <v>403.25</v>
          </cell>
          <cell r="I512">
            <v>472.01</v>
          </cell>
          <cell r="J512">
            <v>532</v>
          </cell>
          <cell r="K512">
            <v>463.52</v>
          </cell>
          <cell r="L512">
            <v>1173.68</v>
          </cell>
          <cell r="M512">
            <v>539.39</v>
          </cell>
          <cell r="N512">
            <v>124.82</v>
          </cell>
          <cell r="O512">
            <v>370.1</v>
          </cell>
          <cell r="P512">
            <v>2409.2399999999998</v>
          </cell>
          <cell r="Q512">
            <v>7807.73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18.989999999999998</v>
          </cell>
          <cell r="F514">
            <v>62.24</v>
          </cell>
          <cell r="G514">
            <v>118.47</v>
          </cell>
          <cell r="H514">
            <v>68.52</v>
          </cell>
          <cell r="I514">
            <v>56.02</v>
          </cell>
          <cell r="J514">
            <v>68.52</v>
          </cell>
          <cell r="K514">
            <v>118.98</v>
          </cell>
          <cell r="L514">
            <v>62.5</v>
          </cell>
          <cell r="M514">
            <v>25</v>
          </cell>
          <cell r="N514">
            <v>-73.709999999999994</v>
          </cell>
          <cell r="O514">
            <v>223.71</v>
          </cell>
          <cell r="P514">
            <v>50</v>
          </cell>
          <cell r="Q514">
            <v>799.24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3168.8</v>
          </cell>
          <cell r="Q515">
            <v>3168.8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554.46</v>
          </cell>
          <cell r="F517">
            <v>488.09</v>
          </cell>
          <cell r="G517">
            <v>167.53</v>
          </cell>
          <cell r="H517">
            <v>594.19000000000005</v>
          </cell>
          <cell r="I517">
            <v>578.76</v>
          </cell>
          <cell r="J517">
            <v>533.45000000000005</v>
          </cell>
          <cell r="K517">
            <v>916.47</v>
          </cell>
          <cell r="L517">
            <v>529.91</v>
          </cell>
          <cell r="M517">
            <v>533.41</v>
          </cell>
          <cell r="N517">
            <v>625</v>
          </cell>
          <cell r="O517">
            <v>547.6</v>
          </cell>
          <cell r="P517">
            <v>547.17999999999995</v>
          </cell>
          <cell r="Q517">
            <v>6616.05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</row>
        <row r="519">
          <cell r="A519">
            <v>70195</v>
          </cell>
          <cell r="B519" t="str">
            <v>Dues and Subscriptions</v>
          </cell>
          <cell r="E519">
            <v>913</v>
          </cell>
          <cell r="F519">
            <v>1939.67</v>
          </cell>
          <cell r="G519">
            <v>663</v>
          </cell>
          <cell r="H519">
            <v>2175.4699999999998</v>
          </cell>
          <cell r="I519">
            <v>775.41</v>
          </cell>
          <cell r="J519">
            <v>1375.47</v>
          </cell>
          <cell r="K519">
            <v>833</v>
          </cell>
          <cell r="L519">
            <v>2029.58</v>
          </cell>
          <cell r="M519">
            <v>672.93</v>
          </cell>
          <cell r="N519">
            <v>1244.56</v>
          </cell>
          <cell r="O519">
            <v>2034.76</v>
          </cell>
          <cell r="P519">
            <v>974.76</v>
          </cell>
          <cell r="Q519">
            <v>15631.61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284.18</v>
          </cell>
          <cell r="F521">
            <v>570.14</v>
          </cell>
          <cell r="G521">
            <v>-220.29</v>
          </cell>
          <cell r="H521">
            <v>1900</v>
          </cell>
          <cell r="I521">
            <v>-1665.7</v>
          </cell>
          <cell r="J521">
            <v>263.64999999999998</v>
          </cell>
          <cell r="K521">
            <v>203.4</v>
          </cell>
          <cell r="L521">
            <v>-15.5</v>
          </cell>
          <cell r="M521">
            <v>340.62</v>
          </cell>
          <cell r="N521">
            <v>348.94</v>
          </cell>
          <cell r="O521">
            <v>14.75</v>
          </cell>
          <cell r="P521">
            <v>68.2</v>
          </cell>
          <cell r="Q521">
            <v>2092.3899999999994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7.85</v>
          </cell>
          <cell r="G522">
            <v>137.01</v>
          </cell>
          <cell r="H522">
            <v>-29.88</v>
          </cell>
          <cell r="I522">
            <v>73.069999999999993</v>
          </cell>
          <cell r="J522">
            <v>428.59</v>
          </cell>
          <cell r="K522">
            <v>-290.98</v>
          </cell>
          <cell r="L522">
            <v>540.96</v>
          </cell>
          <cell r="M522">
            <v>-468.86</v>
          </cell>
          <cell r="N522">
            <v>13.96</v>
          </cell>
          <cell r="O522">
            <v>0</v>
          </cell>
          <cell r="P522">
            <v>0</v>
          </cell>
          <cell r="Q522">
            <v>411.71999999999997</v>
          </cell>
        </row>
        <row r="523">
          <cell r="A523">
            <v>70202</v>
          </cell>
          <cell r="B523" t="str">
            <v>Excursions Meetings</v>
          </cell>
          <cell r="E523">
            <v>0</v>
          </cell>
          <cell r="F523">
            <v>115.17</v>
          </cell>
          <cell r="G523">
            <v>0</v>
          </cell>
          <cell r="H523">
            <v>0</v>
          </cell>
          <cell r="I523">
            <v>0</v>
          </cell>
          <cell r="J523">
            <v>416.25</v>
          </cell>
          <cell r="K523">
            <v>0</v>
          </cell>
          <cell r="L523">
            <v>0</v>
          </cell>
          <cell r="M523">
            <v>0</v>
          </cell>
          <cell r="N523">
            <v>46.73</v>
          </cell>
          <cell r="O523">
            <v>-46.73</v>
          </cell>
          <cell r="P523">
            <v>0</v>
          </cell>
          <cell r="Q523">
            <v>531.41999999999996</v>
          </cell>
        </row>
        <row r="524">
          <cell r="A524">
            <v>70203</v>
          </cell>
          <cell r="B524" t="str">
            <v>Lodging</v>
          </cell>
          <cell r="E524">
            <v>-462.54</v>
          </cell>
          <cell r="F524">
            <v>0</v>
          </cell>
          <cell r="G524">
            <v>0</v>
          </cell>
          <cell r="H524">
            <v>326.7</v>
          </cell>
          <cell r="I524">
            <v>193</v>
          </cell>
          <cell r="J524">
            <v>436.86</v>
          </cell>
          <cell r="K524">
            <v>-170.97</v>
          </cell>
          <cell r="L524">
            <v>841.43</v>
          </cell>
          <cell r="M524">
            <v>127.5</v>
          </cell>
          <cell r="N524">
            <v>159.44</v>
          </cell>
          <cell r="O524">
            <v>-28.18</v>
          </cell>
          <cell r="P524">
            <v>171.48</v>
          </cell>
          <cell r="Q524">
            <v>1594.72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45.73</v>
          </cell>
          <cell r="F526">
            <v>-10.71</v>
          </cell>
          <cell r="G526">
            <v>526.05999999999995</v>
          </cell>
          <cell r="H526">
            <v>861.17</v>
          </cell>
          <cell r="I526">
            <v>156.44999999999999</v>
          </cell>
          <cell r="J526">
            <v>24.24</v>
          </cell>
          <cell r="K526">
            <v>2459.6</v>
          </cell>
          <cell r="L526">
            <v>-623.04</v>
          </cell>
          <cell r="M526">
            <v>1397.2</v>
          </cell>
          <cell r="N526">
            <v>-382.55</v>
          </cell>
          <cell r="O526">
            <v>-70.31</v>
          </cell>
          <cell r="P526">
            <v>-1079.19</v>
          </cell>
          <cell r="Q526">
            <v>3304.6499999999992</v>
          </cell>
        </row>
        <row r="527">
          <cell r="A527">
            <v>70206</v>
          </cell>
          <cell r="B527" t="str">
            <v>Meals</v>
          </cell>
          <cell r="E527">
            <v>-77.31</v>
          </cell>
          <cell r="F527">
            <v>17.46</v>
          </cell>
          <cell r="G527">
            <v>200.29</v>
          </cell>
          <cell r="H527">
            <v>-74.84</v>
          </cell>
          <cell r="I527">
            <v>191.59</v>
          </cell>
          <cell r="J527">
            <v>1.26</v>
          </cell>
          <cell r="K527">
            <v>-7.59</v>
          </cell>
          <cell r="L527">
            <v>350.62</v>
          </cell>
          <cell r="M527">
            <v>-21.04</v>
          </cell>
          <cell r="N527">
            <v>31.96</v>
          </cell>
          <cell r="O527">
            <v>562.61</v>
          </cell>
          <cell r="P527">
            <v>262.97000000000003</v>
          </cell>
          <cell r="Q527">
            <v>1437.9800000000002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5866.86</v>
          </cell>
          <cell r="F530">
            <v>2088.08</v>
          </cell>
          <cell r="G530">
            <v>1297.8399999999999</v>
          </cell>
          <cell r="H530">
            <v>1260.67</v>
          </cell>
          <cell r="I530">
            <v>1042.3699999999999</v>
          </cell>
          <cell r="J530">
            <v>1576.14</v>
          </cell>
          <cell r="K530">
            <v>1736.71</v>
          </cell>
          <cell r="L530">
            <v>1305.27</v>
          </cell>
          <cell r="M530">
            <v>1356.75</v>
          </cell>
          <cell r="N530">
            <v>4188.3100000000004</v>
          </cell>
          <cell r="O530">
            <v>352.32</v>
          </cell>
          <cell r="P530">
            <v>2617.98</v>
          </cell>
          <cell r="Q530">
            <v>24689.3</v>
          </cell>
        </row>
        <row r="531">
          <cell r="A531">
            <v>70213</v>
          </cell>
          <cell r="B531" t="str">
            <v>Pcard Rebate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2484.66</v>
          </cell>
          <cell r="F532">
            <v>2690.82</v>
          </cell>
          <cell r="G532">
            <v>2823.76</v>
          </cell>
          <cell r="H532">
            <v>2495.84</v>
          </cell>
          <cell r="I532">
            <v>2467.4499999999998</v>
          </cell>
          <cell r="J532">
            <v>2868.03</v>
          </cell>
          <cell r="K532">
            <v>2914.02</v>
          </cell>
          <cell r="L532">
            <v>3099.61</v>
          </cell>
          <cell r="M532">
            <v>3243.81</v>
          </cell>
          <cell r="N532">
            <v>129.69</v>
          </cell>
          <cell r="O532">
            <v>6329.67</v>
          </cell>
          <cell r="P532">
            <v>3002.76</v>
          </cell>
          <cell r="Q532">
            <v>34550.120000000003</v>
          </cell>
        </row>
        <row r="533">
          <cell r="A533">
            <v>70215</v>
          </cell>
          <cell r="B533" t="str">
            <v>Bank Charges</v>
          </cell>
          <cell r="E533">
            <v>146.88</v>
          </cell>
          <cell r="F533">
            <v>148.75</v>
          </cell>
          <cell r="G533">
            <v>150.41999999999999</v>
          </cell>
          <cell r="H533">
            <v>150.63</v>
          </cell>
          <cell r="I533">
            <v>131.56</v>
          </cell>
          <cell r="J533">
            <v>137.5</v>
          </cell>
          <cell r="K533">
            <v>0</v>
          </cell>
          <cell r="L533">
            <v>129.06</v>
          </cell>
          <cell r="M533">
            <v>133.75</v>
          </cell>
          <cell r="N533">
            <v>0</v>
          </cell>
          <cell r="O533">
            <v>264.07</v>
          </cell>
          <cell r="P533">
            <v>18.73</v>
          </cell>
          <cell r="Q533">
            <v>1411.35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0</v>
          </cell>
          <cell r="F536">
            <v>473.41</v>
          </cell>
          <cell r="G536">
            <v>0</v>
          </cell>
          <cell r="H536">
            <v>10.55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311.8</v>
          </cell>
          <cell r="P536">
            <v>0</v>
          </cell>
          <cell r="Q536">
            <v>795.76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108.21</v>
          </cell>
          <cell r="N538">
            <v>0</v>
          </cell>
          <cell r="O538">
            <v>0</v>
          </cell>
          <cell r="P538">
            <v>0</v>
          </cell>
          <cell r="Q538">
            <v>108.21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2439.5700000000002</v>
          </cell>
          <cell r="F540">
            <v>2131.5700000000002</v>
          </cell>
          <cell r="G540">
            <v>3481.88</v>
          </cell>
          <cell r="H540">
            <v>-1738.5</v>
          </cell>
          <cell r="I540">
            <v>447.82</v>
          </cell>
          <cell r="J540">
            <v>9856.85</v>
          </cell>
          <cell r="K540">
            <v>1380.87</v>
          </cell>
          <cell r="L540">
            <v>9752.81</v>
          </cell>
          <cell r="M540">
            <v>14711.58</v>
          </cell>
          <cell r="N540">
            <v>-607.33000000000004</v>
          </cell>
          <cell r="O540">
            <v>1378.45</v>
          </cell>
          <cell r="P540">
            <v>10240.9</v>
          </cell>
          <cell r="Q540">
            <v>53476.47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99.03</v>
          </cell>
          <cell r="F542">
            <v>97.9</v>
          </cell>
          <cell r="G542">
            <v>97.9</v>
          </cell>
          <cell r="H542">
            <v>97.9</v>
          </cell>
          <cell r="I542">
            <v>97.9</v>
          </cell>
          <cell r="J542">
            <v>97.9</v>
          </cell>
          <cell r="K542">
            <v>97.9</v>
          </cell>
          <cell r="L542">
            <v>80.55</v>
          </cell>
          <cell r="M542">
            <v>80.55</v>
          </cell>
          <cell r="N542">
            <v>80.55</v>
          </cell>
          <cell r="O542">
            <v>80.680000000000007</v>
          </cell>
          <cell r="P542">
            <v>80.680000000000007</v>
          </cell>
          <cell r="Q542">
            <v>1089.4399999999998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219.75</v>
          </cell>
          <cell r="G545">
            <v>56.21</v>
          </cell>
          <cell r="H545">
            <v>0</v>
          </cell>
          <cell r="I545">
            <v>0</v>
          </cell>
          <cell r="J545">
            <v>56.21</v>
          </cell>
          <cell r="K545">
            <v>0</v>
          </cell>
          <cell r="L545">
            <v>0</v>
          </cell>
          <cell r="M545">
            <v>56.21</v>
          </cell>
          <cell r="N545">
            <v>0</v>
          </cell>
          <cell r="O545">
            <v>-84.14</v>
          </cell>
          <cell r="P545">
            <v>482.7</v>
          </cell>
          <cell r="Q545">
            <v>786.93999999999994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1875</v>
          </cell>
          <cell r="F549">
            <v>1875</v>
          </cell>
          <cell r="G549">
            <v>2015.82</v>
          </cell>
          <cell r="H549">
            <v>2554.7800000000002</v>
          </cell>
          <cell r="I549">
            <v>2554.7800000000002</v>
          </cell>
          <cell r="J549">
            <v>2554.7800000000002</v>
          </cell>
          <cell r="K549">
            <v>3187.6</v>
          </cell>
          <cell r="L549">
            <v>2396.5700000000002</v>
          </cell>
          <cell r="M549">
            <v>2396.5700000000002</v>
          </cell>
          <cell r="N549">
            <v>2449.23</v>
          </cell>
          <cell r="O549">
            <v>2343.73</v>
          </cell>
          <cell r="P549">
            <v>2554.7199999999998</v>
          </cell>
          <cell r="Q549">
            <v>28758.58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24958.15</v>
          </cell>
          <cell r="F551">
            <v>2262.73</v>
          </cell>
          <cell r="G551">
            <v>16300.02</v>
          </cell>
          <cell r="H551">
            <v>2127.0700000000002</v>
          </cell>
          <cell r="I551">
            <v>33912.97</v>
          </cell>
          <cell r="J551">
            <v>1054.05</v>
          </cell>
          <cell r="K551">
            <v>22342.57</v>
          </cell>
          <cell r="L551">
            <v>2410.96</v>
          </cell>
          <cell r="M551">
            <v>22431</v>
          </cell>
          <cell r="N551">
            <v>1947.24</v>
          </cell>
          <cell r="O551">
            <v>21688.02</v>
          </cell>
          <cell r="P551">
            <v>-2059.87</v>
          </cell>
          <cell r="Q551">
            <v>149374.91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145.26</v>
          </cell>
          <cell r="G553">
            <v>231.28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1365.11</v>
          </cell>
          <cell r="O553">
            <v>-1365.11</v>
          </cell>
          <cell r="P553">
            <v>187.29</v>
          </cell>
          <cell r="Q553">
            <v>563.82999999999993</v>
          </cell>
        </row>
        <row r="554">
          <cell r="A554">
            <v>70310</v>
          </cell>
          <cell r="B554" t="str">
            <v>Bad Debt Provision</v>
          </cell>
          <cell r="E554">
            <v>59587.53</v>
          </cell>
          <cell r="F554">
            <v>-42181.27</v>
          </cell>
          <cell r="G554">
            <v>26327.15</v>
          </cell>
          <cell r="H554">
            <v>-23518.21</v>
          </cell>
          <cell r="I554">
            <v>45403.42</v>
          </cell>
          <cell r="J554">
            <v>-30919.22</v>
          </cell>
          <cell r="K554">
            <v>58231.48</v>
          </cell>
          <cell r="L554">
            <v>-42566.26</v>
          </cell>
          <cell r="M554">
            <v>51551.54</v>
          </cell>
          <cell r="N554">
            <v>-30438.81</v>
          </cell>
          <cell r="O554">
            <v>61503.66</v>
          </cell>
          <cell r="P554">
            <v>-32663.45</v>
          </cell>
          <cell r="Q554">
            <v>100317.56000000001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6202.09</v>
          </cell>
          <cell r="F556">
            <v>-976.61</v>
          </cell>
          <cell r="G556">
            <v>5260.16</v>
          </cell>
          <cell r="H556">
            <v>-803.96</v>
          </cell>
          <cell r="I556">
            <v>1871.95</v>
          </cell>
          <cell r="J556">
            <v>1067.25</v>
          </cell>
          <cell r="K556">
            <v>1589.22</v>
          </cell>
          <cell r="L556">
            <v>936.71</v>
          </cell>
          <cell r="M556">
            <v>1051.27</v>
          </cell>
          <cell r="N556">
            <v>482.15</v>
          </cell>
          <cell r="O556">
            <v>1946.37</v>
          </cell>
          <cell r="P556">
            <v>5166.42</v>
          </cell>
          <cell r="Q556">
            <v>23793.020000000004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207906.74000000002</v>
          </cell>
          <cell r="F575">
            <v>66798.010000000024</v>
          </cell>
          <cell r="G575">
            <v>161263.80000000002</v>
          </cell>
          <cell r="H575">
            <v>86311.12999999999</v>
          </cell>
          <cell r="I575">
            <v>177403</v>
          </cell>
          <cell r="J575">
            <v>90607.349999999991</v>
          </cell>
          <cell r="K575">
            <v>198820.07000000004</v>
          </cell>
          <cell r="L575">
            <v>89006.530000000013</v>
          </cell>
          <cell r="M575">
            <v>188289.78000000003</v>
          </cell>
          <cell r="N575">
            <v>72891.83</v>
          </cell>
          <cell r="O575">
            <v>194697.06000000006</v>
          </cell>
          <cell r="P575">
            <v>96799.019999999931</v>
          </cell>
          <cell r="Q575">
            <v>1630794.3199999996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55340.22</v>
          </cell>
          <cell r="F578">
            <v>54315.21</v>
          </cell>
          <cell r="G578">
            <v>54439.91</v>
          </cell>
          <cell r="H578">
            <v>55653.47</v>
          </cell>
          <cell r="I578">
            <v>54826.44</v>
          </cell>
          <cell r="J578">
            <v>55802.53</v>
          </cell>
          <cell r="K578">
            <v>55353.69</v>
          </cell>
          <cell r="L578">
            <v>57179.64</v>
          </cell>
          <cell r="M578">
            <v>55296.08</v>
          </cell>
          <cell r="N578">
            <v>55281.99</v>
          </cell>
          <cell r="O578">
            <v>54995.29</v>
          </cell>
          <cell r="P578">
            <v>55389.94</v>
          </cell>
          <cell r="Q578">
            <v>663874.41000000015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55340.22</v>
          </cell>
          <cell r="F580">
            <v>54315.21</v>
          </cell>
          <cell r="G580">
            <v>54439.91</v>
          </cell>
          <cell r="H580">
            <v>55653.47</v>
          </cell>
          <cell r="I580">
            <v>54826.44</v>
          </cell>
          <cell r="J580">
            <v>55802.53</v>
          </cell>
          <cell r="K580">
            <v>55353.69</v>
          </cell>
          <cell r="L580">
            <v>57179.64</v>
          </cell>
          <cell r="M580">
            <v>55296.08</v>
          </cell>
          <cell r="N580">
            <v>55281.99</v>
          </cell>
          <cell r="O580">
            <v>54995.29</v>
          </cell>
          <cell r="P580">
            <v>55389.94</v>
          </cell>
          <cell r="Q580">
            <v>663874.41000000015</v>
          </cell>
        </row>
        <row r="582">
          <cell r="A582" t="str">
            <v>Total SG&amp;A</v>
          </cell>
          <cell r="E582">
            <v>263246.96000000002</v>
          </cell>
          <cell r="F582">
            <v>121113.22000000003</v>
          </cell>
          <cell r="G582">
            <v>215703.71000000002</v>
          </cell>
          <cell r="H582">
            <v>141964.59999999998</v>
          </cell>
          <cell r="I582">
            <v>232229.44</v>
          </cell>
          <cell r="J582">
            <v>146409.88</v>
          </cell>
          <cell r="K582">
            <v>254173.76000000004</v>
          </cell>
          <cell r="L582">
            <v>146186.17000000001</v>
          </cell>
          <cell r="M582">
            <v>243585.86000000004</v>
          </cell>
          <cell r="N582">
            <v>128173.82</v>
          </cell>
          <cell r="O582">
            <v>249692.35000000006</v>
          </cell>
          <cell r="P582">
            <v>155426.55999999994</v>
          </cell>
          <cell r="Q582">
            <v>2297906.3299999996</v>
          </cell>
        </row>
        <row r="584">
          <cell r="A584" t="str">
            <v>EBITDA</v>
          </cell>
          <cell r="E584">
            <v>20388.780000000086</v>
          </cell>
          <cell r="F584">
            <v>275898.64999999997</v>
          </cell>
          <cell r="G584">
            <v>77705.549999999872</v>
          </cell>
          <cell r="H584">
            <v>153218.83000000007</v>
          </cell>
          <cell r="I584">
            <v>139863.27999999974</v>
          </cell>
          <cell r="J584">
            <v>204338.71000000008</v>
          </cell>
          <cell r="K584">
            <v>93342.360000000015</v>
          </cell>
          <cell r="L584">
            <v>241833.84</v>
          </cell>
          <cell r="M584">
            <v>134242.65999999997</v>
          </cell>
          <cell r="N584">
            <v>254051.7099999999</v>
          </cell>
          <cell r="O584">
            <v>61738.860000000132</v>
          </cell>
          <cell r="P584">
            <v>151328.35999999987</v>
          </cell>
          <cell r="Q584">
            <v>1807951.5899999957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49490.6</v>
          </cell>
          <cell r="F588">
            <v>49625.87</v>
          </cell>
          <cell r="G588">
            <v>49625.95</v>
          </cell>
          <cell r="H588">
            <v>49620.11</v>
          </cell>
          <cell r="I588">
            <v>49620.2</v>
          </cell>
          <cell r="J588">
            <v>48737.05</v>
          </cell>
          <cell r="K588">
            <v>48736.639999999999</v>
          </cell>
          <cell r="L588">
            <v>47681.86</v>
          </cell>
          <cell r="M588">
            <v>47682.18</v>
          </cell>
          <cell r="N588">
            <v>47681.87</v>
          </cell>
          <cell r="O588">
            <v>47328.05</v>
          </cell>
          <cell r="P588">
            <v>47849.53</v>
          </cell>
          <cell r="Q588">
            <v>583679.91</v>
          </cell>
        </row>
        <row r="589">
          <cell r="A589">
            <v>54260</v>
          </cell>
          <cell r="B589" t="str">
            <v>Depreciation</v>
          </cell>
          <cell r="E589">
            <v>11933.53</v>
          </cell>
          <cell r="F589">
            <v>11933.51</v>
          </cell>
          <cell r="G589">
            <v>11933.4</v>
          </cell>
          <cell r="H589">
            <v>11933.26</v>
          </cell>
          <cell r="I589">
            <v>11933.49</v>
          </cell>
          <cell r="J589">
            <v>11933.83</v>
          </cell>
          <cell r="K589">
            <v>11932.86</v>
          </cell>
          <cell r="L589">
            <v>11933.32</v>
          </cell>
          <cell r="M589">
            <v>11933.62</v>
          </cell>
          <cell r="N589">
            <v>11933.41</v>
          </cell>
          <cell r="O589">
            <v>11933.19</v>
          </cell>
          <cell r="P589">
            <v>11933.37</v>
          </cell>
          <cell r="Q589">
            <v>143200.79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2414.64</v>
          </cell>
          <cell r="F591">
            <v>2414.6799999999998</v>
          </cell>
          <cell r="G591">
            <v>2414.64</v>
          </cell>
          <cell r="H591">
            <v>2441.84</v>
          </cell>
          <cell r="I591">
            <v>2441.87</v>
          </cell>
          <cell r="J591">
            <v>2441.86</v>
          </cell>
          <cell r="K591">
            <v>2441.83</v>
          </cell>
          <cell r="L591">
            <v>2503.59</v>
          </cell>
          <cell r="M591">
            <v>2503.59</v>
          </cell>
          <cell r="N591">
            <v>3307.76</v>
          </cell>
          <cell r="O591">
            <v>3318.13</v>
          </cell>
          <cell r="P591">
            <v>3312.93</v>
          </cell>
          <cell r="Q591">
            <v>31957.360000000004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1532.42</v>
          </cell>
          <cell r="F594">
            <v>1532.4</v>
          </cell>
          <cell r="G594">
            <v>1532.42</v>
          </cell>
          <cell r="H594">
            <v>1459.5</v>
          </cell>
          <cell r="I594">
            <v>1459.49</v>
          </cell>
          <cell r="J594">
            <v>1422.66</v>
          </cell>
          <cell r="K594">
            <v>1422.61</v>
          </cell>
          <cell r="L594">
            <v>1422.6</v>
          </cell>
          <cell r="M594">
            <v>1422.64</v>
          </cell>
          <cell r="N594">
            <v>1422.61</v>
          </cell>
          <cell r="O594">
            <v>1422.62</v>
          </cell>
          <cell r="P594">
            <v>1595.38</v>
          </cell>
          <cell r="Q594">
            <v>17647.350000000002</v>
          </cell>
        </row>
        <row r="595">
          <cell r="A595" t="str">
            <v>Total Depreciation</v>
          </cell>
          <cell r="E595">
            <v>65371.189999999995</v>
          </cell>
          <cell r="F595">
            <v>65506.460000000006</v>
          </cell>
          <cell r="G595">
            <v>65506.409999999996</v>
          </cell>
          <cell r="H595">
            <v>65454.710000000006</v>
          </cell>
          <cell r="I595">
            <v>65455.049999999996</v>
          </cell>
          <cell r="J595">
            <v>64535.400000000009</v>
          </cell>
          <cell r="K595">
            <v>64533.94</v>
          </cell>
          <cell r="L595">
            <v>63541.37</v>
          </cell>
          <cell r="M595">
            <v>63542.03</v>
          </cell>
          <cell r="N595">
            <v>64345.65</v>
          </cell>
          <cell r="O595">
            <v>64001.990000000005</v>
          </cell>
          <cell r="P595">
            <v>64691.21</v>
          </cell>
          <cell r="Q595">
            <v>776485.41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</row>
        <row r="611">
          <cell r="A611" t="str">
            <v>Total DDA</v>
          </cell>
          <cell r="E611">
            <v>65371.189999999995</v>
          </cell>
          <cell r="F611">
            <v>65506.460000000006</v>
          </cell>
          <cell r="G611">
            <v>65506.409999999996</v>
          </cell>
          <cell r="H611">
            <v>65454.710000000006</v>
          </cell>
          <cell r="I611">
            <v>65455.049999999996</v>
          </cell>
          <cell r="J611">
            <v>64535.400000000009</v>
          </cell>
          <cell r="K611">
            <v>64533.94</v>
          </cell>
          <cell r="L611">
            <v>63541.37</v>
          </cell>
          <cell r="M611">
            <v>63542.03</v>
          </cell>
          <cell r="N611">
            <v>64345.65</v>
          </cell>
          <cell r="O611">
            <v>64001.990000000005</v>
          </cell>
          <cell r="P611">
            <v>64691.21</v>
          </cell>
          <cell r="Q611">
            <v>776485.41</v>
          </cell>
        </row>
        <row r="613">
          <cell r="A613" t="str">
            <v>EBIT</v>
          </cell>
          <cell r="E613">
            <v>-44982.409999999909</v>
          </cell>
          <cell r="F613">
            <v>210392.18999999994</v>
          </cell>
          <cell r="G613">
            <v>12199.139999999876</v>
          </cell>
          <cell r="H613">
            <v>87764.120000000068</v>
          </cell>
          <cell r="I613">
            <v>74408.229999999749</v>
          </cell>
          <cell r="J613">
            <v>139803.31000000006</v>
          </cell>
          <cell r="K613">
            <v>28808.420000000013</v>
          </cell>
          <cell r="L613">
            <v>178292.47</v>
          </cell>
          <cell r="M613">
            <v>70700.629999999976</v>
          </cell>
          <cell r="N613">
            <v>189706.05999999991</v>
          </cell>
          <cell r="O613">
            <v>-2263.1299999998737</v>
          </cell>
          <cell r="P613">
            <v>86637.149999999878</v>
          </cell>
          <cell r="Q613">
            <v>1031466.1799999956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-44982.409999999909</v>
          </cell>
          <cell r="F633">
            <v>210392.18999999994</v>
          </cell>
          <cell r="G633">
            <v>12199.139999999876</v>
          </cell>
          <cell r="H633">
            <v>87764.120000000068</v>
          </cell>
          <cell r="I633">
            <v>74408.229999999749</v>
          </cell>
          <cell r="J633">
            <v>139803.31000000006</v>
          </cell>
          <cell r="K633">
            <v>28808.420000000013</v>
          </cell>
          <cell r="L633">
            <v>178292.47</v>
          </cell>
          <cell r="M633">
            <v>70700.629999999976</v>
          </cell>
          <cell r="N633">
            <v>189706.05999999991</v>
          </cell>
          <cell r="O633">
            <v>-2263.1299999998737</v>
          </cell>
          <cell r="P633">
            <v>86637.149999999878</v>
          </cell>
          <cell r="Q633">
            <v>1031466.1799999956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-44982.409999999909</v>
          </cell>
          <cell r="F639">
            <v>210392.18999999994</v>
          </cell>
          <cell r="G639">
            <v>12199.139999999876</v>
          </cell>
          <cell r="H639">
            <v>87764.120000000068</v>
          </cell>
          <cell r="I639">
            <v>74408.229999999749</v>
          </cell>
          <cell r="J639">
            <v>139803.31000000006</v>
          </cell>
          <cell r="K639">
            <v>28808.420000000013</v>
          </cell>
          <cell r="L639">
            <v>178292.47</v>
          </cell>
          <cell r="M639">
            <v>70700.629999999976</v>
          </cell>
          <cell r="N639">
            <v>189706.05999999991</v>
          </cell>
          <cell r="O639">
            <v>-2263.1299999998737</v>
          </cell>
          <cell r="P639">
            <v>86637.149999999878</v>
          </cell>
          <cell r="Q639">
            <v>1031466.1799999956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-44982.409999999909</v>
          </cell>
          <cell r="F646">
            <v>210392.18999999994</v>
          </cell>
          <cell r="G646">
            <v>12199.139999999876</v>
          </cell>
          <cell r="H646">
            <v>87764.120000000068</v>
          </cell>
          <cell r="I646">
            <v>74408.229999999749</v>
          </cell>
          <cell r="J646">
            <v>139803.31000000006</v>
          </cell>
          <cell r="K646">
            <v>28808.420000000013</v>
          </cell>
          <cell r="L646">
            <v>178292.47</v>
          </cell>
          <cell r="M646">
            <v>70700.629999999976</v>
          </cell>
          <cell r="N646">
            <v>189706.05999999991</v>
          </cell>
          <cell r="O646">
            <v>-2263.1299999998737</v>
          </cell>
          <cell r="P646">
            <v>86637.149999999878</v>
          </cell>
          <cell r="Q646">
            <v>1031466.1799999956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-44982.409999999909</v>
          </cell>
          <cell r="F652">
            <v>210392.18999999994</v>
          </cell>
          <cell r="G652">
            <v>12199.139999999876</v>
          </cell>
          <cell r="H652">
            <v>87764.120000000068</v>
          </cell>
          <cell r="I652">
            <v>74408.229999999749</v>
          </cell>
          <cell r="J652">
            <v>139803.31000000006</v>
          </cell>
          <cell r="K652">
            <v>28808.420000000013</v>
          </cell>
          <cell r="L652">
            <v>178292.47</v>
          </cell>
          <cell r="M652">
            <v>70700.629999999976</v>
          </cell>
          <cell r="N652">
            <v>189706.05999999991</v>
          </cell>
          <cell r="O652">
            <v>-2263.1299999998737</v>
          </cell>
          <cell r="P652">
            <v>86637.149999999878</v>
          </cell>
          <cell r="Q652">
            <v>1031466.1799999956</v>
          </cell>
        </row>
        <row r="654">
          <cell r="A654" t="str">
            <v>Net Income Attributable to Waste Connections per categories</v>
          </cell>
          <cell r="E654">
            <v>-44982.41</v>
          </cell>
          <cell r="F654">
            <v>210392.19</v>
          </cell>
          <cell r="G654">
            <v>12199.14</v>
          </cell>
          <cell r="H654">
            <v>87764.12</v>
          </cell>
          <cell r="I654">
            <v>74408.23</v>
          </cell>
          <cell r="J654">
            <v>139803.31</v>
          </cell>
          <cell r="K654">
            <v>28808.42</v>
          </cell>
          <cell r="L654">
            <v>178292.47</v>
          </cell>
          <cell r="M654">
            <v>70700.63</v>
          </cell>
          <cell r="N654">
            <v>189706.06</v>
          </cell>
          <cell r="O654">
            <v>-2263.13</v>
          </cell>
          <cell r="P654">
            <v>86637.15</v>
          </cell>
        </row>
      </sheetData>
      <sheetData sheetId="5" refreshError="1">
        <row r="12">
          <cell r="A12" t="str">
            <v>Revenue</v>
          </cell>
        </row>
        <row r="13">
          <cell r="A13" t="str">
            <v>Hauling</v>
          </cell>
        </row>
        <row r="14">
          <cell r="A14">
            <v>31000</v>
          </cell>
          <cell r="B14" t="str">
            <v>Hauling Revenue - Roll Off Permanent</v>
          </cell>
          <cell r="E14">
            <v>102444.08</v>
          </cell>
          <cell r="F14">
            <v>106574.9</v>
          </cell>
          <cell r="G14">
            <v>117486.29</v>
          </cell>
          <cell r="H14">
            <v>113663.22</v>
          </cell>
          <cell r="I14">
            <v>107537.52</v>
          </cell>
          <cell r="J14">
            <v>118709.91</v>
          </cell>
          <cell r="K14">
            <v>120424.95</v>
          </cell>
          <cell r="L14">
            <v>126593.49</v>
          </cell>
          <cell r="M14">
            <v>117849.49</v>
          </cell>
          <cell r="N14">
            <v>117031.26</v>
          </cell>
          <cell r="O14">
            <v>112018.5</v>
          </cell>
          <cell r="P14">
            <v>117369.28</v>
          </cell>
          <cell r="Q14">
            <v>1377702.89</v>
          </cell>
        </row>
        <row r="15">
          <cell r="A15">
            <v>31001</v>
          </cell>
          <cell r="B15" t="str">
            <v>Hauling Revenue - Roll Off Temporary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>
            <v>31002</v>
          </cell>
          <cell r="B16" t="str">
            <v>Hauling Revenue - Roll Off Rental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31003</v>
          </cell>
          <cell r="B17" t="str">
            <v>Hauling Revenue - Roll Off Compactor Ren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31004</v>
          </cell>
          <cell r="B18" t="str">
            <v>Hauling Revenue - Roll Off Recycling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31005</v>
          </cell>
          <cell r="B19" t="str">
            <v>Corporate Roll Off Disposal Charge</v>
          </cell>
          <cell r="E19">
            <v>210983.37</v>
          </cell>
          <cell r="F19">
            <v>189715.35</v>
          </cell>
          <cell r="G19">
            <v>221645.6</v>
          </cell>
          <cell r="H19">
            <v>218362.54</v>
          </cell>
          <cell r="I19">
            <v>210236.77</v>
          </cell>
          <cell r="J19">
            <v>240624.92</v>
          </cell>
          <cell r="K19">
            <v>227991.29</v>
          </cell>
          <cell r="L19">
            <v>234898.35</v>
          </cell>
          <cell r="M19">
            <v>229778.1</v>
          </cell>
          <cell r="N19">
            <v>229912.49</v>
          </cell>
          <cell r="O19">
            <v>225521.76</v>
          </cell>
          <cell r="P19">
            <v>242379.21</v>
          </cell>
          <cell r="Q19">
            <v>2682049.75</v>
          </cell>
        </row>
        <row r="20">
          <cell r="A20">
            <v>31008</v>
          </cell>
          <cell r="B20" t="str">
            <v>Hauling Revenue - Roll Off Adjustments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A21">
            <v>31009</v>
          </cell>
          <cell r="B21" t="str">
            <v>Hauling Revenue - Roll Off Intercompany</v>
          </cell>
          <cell r="E21">
            <v>2048.52</v>
          </cell>
          <cell r="F21">
            <v>2727.36</v>
          </cell>
          <cell r="G21">
            <v>2727.36</v>
          </cell>
          <cell r="H21">
            <v>3409.2</v>
          </cell>
          <cell r="I21">
            <v>2727.36</v>
          </cell>
          <cell r="J21">
            <v>2727.36</v>
          </cell>
          <cell r="K21">
            <v>5009.2</v>
          </cell>
          <cell r="L21">
            <v>3527.36</v>
          </cell>
          <cell r="M21">
            <v>3327.36</v>
          </cell>
          <cell r="N21">
            <v>3409.2</v>
          </cell>
          <cell r="O21">
            <v>2727.36</v>
          </cell>
          <cell r="P21">
            <v>3409.2</v>
          </cell>
          <cell r="Q21">
            <v>37776.839999999997</v>
          </cell>
        </row>
        <row r="22">
          <cell r="A22">
            <v>31010</v>
          </cell>
          <cell r="B22" t="str">
            <v>Hauling Revenue - Roll Off Extras</v>
          </cell>
          <cell r="E22">
            <v>27177.39</v>
          </cell>
          <cell r="F22">
            <v>26583.03</v>
          </cell>
          <cell r="G22">
            <v>26586.07</v>
          </cell>
          <cell r="H22">
            <v>27681.49</v>
          </cell>
          <cell r="I22">
            <v>28895.1</v>
          </cell>
          <cell r="J22">
            <v>30218.400000000001</v>
          </cell>
          <cell r="K22">
            <v>29088.41</v>
          </cell>
          <cell r="L22">
            <v>30882.48</v>
          </cell>
          <cell r="M22">
            <v>30023.54</v>
          </cell>
          <cell r="N22">
            <v>28675.83</v>
          </cell>
          <cell r="O22">
            <v>27741.67</v>
          </cell>
          <cell r="P22">
            <v>26907</v>
          </cell>
          <cell r="Q22">
            <v>340460.41</v>
          </cell>
        </row>
        <row r="23">
          <cell r="A23">
            <v>31020</v>
          </cell>
          <cell r="B23" t="str">
            <v>Hauling Revenue - Roll Off Special Waste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31021</v>
          </cell>
          <cell r="B24" t="str">
            <v>Hauling Revenue - Roll Off Special Waste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31029</v>
          </cell>
          <cell r="B25" t="str">
            <v>Hauling Revenue - Roll Off Special Waste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32000</v>
          </cell>
          <cell r="B26" t="str">
            <v>Hauling Revenue - Residential MSW</v>
          </cell>
          <cell r="E26">
            <v>1215495.77</v>
          </cell>
          <cell r="F26">
            <v>1200770.8</v>
          </cell>
          <cell r="G26">
            <v>1215802.44</v>
          </cell>
          <cell r="H26">
            <v>1220176.8500000001</v>
          </cell>
          <cell r="I26">
            <v>1224050.48</v>
          </cell>
          <cell r="J26">
            <v>1230237.8799999999</v>
          </cell>
          <cell r="K26">
            <v>1235768.5</v>
          </cell>
          <cell r="L26">
            <v>1230565.3500000001</v>
          </cell>
          <cell r="M26">
            <v>1233092.93</v>
          </cell>
          <cell r="N26">
            <v>1227440.83</v>
          </cell>
          <cell r="O26">
            <v>1230545.96</v>
          </cell>
          <cell r="P26">
            <v>1228126.99</v>
          </cell>
          <cell r="Q26">
            <v>14692074.779999999</v>
          </cell>
        </row>
        <row r="27">
          <cell r="A27">
            <v>32001</v>
          </cell>
          <cell r="B27" t="str">
            <v>Hauling Revenue - Residential MSW Extras</v>
          </cell>
          <cell r="E27">
            <v>29897.43</v>
          </cell>
          <cell r="F27">
            <v>23606.09</v>
          </cell>
          <cell r="G27">
            <v>37252.050000000003</v>
          </cell>
          <cell r="H27">
            <v>36299.58</v>
          </cell>
          <cell r="I27">
            <v>42698.61</v>
          </cell>
          <cell r="J27">
            <v>50366.1</v>
          </cell>
          <cell r="K27">
            <v>50649.79</v>
          </cell>
          <cell r="L27">
            <v>43300.24</v>
          </cell>
          <cell r="M27">
            <v>44830.46</v>
          </cell>
          <cell r="N27">
            <v>36083.339999999997</v>
          </cell>
          <cell r="O27">
            <v>44102.97</v>
          </cell>
          <cell r="P27">
            <v>42927.11</v>
          </cell>
          <cell r="Q27">
            <v>482013.77</v>
          </cell>
        </row>
        <row r="28">
          <cell r="A28">
            <v>32002</v>
          </cell>
          <cell r="B28" t="str">
            <v>Hauling Revenue - Residential MSW Adjust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32003</v>
          </cell>
          <cell r="B29" t="str">
            <v>Hauling Revenue - Residential MSW Specia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A30">
            <v>32009</v>
          </cell>
          <cell r="B30" t="str">
            <v>Hauling Revenue - Residential MSW Interc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A31">
            <v>32100</v>
          </cell>
          <cell r="B31" t="str">
            <v>Hauling Revenue - Residential Recycling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32101</v>
          </cell>
          <cell r="B32" t="str">
            <v>Hauling Revenue - Residential Recycling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A33">
            <v>32102</v>
          </cell>
          <cell r="B33" t="str">
            <v>Hauling Revenue - Residential Recycling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32103</v>
          </cell>
          <cell r="B34" t="str">
            <v>Hauling Revenue - Residential Recycling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32109</v>
          </cell>
          <cell r="B35" t="str">
            <v>Hauling Revenue - Residential Recycling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32110</v>
          </cell>
          <cell r="B36" t="str">
            <v>Hauling Revenue - Residential Composting</v>
          </cell>
          <cell r="E36">
            <v>232014.97</v>
          </cell>
          <cell r="F36">
            <v>232365.45</v>
          </cell>
          <cell r="G36">
            <v>257766.36</v>
          </cell>
          <cell r="H36">
            <v>270150.08</v>
          </cell>
          <cell r="I36">
            <v>281923.53999999998</v>
          </cell>
          <cell r="J36">
            <v>287780.03999999998</v>
          </cell>
          <cell r="K36">
            <v>291816.17</v>
          </cell>
          <cell r="L36">
            <v>292493.43</v>
          </cell>
          <cell r="M36">
            <v>290035.87</v>
          </cell>
          <cell r="N36">
            <v>289167.18</v>
          </cell>
          <cell r="O36">
            <v>283845.96999999997</v>
          </cell>
          <cell r="P36">
            <v>275560.67</v>
          </cell>
          <cell r="Q36">
            <v>3284919.7300000004</v>
          </cell>
        </row>
        <row r="37">
          <cell r="A37">
            <v>32111</v>
          </cell>
          <cell r="B37" t="str">
            <v>Hauling Revenue - Residential Composting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A38">
            <v>32112</v>
          </cell>
          <cell r="B38" t="str">
            <v>Hauling Revenue - Residential Composting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A39">
            <v>32113</v>
          </cell>
          <cell r="B39" t="str">
            <v>Hauling Revenue - Residential Composting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32119</v>
          </cell>
          <cell r="B40" t="str">
            <v>Hauling Revenue - Residential Composting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33000</v>
          </cell>
          <cell r="B41" t="str">
            <v>Hauling Revenue - Commercial FEL</v>
          </cell>
          <cell r="E41">
            <v>785575.03</v>
          </cell>
          <cell r="F41">
            <v>787034.21</v>
          </cell>
          <cell r="G41">
            <v>790933.58</v>
          </cell>
          <cell r="H41">
            <v>778610.72</v>
          </cell>
          <cell r="I41">
            <v>780041.46</v>
          </cell>
          <cell r="J41">
            <v>778320.61</v>
          </cell>
          <cell r="K41">
            <v>768305.23</v>
          </cell>
          <cell r="L41">
            <v>774319.69</v>
          </cell>
          <cell r="M41">
            <v>801901.87</v>
          </cell>
          <cell r="N41">
            <v>774557.42</v>
          </cell>
          <cell r="O41">
            <v>791933.57</v>
          </cell>
          <cell r="P41">
            <v>766346.74</v>
          </cell>
          <cell r="Q41">
            <v>9377880.129999999</v>
          </cell>
        </row>
        <row r="42">
          <cell r="A42">
            <v>33001</v>
          </cell>
          <cell r="B42" t="str">
            <v>Hauling Revenue - Commercial FEL Extras</v>
          </cell>
          <cell r="E42">
            <v>39516.839999999997</v>
          </cell>
          <cell r="F42">
            <v>40932.36</v>
          </cell>
          <cell r="G42">
            <v>42606.080000000002</v>
          </cell>
          <cell r="H42">
            <v>42197.16</v>
          </cell>
          <cell r="I42">
            <v>43036.11</v>
          </cell>
          <cell r="J42">
            <v>44513.7</v>
          </cell>
          <cell r="K42">
            <v>47317.760000000002</v>
          </cell>
          <cell r="L42">
            <v>46590.51</v>
          </cell>
          <cell r="M42">
            <v>43401.91</v>
          </cell>
          <cell r="N42">
            <v>44637.59</v>
          </cell>
          <cell r="O42">
            <v>43797.96</v>
          </cell>
          <cell r="P42">
            <v>45382.02</v>
          </cell>
          <cell r="Q42">
            <v>523930.00000000006</v>
          </cell>
        </row>
        <row r="43">
          <cell r="A43">
            <v>33002</v>
          </cell>
          <cell r="B43" t="str">
            <v>Hauling Revenue - Commercial FEL Adjustm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33009</v>
          </cell>
          <cell r="B44" t="str">
            <v>Hauling Revenue - Commercial FEL Interco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33010</v>
          </cell>
          <cell r="B45" t="str">
            <v>Hauling Revenue - Commercial REL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33011</v>
          </cell>
          <cell r="B46" t="str">
            <v>Hauling Revenue - Commercial REL Extras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33012</v>
          </cell>
          <cell r="B47" t="str">
            <v>Hauling Revenue - Commercial REL Adjustm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33019</v>
          </cell>
          <cell r="B48" t="str">
            <v>Hauling Revenue - Commercial REL Interco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33020</v>
          </cell>
          <cell r="B49" t="str">
            <v>Hauling Revenue - Commercial Recycling F</v>
          </cell>
          <cell r="E49">
            <v>119520.55</v>
          </cell>
          <cell r="F49">
            <v>122687.61</v>
          </cell>
          <cell r="G49">
            <v>123043.3</v>
          </cell>
          <cell r="H49">
            <v>123772.17</v>
          </cell>
          <cell r="I49">
            <v>125625.36</v>
          </cell>
          <cell r="J49">
            <v>127061.96</v>
          </cell>
          <cell r="K49">
            <v>116074.3</v>
          </cell>
          <cell r="L49">
            <v>111337.44</v>
          </cell>
          <cell r="M49">
            <v>128400.61</v>
          </cell>
          <cell r="N49">
            <v>133541.20000000001</v>
          </cell>
          <cell r="O49">
            <v>129324.87</v>
          </cell>
          <cell r="P49">
            <v>130696.08</v>
          </cell>
          <cell r="Q49">
            <v>1491085.4500000002</v>
          </cell>
        </row>
        <row r="50">
          <cell r="A50">
            <v>33021</v>
          </cell>
          <cell r="B50" t="str">
            <v>Hauling Revenue - Commercial Recycling F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33022</v>
          </cell>
          <cell r="B51" t="str">
            <v>Hauling Revenue - Commercial Recycling F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33029</v>
          </cell>
          <cell r="B52" t="str">
            <v>Hauling Revenue - Commercial Recycling F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33030</v>
          </cell>
          <cell r="B53" t="str">
            <v>Hauling Revenue - Commercial Recycling R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A54">
            <v>33031</v>
          </cell>
          <cell r="B54" t="str">
            <v>Hauling Revenue - Commercial Recycling R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A55">
            <v>33032</v>
          </cell>
          <cell r="B55" t="str">
            <v>Hauling Revenue - Commercial Recycling R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A56">
            <v>33039</v>
          </cell>
          <cell r="B56" t="str">
            <v>Hauling Revenue - Commercial Recycling 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A57">
            <v>33500</v>
          </cell>
          <cell r="B57" t="str">
            <v>Portable Toilet Revenue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A58">
            <v>33501</v>
          </cell>
          <cell r="B58" t="str">
            <v>Portable Toilet Extras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A59">
            <v>33502</v>
          </cell>
          <cell r="B59" t="str">
            <v>Portable Toilet Adjustments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A60">
            <v>33509</v>
          </cell>
          <cell r="B60" t="str">
            <v>Portable Toilet Intercompany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A61" t="str">
            <v>Total Hauling</v>
          </cell>
          <cell r="E61">
            <v>2764673.9499999997</v>
          </cell>
          <cell r="F61">
            <v>2732997.1599999997</v>
          </cell>
          <cell r="G61">
            <v>2835849.13</v>
          </cell>
          <cell r="H61">
            <v>2834323.0100000002</v>
          </cell>
          <cell r="I61">
            <v>2846772.3099999996</v>
          </cell>
          <cell r="J61">
            <v>2910560.8800000004</v>
          </cell>
          <cell r="K61">
            <v>2892445.5999999996</v>
          </cell>
          <cell r="L61">
            <v>2894508.3399999994</v>
          </cell>
          <cell r="M61">
            <v>2922642.14</v>
          </cell>
          <cell r="N61">
            <v>2884456.3400000003</v>
          </cell>
          <cell r="O61">
            <v>2891560.59</v>
          </cell>
          <cell r="P61">
            <v>2879104.3000000003</v>
          </cell>
          <cell r="Q61">
            <v>34289893.75</v>
          </cell>
        </row>
        <row r="63">
          <cell r="A63" t="str">
            <v>Transfer</v>
          </cell>
        </row>
        <row r="64">
          <cell r="A64">
            <v>35000</v>
          </cell>
          <cell r="B64" t="str">
            <v>Transfer Station - Third Party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35001</v>
          </cell>
          <cell r="B65" t="str">
            <v>Transfer Station - Third Party Adjustmen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35009</v>
          </cell>
          <cell r="B66" t="str">
            <v>Transfer Station - Intercompany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35500</v>
          </cell>
          <cell r="B67" t="str">
            <v>MRF Processing Charge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35501</v>
          </cell>
          <cell r="B68" t="str">
            <v>MRF Processing Charge Adjustments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35509</v>
          </cell>
          <cell r="B69" t="str">
            <v>MRF Processing Charge Intercompany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 t="str">
            <v>Total Transfer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2">
          <cell r="A72" t="str">
            <v>MRF</v>
          </cell>
        </row>
        <row r="73">
          <cell r="A73">
            <v>35510</v>
          </cell>
          <cell r="B73" t="str">
            <v>Proceeds - OCC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A74">
            <v>35511</v>
          </cell>
          <cell r="B74" t="str">
            <v>Proceeds - ONP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35512</v>
          </cell>
          <cell r="B75" t="str">
            <v>Proceeds - Other Paper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35513</v>
          </cell>
          <cell r="B76" t="str">
            <v>Proceeds - Aluminum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35514</v>
          </cell>
          <cell r="B77" t="str">
            <v>Proceeds - Metal</v>
          </cell>
          <cell r="E77">
            <v>745.55</v>
          </cell>
          <cell r="F77">
            <v>533.20000000000005</v>
          </cell>
          <cell r="G77">
            <v>3342.9</v>
          </cell>
          <cell r="H77">
            <v>13178.15</v>
          </cell>
          <cell r="I77">
            <v>5247</v>
          </cell>
          <cell r="J77">
            <v>16966.05</v>
          </cell>
          <cell r="K77">
            <v>7984.5</v>
          </cell>
          <cell r="L77">
            <v>1463.55</v>
          </cell>
          <cell r="M77">
            <v>-1454.1</v>
          </cell>
          <cell r="N77">
            <v>1425.6</v>
          </cell>
          <cell r="O77">
            <v>1051.75</v>
          </cell>
          <cell r="P77">
            <v>1088</v>
          </cell>
          <cell r="Q77">
            <v>51572.15</v>
          </cell>
        </row>
        <row r="78">
          <cell r="A78">
            <v>35515</v>
          </cell>
          <cell r="B78" t="str">
            <v>Proceeds - Glass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35516</v>
          </cell>
          <cell r="B79" t="str">
            <v>Proceeds - Plastic</v>
          </cell>
          <cell r="E79">
            <v>387</v>
          </cell>
          <cell r="F79">
            <v>318.60000000000002</v>
          </cell>
          <cell r="G79">
            <v>0</v>
          </cell>
          <cell r="H79">
            <v>331.2</v>
          </cell>
          <cell r="I79">
            <v>0</v>
          </cell>
          <cell r="J79">
            <v>412.2</v>
          </cell>
          <cell r="K79">
            <v>644.4</v>
          </cell>
          <cell r="L79">
            <v>0</v>
          </cell>
          <cell r="M79">
            <v>0</v>
          </cell>
          <cell r="N79">
            <v>-644.4</v>
          </cell>
          <cell r="O79">
            <v>652</v>
          </cell>
          <cell r="P79">
            <v>0</v>
          </cell>
          <cell r="Q79">
            <v>2101</v>
          </cell>
        </row>
        <row r="80">
          <cell r="A80">
            <v>35517</v>
          </cell>
          <cell r="B80" t="str">
            <v>Proceeds - Other Recyclables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A81">
            <v>35518</v>
          </cell>
          <cell r="B81" t="str">
            <v>Proceeds - Commingled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35519</v>
          </cell>
          <cell r="B82" t="str">
            <v>Proceeds - Intercompany Material Sales</v>
          </cell>
          <cell r="E82">
            <v>65030.879999999997</v>
          </cell>
          <cell r="F82">
            <v>76173.81</v>
          </cell>
          <cell r="G82">
            <v>70361.429999999993</v>
          </cell>
          <cell r="H82">
            <v>74831.539999999994</v>
          </cell>
          <cell r="I82">
            <v>73578.62</v>
          </cell>
          <cell r="J82">
            <v>75531.38</v>
          </cell>
          <cell r="K82">
            <v>73771.45</v>
          </cell>
          <cell r="L82">
            <v>57407.56</v>
          </cell>
          <cell r="M82">
            <v>68624.86</v>
          </cell>
          <cell r="N82">
            <v>71603.88</v>
          </cell>
          <cell r="O82">
            <v>84200.36</v>
          </cell>
          <cell r="P82">
            <v>95665.68</v>
          </cell>
          <cell r="Q82">
            <v>886781.45</v>
          </cell>
        </row>
        <row r="83">
          <cell r="A83">
            <v>35520</v>
          </cell>
          <cell r="B83" t="str">
            <v>Support - OCC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A84">
            <v>35521</v>
          </cell>
          <cell r="B84" t="str">
            <v>Support - ONP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A85">
            <v>35522</v>
          </cell>
          <cell r="B85" t="str">
            <v>Support - Other Paper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A86">
            <v>35523</v>
          </cell>
          <cell r="B86" t="str">
            <v>Support - Aluminum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A87">
            <v>35524</v>
          </cell>
          <cell r="B87" t="str">
            <v>Support - Metal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35525</v>
          </cell>
          <cell r="B88" t="str">
            <v>Support - Glass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A89">
            <v>35526</v>
          </cell>
          <cell r="B89" t="str">
            <v>Support - Plastic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A90">
            <v>35527</v>
          </cell>
          <cell r="B90" t="str">
            <v>Support - Other Recyclables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35529</v>
          </cell>
          <cell r="B91" t="str">
            <v>Support - Intercompany Material Sales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35551</v>
          </cell>
          <cell r="B92" t="str">
            <v>Proceeds - Compost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35552</v>
          </cell>
          <cell r="B93" t="str">
            <v>Proceeds - Fuel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35553</v>
          </cell>
          <cell r="B94" t="str">
            <v>Proceeds - Landscape Materials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A95" t="str">
            <v>Total MRF</v>
          </cell>
          <cell r="E95">
            <v>66163.429999999993</v>
          </cell>
          <cell r="F95">
            <v>77025.61</v>
          </cell>
          <cell r="G95">
            <v>73704.329999999987</v>
          </cell>
          <cell r="H95">
            <v>88340.89</v>
          </cell>
          <cell r="I95">
            <v>78825.62</v>
          </cell>
          <cell r="J95">
            <v>92909.63</v>
          </cell>
          <cell r="K95">
            <v>82400.349999999991</v>
          </cell>
          <cell r="L95">
            <v>58871.11</v>
          </cell>
          <cell r="M95">
            <v>67170.759999999995</v>
          </cell>
          <cell r="N95">
            <v>72385.08</v>
          </cell>
          <cell r="O95">
            <v>85904.11</v>
          </cell>
          <cell r="P95">
            <v>96753.68</v>
          </cell>
          <cell r="Q95">
            <v>940454.6</v>
          </cell>
        </row>
        <row r="97">
          <cell r="A97" t="str">
            <v>Landfill</v>
          </cell>
        </row>
        <row r="98">
          <cell r="A98">
            <v>36000</v>
          </cell>
          <cell r="B98" t="str">
            <v>Landfill Revenue - MSW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A99">
            <v>36001</v>
          </cell>
          <cell r="B99" t="str">
            <v>Landfill Revenue - MSW Adjustments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A100">
            <v>36002</v>
          </cell>
          <cell r="B100" t="str">
            <v>Landfill Revenue - Extras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36009</v>
          </cell>
          <cell r="B101" t="str">
            <v>Landfill Revenue - MSW Intercompany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36010</v>
          </cell>
          <cell r="B102" t="str">
            <v>Landfill Revenue - C&amp;D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36011</v>
          </cell>
          <cell r="B103" t="str">
            <v>Landfill Revenue - C&amp;D Adjustments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A104">
            <v>36019</v>
          </cell>
          <cell r="B104" t="str">
            <v>Landfill Revenue - C&amp;D Intercompany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A105">
            <v>36020</v>
          </cell>
          <cell r="B105" t="str">
            <v>Landfill Revenue - Special Waste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A106">
            <v>36021</v>
          </cell>
          <cell r="B106" t="str">
            <v>Landfill Revenue - Special Waste Adjustm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A107">
            <v>36029</v>
          </cell>
          <cell r="B107" t="str">
            <v>Landfill Revenue - Special Waste Interco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A108">
            <v>36030</v>
          </cell>
          <cell r="B108" t="str">
            <v>Landfill Revenue - Asbestos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A109">
            <v>36031</v>
          </cell>
          <cell r="B109" t="str">
            <v>Landfill Revenue - Asbestos Adjustments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36039</v>
          </cell>
          <cell r="B110" t="str">
            <v>Landfill Revenue - Asbestos Intercompany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A111">
            <v>36040</v>
          </cell>
          <cell r="B111" t="str">
            <v>Landfill Revenue - Contaminated Soil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36041</v>
          </cell>
          <cell r="B112" t="str">
            <v>Landfill Revenue - Contaminated Soil Adj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A113">
            <v>36049</v>
          </cell>
          <cell r="B113" t="str">
            <v>Landfill Revenue - Contaminated Soil Int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36050</v>
          </cell>
          <cell r="B114" t="str">
            <v>Landfill Revenue - Yard Waste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A115">
            <v>36051</v>
          </cell>
          <cell r="B115" t="str">
            <v>Landfill Revenue - Yard Waste Adjustment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A116">
            <v>36059</v>
          </cell>
          <cell r="B116" t="str">
            <v>Landfill Revenue - Yard Waste Intercompa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A117">
            <v>36090</v>
          </cell>
          <cell r="B117" t="str">
            <v>Landfill Pass Through Revenue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36099</v>
          </cell>
          <cell r="B118" t="str">
            <v>Landfill Pass Through Revenue Intercompany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A119">
            <v>36301</v>
          </cell>
          <cell r="B119" t="str">
            <v>E&amp;P Liquids - Non Count Waste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A120">
            <v>36309</v>
          </cell>
          <cell r="B120" t="str">
            <v>E&amp;P Liquids - Non Count Waste Intercompany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36311</v>
          </cell>
          <cell r="B121" t="str">
            <v>E&amp;P Liquids - Count Waste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A122">
            <v>36319</v>
          </cell>
          <cell r="B122" t="str">
            <v>E&amp;P Liquids - Count Waste Intercompany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A123">
            <v>36321</v>
          </cell>
          <cell r="B123" t="str">
            <v>Other Liquids - Non E&amp;P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36329</v>
          </cell>
          <cell r="B124" t="str">
            <v>Other Liquids - Non E&amp;P Intercompany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36331</v>
          </cell>
          <cell r="B125" t="str">
            <v>E&amp;P Solids - Count Waste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A126">
            <v>36339</v>
          </cell>
          <cell r="B126" t="str">
            <v>E&amp;P Solids - Count Waste Intercompany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A127" t="str">
            <v>Total Landfill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9">
          <cell r="A129" t="str">
            <v>Intermodal</v>
          </cell>
        </row>
        <row r="130">
          <cell r="A130">
            <v>36101</v>
          </cell>
          <cell r="B130" t="str">
            <v>Rail Drayage Revenue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36109</v>
          </cell>
          <cell r="B131" t="str">
            <v>Rail Drayage Revenue - Intercompany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36111</v>
          </cell>
          <cell r="B132" t="str">
            <v>Truck Drayage Revenue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36119</v>
          </cell>
          <cell r="B133" t="str">
            <v>Truck Drayage Revenue - Intercompany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36121</v>
          </cell>
          <cell r="B134" t="str">
            <v>Barge Drayage Revenue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36131</v>
          </cell>
          <cell r="B135" t="str">
            <v>Service Labor Revenue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A136">
            <v>36141</v>
          </cell>
          <cell r="B136" t="str">
            <v>Refrigeration Labor Revenue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36145</v>
          </cell>
          <cell r="B137" t="str">
            <v>Parts Revenue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A138">
            <v>36151</v>
          </cell>
          <cell r="B138" t="str">
            <v>Container Sales Revenue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>
            <v>36161</v>
          </cell>
          <cell r="B139" t="str">
            <v>Container Rental Revenue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>
            <v>36171</v>
          </cell>
          <cell r="B140" t="str">
            <v>Intermodal Revenue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A141">
            <v>36181</v>
          </cell>
          <cell r="B141" t="str">
            <v>Chassis Lease Revenue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A142">
            <v>36191</v>
          </cell>
          <cell r="B142" t="str">
            <v>Interchanges Revenue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A143">
            <v>36201</v>
          </cell>
          <cell r="B143" t="str">
            <v>Storage Revenue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A144">
            <v>36211</v>
          </cell>
          <cell r="B144" t="str">
            <v>Empty Lifts Revenue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A145">
            <v>36221</v>
          </cell>
          <cell r="B145" t="str">
            <v>Load Lifts Revenue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 t="str">
            <v>Total Intermodal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8">
          <cell r="A148" t="str">
            <v>Other Revenue</v>
          </cell>
        </row>
        <row r="149">
          <cell r="A149">
            <v>37001</v>
          </cell>
          <cell r="B149" t="str">
            <v>Sale of Equipment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A150">
            <v>37010</v>
          </cell>
          <cell r="B150" t="str">
            <v>Tire Processing Revenue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A151">
            <v>37019</v>
          </cell>
          <cell r="B151" t="str">
            <v>Tire Processing Revenue - Intercompany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A152">
            <v>38000</v>
          </cell>
          <cell r="B152" t="str">
            <v>Corporate Other Revenue</v>
          </cell>
          <cell r="E152">
            <v>8589.2099999999991</v>
          </cell>
          <cell r="F152">
            <v>1694.09</v>
          </cell>
          <cell r="G152">
            <v>4218.3599999999997</v>
          </cell>
          <cell r="H152">
            <v>1373.97</v>
          </cell>
          <cell r="I152">
            <v>5262.72</v>
          </cell>
          <cell r="J152">
            <v>1769.91</v>
          </cell>
          <cell r="K152">
            <v>5502.45</v>
          </cell>
          <cell r="L152">
            <v>1702.72</v>
          </cell>
          <cell r="M152">
            <v>5805.85</v>
          </cell>
          <cell r="N152">
            <v>2208.19</v>
          </cell>
          <cell r="O152">
            <v>5752.25</v>
          </cell>
          <cell r="P152">
            <v>3433.24</v>
          </cell>
          <cell r="Q152">
            <v>47312.959999999999</v>
          </cell>
        </row>
        <row r="153">
          <cell r="A153">
            <v>38001</v>
          </cell>
          <cell r="B153" t="str">
            <v>P-Card Rebate Revenue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A154" t="str">
            <v>Total Other Revenue</v>
          </cell>
          <cell r="E154">
            <v>8589.2099999999991</v>
          </cell>
          <cell r="F154">
            <v>1694.09</v>
          </cell>
          <cell r="G154">
            <v>4218.3599999999997</v>
          </cell>
          <cell r="H154">
            <v>1373.97</v>
          </cell>
          <cell r="I154">
            <v>5262.72</v>
          </cell>
          <cell r="J154">
            <v>1769.91</v>
          </cell>
          <cell r="K154">
            <v>5502.45</v>
          </cell>
          <cell r="L154">
            <v>1702.72</v>
          </cell>
          <cell r="M154">
            <v>5805.85</v>
          </cell>
          <cell r="N154">
            <v>2208.19</v>
          </cell>
          <cell r="O154">
            <v>5752.25</v>
          </cell>
          <cell r="P154">
            <v>3433.24</v>
          </cell>
          <cell r="Q154">
            <v>47312.959999999999</v>
          </cell>
        </row>
        <row r="156">
          <cell r="A156" t="str">
            <v>Total Revenue</v>
          </cell>
          <cell r="E156">
            <v>2839426.59</v>
          </cell>
          <cell r="F156">
            <v>2811716.86</v>
          </cell>
          <cell r="G156">
            <v>2913771.82</v>
          </cell>
          <cell r="H156">
            <v>2924037.87</v>
          </cell>
          <cell r="I156">
            <v>2930860.6499999994</v>
          </cell>
          <cell r="J156">
            <v>3005240.4200000004</v>
          </cell>
          <cell r="K156">
            <v>2980348.3999999994</v>
          </cell>
          <cell r="L156">
            <v>2955082.1699999995</v>
          </cell>
          <cell r="M156">
            <v>2995618.75</v>
          </cell>
          <cell r="N156">
            <v>2959049.6100000003</v>
          </cell>
          <cell r="O156">
            <v>2983216.9499999997</v>
          </cell>
          <cell r="P156">
            <v>2979291.22</v>
          </cell>
          <cell r="Q156">
            <v>35277661.310000002</v>
          </cell>
        </row>
        <row r="158">
          <cell r="A158" t="str">
            <v>Revenue Reductions</v>
          </cell>
        </row>
        <row r="159">
          <cell r="A159" t="str">
            <v>Disposal</v>
          </cell>
        </row>
        <row r="160">
          <cell r="A160">
            <v>40101</v>
          </cell>
          <cell r="B160" t="str">
            <v>Disposal Landfill</v>
          </cell>
          <cell r="E160">
            <v>23350.03</v>
          </cell>
          <cell r="F160">
            <v>26834.720000000001</v>
          </cell>
          <cell r="G160">
            <v>42381.84</v>
          </cell>
          <cell r="H160">
            <v>36707.01</v>
          </cell>
          <cell r="I160">
            <v>39327.86</v>
          </cell>
          <cell r="J160">
            <v>44813.91</v>
          </cell>
          <cell r="K160">
            <v>45601.91</v>
          </cell>
          <cell r="L160">
            <v>42594.05</v>
          </cell>
          <cell r="M160">
            <v>39719.949999999997</v>
          </cell>
          <cell r="N160">
            <v>37160.81</v>
          </cell>
          <cell r="O160">
            <v>33518.03</v>
          </cell>
          <cell r="P160">
            <v>28405.79</v>
          </cell>
          <cell r="Q160">
            <v>440415.91</v>
          </cell>
        </row>
        <row r="161">
          <cell r="A161">
            <v>40109</v>
          </cell>
          <cell r="B161" t="str">
            <v>Disposal Landfill Intercompany</v>
          </cell>
          <cell r="E161">
            <v>194.6</v>
          </cell>
          <cell r="F161">
            <v>327.96</v>
          </cell>
          <cell r="G161">
            <v>99.4</v>
          </cell>
          <cell r="H161">
            <v>8930.7999999999993</v>
          </cell>
          <cell r="I161">
            <v>8418</v>
          </cell>
          <cell r="J161">
            <v>10225</v>
          </cell>
          <cell r="K161">
            <v>9550</v>
          </cell>
          <cell r="L161">
            <v>8953</v>
          </cell>
          <cell r="M161">
            <v>8660</v>
          </cell>
          <cell r="N161">
            <v>8485</v>
          </cell>
          <cell r="O161">
            <v>8205</v>
          </cell>
          <cell r="P161">
            <v>8111.2</v>
          </cell>
          <cell r="Q161">
            <v>80159.959999999992</v>
          </cell>
        </row>
        <row r="162">
          <cell r="A162">
            <v>40121</v>
          </cell>
          <cell r="B162" t="str">
            <v>Disposal Incineration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40122</v>
          </cell>
          <cell r="B163" t="str">
            <v>Disposal Other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A164">
            <v>40129</v>
          </cell>
          <cell r="B164" t="str">
            <v>Disposal Other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A165">
            <v>40131</v>
          </cell>
          <cell r="B165" t="str">
            <v>Disposal Transfer</v>
          </cell>
          <cell r="E165">
            <v>4652.22</v>
          </cell>
          <cell r="F165">
            <v>5422.23</v>
          </cell>
          <cell r="G165">
            <v>6556.26</v>
          </cell>
          <cell r="H165">
            <v>5248.01</v>
          </cell>
          <cell r="I165">
            <v>6285.68</v>
          </cell>
          <cell r="J165">
            <v>5271.25</v>
          </cell>
          <cell r="K165">
            <v>2375.48</v>
          </cell>
          <cell r="L165">
            <v>2345.9499999999998</v>
          </cell>
          <cell r="M165">
            <v>4253.9399999999996</v>
          </cell>
          <cell r="N165">
            <v>5654.19</v>
          </cell>
          <cell r="O165">
            <v>5131.53</v>
          </cell>
          <cell r="P165">
            <v>5010.78</v>
          </cell>
          <cell r="Q165">
            <v>58207.520000000004</v>
          </cell>
        </row>
        <row r="166">
          <cell r="A166">
            <v>40139</v>
          </cell>
          <cell r="B166" t="str">
            <v>Disposal Transfer Intercompany</v>
          </cell>
          <cell r="E166">
            <v>593825.03</v>
          </cell>
          <cell r="F166">
            <v>547142.99</v>
          </cell>
          <cell r="G166">
            <v>630810.36</v>
          </cell>
          <cell r="H166">
            <v>605643.42000000004</v>
          </cell>
          <cell r="I166">
            <v>594549.89</v>
          </cell>
          <cell r="J166">
            <v>658860.29</v>
          </cell>
          <cell r="K166">
            <v>621190.5</v>
          </cell>
          <cell r="L166">
            <v>619548.27</v>
          </cell>
          <cell r="M166">
            <v>634021.85</v>
          </cell>
          <cell r="N166">
            <v>591478.38</v>
          </cell>
          <cell r="O166">
            <v>635582.61</v>
          </cell>
          <cell r="P166">
            <v>652795.86</v>
          </cell>
          <cell r="Q166">
            <v>7385449.4500000002</v>
          </cell>
        </row>
        <row r="167">
          <cell r="A167" t="str">
            <v>Total Disposal</v>
          </cell>
          <cell r="E167">
            <v>622021.88</v>
          </cell>
          <cell r="F167">
            <v>579727.9</v>
          </cell>
          <cell r="G167">
            <v>679847.86</v>
          </cell>
          <cell r="H167">
            <v>656529.24</v>
          </cell>
          <cell r="I167">
            <v>648581.43000000005</v>
          </cell>
          <cell r="J167">
            <v>719170.45000000007</v>
          </cell>
          <cell r="K167">
            <v>678717.89</v>
          </cell>
          <cell r="L167">
            <v>673441.27</v>
          </cell>
          <cell r="M167">
            <v>686655.74</v>
          </cell>
          <cell r="N167">
            <v>642778.38</v>
          </cell>
          <cell r="O167">
            <v>682437.16999999993</v>
          </cell>
          <cell r="P167">
            <v>694323.63</v>
          </cell>
          <cell r="Q167">
            <v>7964232.8399999999</v>
          </cell>
        </row>
        <row r="169">
          <cell r="A169" t="str">
            <v>MRF Processing</v>
          </cell>
        </row>
        <row r="170">
          <cell r="A170">
            <v>40861</v>
          </cell>
          <cell r="B170" t="str">
            <v>Processing Fees MRF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40869</v>
          </cell>
          <cell r="B171" t="str">
            <v>Processing Fees MRF Intercompany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A172" t="str">
            <v>Total MRF Processing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4">
          <cell r="A174" t="str">
            <v>Brokerage, Rebates and Taxes</v>
          </cell>
        </row>
        <row r="175">
          <cell r="A175">
            <v>41121</v>
          </cell>
          <cell r="B175" t="str">
            <v>Brokerage Cost</v>
          </cell>
          <cell r="E175">
            <v>0</v>
          </cell>
          <cell r="F175">
            <v>0</v>
          </cell>
          <cell r="G175">
            <v>0</v>
          </cell>
          <cell r="H175">
            <v>178.39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178.39</v>
          </cell>
        </row>
        <row r="176">
          <cell r="A176">
            <v>41129</v>
          </cell>
          <cell r="B176" t="str">
            <v>Brokerage Cost Intercompany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A177">
            <v>41131</v>
          </cell>
          <cell r="B177" t="str">
            <v>Rail Drayage Expenses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A178">
            <v>41135</v>
          </cell>
          <cell r="B178" t="str">
            <v>Resale Parts - Cost of Goods Sold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A179">
            <v>41139</v>
          </cell>
          <cell r="B179" t="str">
            <v>Rail Drayage Expenses - Intercompany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A180">
            <v>41141</v>
          </cell>
          <cell r="B180" t="str">
            <v>Truck Drayage Expenses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A181">
            <v>41149</v>
          </cell>
          <cell r="B181" t="str">
            <v>Truck Drayage Expenses - Intercompany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41151</v>
          </cell>
          <cell r="B182" t="str">
            <v>Intermodal Expenses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A183">
            <v>41201</v>
          </cell>
          <cell r="B183" t="str">
            <v>Rebates and Revenue Sharing</v>
          </cell>
          <cell r="E183">
            <v>521936.87</v>
          </cell>
          <cell r="F183">
            <v>516837.5</v>
          </cell>
          <cell r="G183">
            <v>526589.43999999994</v>
          </cell>
          <cell r="H183">
            <v>507133.7</v>
          </cell>
          <cell r="I183">
            <v>514778.73</v>
          </cell>
          <cell r="J183">
            <v>520529.95</v>
          </cell>
          <cell r="K183">
            <v>523325.23</v>
          </cell>
          <cell r="L183">
            <v>525169.91</v>
          </cell>
          <cell r="M183">
            <v>526242.24</v>
          </cell>
          <cell r="N183">
            <v>522492.7</v>
          </cell>
          <cell r="O183">
            <v>519798.37</v>
          </cell>
          <cell r="P183">
            <v>519523.19</v>
          </cell>
          <cell r="Q183">
            <v>6244357.830000001</v>
          </cell>
        </row>
        <row r="184">
          <cell r="A184">
            <v>43001</v>
          </cell>
          <cell r="B184" t="str">
            <v>Taxes and Pass Thru Fees</v>
          </cell>
          <cell r="E184">
            <v>41543.1</v>
          </cell>
          <cell r="F184">
            <v>40952.97</v>
          </cell>
          <cell r="G184">
            <v>42462.54</v>
          </cell>
          <cell r="H184">
            <v>45489.33</v>
          </cell>
          <cell r="I184">
            <v>48581.71</v>
          </cell>
          <cell r="J184">
            <v>53321.59</v>
          </cell>
          <cell r="K184">
            <v>51875.89</v>
          </cell>
          <cell r="L184">
            <v>52096.88</v>
          </cell>
          <cell r="M184">
            <v>52109.83</v>
          </cell>
          <cell r="N184">
            <v>51665.29</v>
          </cell>
          <cell r="O184">
            <v>51559.19</v>
          </cell>
          <cell r="P184">
            <v>51703.040000000001</v>
          </cell>
          <cell r="Q184">
            <v>583361.3600000001</v>
          </cell>
        </row>
        <row r="185">
          <cell r="A185">
            <v>43002</v>
          </cell>
          <cell r="B185" t="str">
            <v>WUTC Taxes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43090</v>
          </cell>
          <cell r="B186" t="str">
            <v>Pass Through Expenses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43099</v>
          </cell>
          <cell r="B187" t="str">
            <v>Pass Through Expenses Intercompany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 t="str">
            <v>Total Brokerage, Rebates and Taxes</v>
          </cell>
          <cell r="E188">
            <v>563479.97</v>
          </cell>
          <cell r="F188">
            <v>557790.47</v>
          </cell>
          <cell r="G188">
            <v>569051.98</v>
          </cell>
          <cell r="H188">
            <v>552801.42000000004</v>
          </cell>
          <cell r="I188">
            <v>563360.43999999994</v>
          </cell>
          <cell r="J188">
            <v>573851.54</v>
          </cell>
          <cell r="K188">
            <v>575201.12</v>
          </cell>
          <cell r="L188">
            <v>577266.79</v>
          </cell>
          <cell r="M188">
            <v>578352.06999999995</v>
          </cell>
          <cell r="N188">
            <v>574157.99</v>
          </cell>
          <cell r="O188">
            <v>571357.56000000006</v>
          </cell>
          <cell r="P188">
            <v>571226.23</v>
          </cell>
          <cell r="Q188">
            <v>6827897.580000001</v>
          </cell>
        </row>
        <row r="190">
          <cell r="A190" t="str">
            <v>Recycling Materials Expense</v>
          </cell>
        </row>
        <row r="191">
          <cell r="A191">
            <v>44161</v>
          </cell>
          <cell r="B191" t="str">
            <v>Cost of Materials - OCC</v>
          </cell>
          <cell r="E191">
            <v>2426.64</v>
          </cell>
          <cell r="F191">
            <v>2389.0700000000002</v>
          </cell>
          <cell r="G191">
            <v>2400.6</v>
          </cell>
          <cell r="H191">
            <v>2445.6799999999998</v>
          </cell>
          <cell r="I191">
            <v>2403.29</v>
          </cell>
          <cell r="J191">
            <v>2402.11</v>
          </cell>
          <cell r="K191">
            <v>437.67</v>
          </cell>
          <cell r="L191">
            <v>1356.93</v>
          </cell>
          <cell r="M191">
            <v>2409.56</v>
          </cell>
          <cell r="N191">
            <v>2530.52</v>
          </cell>
          <cell r="O191">
            <v>2633.11</v>
          </cell>
          <cell r="P191">
            <v>2651.26</v>
          </cell>
          <cell r="Q191">
            <v>26486.440000000002</v>
          </cell>
        </row>
        <row r="192">
          <cell r="A192">
            <v>44162</v>
          </cell>
          <cell r="B192" t="str">
            <v>Cost of Materials - ONP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A193">
            <v>44163</v>
          </cell>
          <cell r="B193" t="str">
            <v>Cost of Materials - Other Paper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A194">
            <v>44164</v>
          </cell>
          <cell r="B194" t="str">
            <v>Cost of Materials - Aluminum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44165</v>
          </cell>
          <cell r="B195" t="str">
            <v>Cost of Materials - Metal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44166</v>
          </cell>
          <cell r="B196" t="str">
            <v>Cost of Materials - Glass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A197">
            <v>44167</v>
          </cell>
          <cell r="B197" t="str">
            <v>Cost of Materials - Plastic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44168</v>
          </cell>
          <cell r="B198" t="str">
            <v>Cost of Materials - Other Recyclables</v>
          </cell>
          <cell r="E198">
            <v>0</v>
          </cell>
          <cell r="F198">
            <v>8</v>
          </cell>
          <cell r="G198">
            <v>8</v>
          </cell>
          <cell r="H198">
            <v>0</v>
          </cell>
          <cell r="I198">
            <v>8</v>
          </cell>
          <cell r="J198">
            <v>0</v>
          </cell>
          <cell r="K198">
            <v>8</v>
          </cell>
          <cell r="L198">
            <v>7</v>
          </cell>
          <cell r="M198">
            <v>0</v>
          </cell>
          <cell r="N198">
            <v>7</v>
          </cell>
          <cell r="O198">
            <v>15</v>
          </cell>
          <cell r="P198">
            <v>8</v>
          </cell>
          <cell r="Q198">
            <v>69</v>
          </cell>
        </row>
        <row r="199">
          <cell r="A199">
            <v>44169</v>
          </cell>
          <cell r="B199" t="str">
            <v>Cost of Materials - Intercompany</v>
          </cell>
          <cell r="E199">
            <v>1793.25</v>
          </cell>
          <cell r="F199">
            <v>1711</v>
          </cell>
          <cell r="G199">
            <v>2209.37</v>
          </cell>
          <cell r="H199">
            <v>2644.25</v>
          </cell>
          <cell r="I199">
            <v>3170</v>
          </cell>
          <cell r="J199">
            <v>2275.25</v>
          </cell>
          <cell r="K199">
            <v>1660.5</v>
          </cell>
          <cell r="L199">
            <v>2033.7</v>
          </cell>
          <cell r="M199">
            <v>1648</v>
          </cell>
          <cell r="N199">
            <v>2091.5500000000002</v>
          </cell>
          <cell r="O199">
            <v>2223.8000000000002</v>
          </cell>
          <cell r="P199">
            <v>2182.25</v>
          </cell>
          <cell r="Q199">
            <v>25642.92</v>
          </cell>
        </row>
        <row r="200">
          <cell r="A200">
            <v>44261</v>
          </cell>
          <cell r="B200" t="str">
            <v>Cost of Materials - Organics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44262</v>
          </cell>
          <cell r="B201" t="str">
            <v>Cost of Materials - Clean Wood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A202">
            <v>44263</v>
          </cell>
          <cell r="B202" t="str">
            <v>Cost of Materials - Landscaping Materials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A203" t="str">
            <v>Total Recycling Materials Expense</v>
          </cell>
          <cell r="E203">
            <v>4219.8899999999994</v>
          </cell>
          <cell r="F203">
            <v>4108.07</v>
          </cell>
          <cell r="G203">
            <v>4617.9699999999993</v>
          </cell>
          <cell r="H203">
            <v>5089.93</v>
          </cell>
          <cell r="I203">
            <v>5581.29</v>
          </cell>
          <cell r="J203">
            <v>4677.3600000000006</v>
          </cell>
          <cell r="K203">
            <v>2106.17</v>
          </cell>
          <cell r="L203">
            <v>3397.63</v>
          </cell>
          <cell r="M203">
            <v>4057.56</v>
          </cell>
          <cell r="N203">
            <v>4629.07</v>
          </cell>
          <cell r="O203">
            <v>4871.91</v>
          </cell>
          <cell r="P203">
            <v>4841.51</v>
          </cell>
          <cell r="Q203">
            <v>52198.36</v>
          </cell>
        </row>
        <row r="205">
          <cell r="A205" t="str">
            <v>Other Expense</v>
          </cell>
        </row>
        <row r="206">
          <cell r="A206">
            <v>47000</v>
          </cell>
          <cell r="B206" t="str">
            <v>Cost of Containers Sold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A207">
            <v>47001</v>
          </cell>
          <cell r="B207" t="str">
            <v>Cost of Equipment Sold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47010</v>
          </cell>
          <cell r="B208" t="str">
            <v>Tire Processing Expenses</v>
          </cell>
          <cell r="E208">
            <v>0</v>
          </cell>
          <cell r="F208">
            <v>0</v>
          </cell>
          <cell r="G208">
            <v>0</v>
          </cell>
          <cell r="H208">
            <v>205.8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205.8</v>
          </cell>
        </row>
        <row r="209">
          <cell r="A209">
            <v>47019</v>
          </cell>
          <cell r="B209" t="str">
            <v>Tire Processing Expenses - Intercompany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A210" t="str">
            <v>Total Other Expense</v>
          </cell>
          <cell r="E210">
            <v>0</v>
          </cell>
          <cell r="F210">
            <v>0</v>
          </cell>
          <cell r="G210">
            <v>0</v>
          </cell>
          <cell r="H210">
            <v>205.8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205.8</v>
          </cell>
        </row>
        <row r="212">
          <cell r="A212" t="str">
            <v>Total Revenue Reductions</v>
          </cell>
          <cell r="E212">
            <v>1189721.74</v>
          </cell>
          <cell r="F212">
            <v>1141626.44</v>
          </cell>
          <cell r="G212">
            <v>1253517.81</v>
          </cell>
          <cell r="H212">
            <v>1214626.3900000001</v>
          </cell>
          <cell r="I212">
            <v>1217523.1600000001</v>
          </cell>
          <cell r="J212">
            <v>1297699.3500000001</v>
          </cell>
          <cell r="K212">
            <v>1256025.1800000002</v>
          </cell>
          <cell r="L212">
            <v>1254105.69</v>
          </cell>
          <cell r="M212">
            <v>1269065.3700000001</v>
          </cell>
          <cell r="N212">
            <v>1221565.4399999999</v>
          </cell>
          <cell r="O212">
            <v>1258666.6400000001</v>
          </cell>
          <cell r="P212">
            <v>1270391.3700000001</v>
          </cell>
          <cell r="Q212">
            <v>14844534.580000002</v>
          </cell>
        </row>
        <row r="214">
          <cell r="A214" t="str">
            <v>Net Revenue</v>
          </cell>
          <cell r="E214">
            <v>1649704.8499999999</v>
          </cell>
          <cell r="F214">
            <v>1670090.42</v>
          </cell>
          <cell r="G214">
            <v>1660254.0099999998</v>
          </cell>
          <cell r="H214">
            <v>1709411.48</v>
          </cell>
          <cell r="I214">
            <v>1713337.4899999993</v>
          </cell>
          <cell r="J214">
            <v>1707541.0700000003</v>
          </cell>
          <cell r="K214">
            <v>1724323.2199999993</v>
          </cell>
          <cell r="L214">
            <v>1700976.4799999995</v>
          </cell>
          <cell r="M214">
            <v>1726553.38</v>
          </cell>
          <cell r="N214">
            <v>1737484.1700000004</v>
          </cell>
          <cell r="O214">
            <v>1724550.3099999996</v>
          </cell>
          <cell r="P214">
            <v>1708899.85</v>
          </cell>
          <cell r="Q214">
            <v>20433126.73</v>
          </cell>
        </row>
        <row r="216">
          <cell r="A216" t="str">
            <v>Cost of Operations</v>
          </cell>
        </row>
        <row r="217">
          <cell r="A217" t="str">
            <v>Labor</v>
          </cell>
        </row>
        <row r="218">
          <cell r="A218">
            <v>50010</v>
          </cell>
          <cell r="B218" t="str">
            <v>Salaries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A219">
            <v>50020</v>
          </cell>
          <cell r="B219" t="str">
            <v>Wages Regular</v>
          </cell>
          <cell r="E219">
            <v>164883.42000000001</v>
          </cell>
          <cell r="F219">
            <v>163593.57</v>
          </cell>
          <cell r="G219">
            <v>188109.33</v>
          </cell>
          <cell r="H219">
            <v>179849.71</v>
          </cell>
          <cell r="I219">
            <v>172347.9</v>
          </cell>
          <cell r="J219">
            <v>187859.47</v>
          </cell>
          <cell r="K219">
            <v>178348.24</v>
          </cell>
          <cell r="L219">
            <v>182091.36</v>
          </cell>
          <cell r="M219">
            <v>176392.37000000002</v>
          </cell>
          <cell r="N219">
            <v>178231.65999999997</v>
          </cell>
          <cell r="O219">
            <v>171402.89</v>
          </cell>
          <cell r="P219">
            <v>200565.78999999998</v>
          </cell>
          <cell r="Q219">
            <v>2143675.71</v>
          </cell>
        </row>
        <row r="220">
          <cell r="A220">
            <v>50025</v>
          </cell>
          <cell r="B220" t="str">
            <v>Wages O.T.</v>
          </cell>
          <cell r="E220">
            <v>32984.839999999997</v>
          </cell>
          <cell r="F220">
            <v>9544.4</v>
          </cell>
          <cell r="G220">
            <v>22471.78</v>
          </cell>
          <cell r="H220">
            <v>31363.030000000002</v>
          </cell>
          <cell r="I220">
            <v>49805.09</v>
          </cell>
          <cell r="J220">
            <v>35207.21</v>
          </cell>
          <cell r="K220">
            <v>36825.21</v>
          </cell>
          <cell r="L220">
            <v>33200.26</v>
          </cell>
          <cell r="M220">
            <v>40758.67</v>
          </cell>
          <cell r="N220">
            <v>31022.81</v>
          </cell>
          <cell r="O220">
            <v>51285.26</v>
          </cell>
          <cell r="P220">
            <v>33854.409999999996</v>
          </cell>
          <cell r="Q220">
            <v>408322.97</v>
          </cell>
        </row>
        <row r="221">
          <cell r="A221">
            <v>50035</v>
          </cell>
          <cell r="B221" t="str">
            <v>Safety Bonuses</v>
          </cell>
          <cell r="E221">
            <v>4800</v>
          </cell>
          <cell r="F221">
            <v>4800</v>
          </cell>
          <cell r="G221">
            <v>4800</v>
          </cell>
          <cell r="H221">
            <v>4800</v>
          </cell>
          <cell r="I221">
            <v>5550</v>
          </cell>
          <cell r="J221">
            <v>5550</v>
          </cell>
          <cell r="K221">
            <v>5550</v>
          </cell>
          <cell r="L221">
            <v>5550</v>
          </cell>
          <cell r="M221">
            <v>3500</v>
          </cell>
          <cell r="N221">
            <v>3500</v>
          </cell>
          <cell r="O221">
            <v>4800</v>
          </cell>
          <cell r="P221">
            <v>-8000</v>
          </cell>
          <cell r="Q221">
            <v>45200</v>
          </cell>
        </row>
        <row r="222">
          <cell r="A222">
            <v>50036</v>
          </cell>
          <cell r="B222" t="str">
            <v>Other Bonus/Commission - Non-Safety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</row>
        <row r="223">
          <cell r="A223">
            <v>50045</v>
          </cell>
          <cell r="B223" t="str">
            <v>Contract Labor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4788.33</v>
          </cell>
          <cell r="L223">
            <v>3663.38</v>
          </cell>
          <cell r="M223">
            <v>2786.12</v>
          </cell>
          <cell r="N223">
            <v>7835.02</v>
          </cell>
          <cell r="O223">
            <v>2360.66</v>
          </cell>
          <cell r="P223">
            <v>120.48</v>
          </cell>
          <cell r="Q223">
            <v>21553.989999999998</v>
          </cell>
        </row>
        <row r="224">
          <cell r="A224">
            <v>50050</v>
          </cell>
          <cell r="B224" t="str">
            <v>Payroll Taxes</v>
          </cell>
          <cell r="E224">
            <v>25189.960000000003</v>
          </cell>
          <cell r="F224">
            <v>18251.73</v>
          </cell>
          <cell r="G224">
            <v>20679.02</v>
          </cell>
          <cell r="H224">
            <v>21039.350000000002</v>
          </cell>
          <cell r="I224">
            <v>21060.63</v>
          </cell>
          <cell r="J224">
            <v>22770.019999999997</v>
          </cell>
          <cell r="K224">
            <v>23082.989999999998</v>
          </cell>
          <cell r="L224">
            <v>21413.860000000004</v>
          </cell>
          <cell r="M224">
            <v>22297.15</v>
          </cell>
          <cell r="N224">
            <v>19721.989999999998</v>
          </cell>
          <cell r="O224">
            <v>24041.16</v>
          </cell>
          <cell r="P224">
            <v>17044.59</v>
          </cell>
          <cell r="Q224">
            <v>256592.45</v>
          </cell>
        </row>
        <row r="225">
          <cell r="A225">
            <v>50060</v>
          </cell>
          <cell r="B225" t="str">
            <v>Group Insurance</v>
          </cell>
          <cell r="E225">
            <v>-52</v>
          </cell>
          <cell r="F225">
            <v>52</v>
          </cell>
          <cell r="G225">
            <v>400</v>
          </cell>
          <cell r="H225">
            <v>400</v>
          </cell>
          <cell r="I225">
            <v>400</v>
          </cell>
          <cell r="J225">
            <v>400</v>
          </cell>
          <cell r="K225">
            <v>400.77</v>
          </cell>
          <cell r="L225">
            <v>348</v>
          </cell>
          <cell r="M225">
            <v>400</v>
          </cell>
          <cell r="N225">
            <v>400</v>
          </cell>
          <cell r="O225">
            <v>1.54</v>
          </cell>
          <cell r="P225">
            <v>-913.13</v>
          </cell>
          <cell r="Q225">
            <v>2237.1799999999998</v>
          </cell>
        </row>
        <row r="226">
          <cell r="A226">
            <v>50065</v>
          </cell>
          <cell r="B226" t="str">
            <v>Vacation Pay</v>
          </cell>
          <cell r="E226">
            <v>19746.13</v>
          </cell>
          <cell r="F226">
            <v>10715.919999999998</v>
          </cell>
          <cell r="G226">
            <v>10164.220000000001</v>
          </cell>
          <cell r="H226">
            <v>13775.17</v>
          </cell>
          <cell r="I226">
            <v>12214.41</v>
          </cell>
          <cell r="J226">
            <v>9839.7799999999988</v>
          </cell>
          <cell r="K226">
            <v>16829.84</v>
          </cell>
          <cell r="L226">
            <v>10619.08</v>
          </cell>
          <cell r="M226">
            <v>20174.8</v>
          </cell>
          <cell r="N226">
            <v>7964.8900000000012</v>
          </cell>
          <cell r="O226">
            <v>28346.93</v>
          </cell>
          <cell r="P226">
            <v>21322.129999999997</v>
          </cell>
          <cell r="Q226">
            <v>181713.30000000002</v>
          </cell>
        </row>
        <row r="227">
          <cell r="A227">
            <v>50070</v>
          </cell>
          <cell r="B227" t="str">
            <v>Sick Pay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</row>
        <row r="228">
          <cell r="A228">
            <v>50086</v>
          </cell>
          <cell r="B228" t="str">
            <v>Safety and Training</v>
          </cell>
          <cell r="E228">
            <v>157.5</v>
          </cell>
          <cell r="F228">
            <v>172.5</v>
          </cell>
          <cell r="G228">
            <v>808.28</v>
          </cell>
          <cell r="H228">
            <v>-442.5</v>
          </cell>
          <cell r="I228">
            <v>965.32</v>
          </cell>
          <cell r="J228">
            <v>0</v>
          </cell>
          <cell r="K228">
            <v>0</v>
          </cell>
          <cell r="L228">
            <v>0</v>
          </cell>
          <cell r="M228">
            <v>25</v>
          </cell>
          <cell r="N228">
            <v>675</v>
          </cell>
          <cell r="O228">
            <v>0</v>
          </cell>
          <cell r="P228">
            <v>0</v>
          </cell>
          <cell r="Q228">
            <v>2361.1</v>
          </cell>
        </row>
        <row r="229">
          <cell r="A229">
            <v>50087</v>
          </cell>
          <cell r="B229" t="str">
            <v>Drug Testing</v>
          </cell>
          <cell r="E229">
            <v>60</v>
          </cell>
          <cell r="F229">
            <v>294</v>
          </cell>
          <cell r="G229">
            <v>180</v>
          </cell>
          <cell r="H229">
            <v>60</v>
          </cell>
          <cell r="I229">
            <v>180</v>
          </cell>
          <cell r="J229">
            <v>0</v>
          </cell>
          <cell r="K229">
            <v>660</v>
          </cell>
          <cell r="L229">
            <v>180</v>
          </cell>
          <cell r="M229">
            <v>480</v>
          </cell>
          <cell r="N229">
            <v>360</v>
          </cell>
          <cell r="O229">
            <v>180</v>
          </cell>
          <cell r="P229">
            <v>120</v>
          </cell>
          <cell r="Q229">
            <v>2754</v>
          </cell>
        </row>
        <row r="230">
          <cell r="A230">
            <v>50090</v>
          </cell>
          <cell r="B230" t="str">
            <v>Uniforms</v>
          </cell>
          <cell r="E230">
            <v>4074.6600000000003</v>
          </cell>
          <cell r="F230">
            <v>3623.04</v>
          </cell>
          <cell r="G230">
            <v>5198.9500000000007</v>
          </cell>
          <cell r="H230">
            <v>3689.49</v>
          </cell>
          <cell r="I230">
            <v>10448.56</v>
          </cell>
          <cell r="J230">
            <v>4504.9699999999993</v>
          </cell>
          <cell r="K230">
            <v>4758.2000000000007</v>
          </cell>
          <cell r="L230">
            <v>10818.759999999998</v>
          </cell>
          <cell r="M230">
            <v>4750.04</v>
          </cell>
          <cell r="N230">
            <v>7936.8100000000013</v>
          </cell>
          <cell r="O230">
            <v>4016.29</v>
          </cell>
          <cell r="P230">
            <v>3616.1000000000004</v>
          </cell>
          <cell r="Q230">
            <v>67435.87</v>
          </cell>
        </row>
        <row r="231">
          <cell r="A231">
            <v>50115</v>
          </cell>
          <cell r="B231" t="str">
            <v>Pension and Profit Sharing</v>
          </cell>
          <cell r="E231">
            <v>28983.06</v>
          </cell>
          <cell r="F231">
            <v>25738.78</v>
          </cell>
          <cell r="G231">
            <v>27512.51</v>
          </cell>
          <cell r="H231">
            <v>29149.510000000002</v>
          </cell>
          <cell r="I231">
            <v>28747.71</v>
          </cell>
          <cell r="J231">
            <v>30320.410000000003</v>
          </cell>
          <cell r="K231">
            <v>30592.95</v>
          </cell>
          <cell r="L231">
            <v>30361.019999999997</v>
          </cell>
          <cell r="M231">
            <v>30798.07</v>
          </cell>
          <cell r="N231">
            <v>28965.410000000003</v>
          </cell>
          <cell r="O231">
            <v>29195.13</v>
          </cell>
          <cell r="P231">
            <v>27681.32</v>
          </cell>
          <cell r="Q231">
            <v>348045.87999999995</v>
          </cell>
        </row>
        <row r="232">
          <cell r="A232">
            <v>50116</v>
          </cell>
          <cell r="B232" t="str">
            <v>Union Benefit Expense</v>
          </cell>
          <cell r="E232">
            <v>75002.37000000001</v>
          </cell>
          <cell r="F232">
            <v>76004.59</v>
          </cell>
          <cell r="G232">
            <v>72736.17</v>
          </cell>
          <cell r="H232">
            <v>70560.600000000006</v>
          </cell>
          <cell r="I232">
            <v>73715.539999999994</v>
          </cell>
          <cell r="J232">
            <v>76036.11</v>
          </cell>
          <cell r="K232">
            <v>76033.8</v>
          </cell>
          <cell r="L232">
            <v>76047.17</v>
          </cell>
          <cell r="M232">
            <v>75995.589999999982</v>
          </cell>
          <cell r="N232">
            <v>77106.5</v>
          </cell>
          <cell r="O232">
            <v>74405.170000000013</v>
          </cell>
          <cell r="P232">
            <v>74519.92</v>
          </cell>
          <cell r="Q232">
            <v>898163.53</v>
          </cell>
        </row>
        <row r="233">
          <cell r="A233">
            <v>50117</v>
          </cell>
          <cell r="B233" t="str">
            <v>Union Pension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A234">
            <v>50148</v>
          </cell>
          <cell r="B234" t="str">
            <v>Allocated Exp In - District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50149</v>
          </cell>
          <cell r="B235" t="str">
            <v>Allocated Exp In Out - District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50335</v>
          </cell>
          <cell r="B236" t="str">
            <v>Miscellaneous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50900</v>
          </cell>
          <cell r="B237" t="str">
            <v>Capitalized Costs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50998</v>
          </cell>
          <cell r="B238" t="str">
            <v>Allocation Out - District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A239">
            <v>50999</v>
          </cell>
          <cell r="B239" t="str">
            <v>Allocation Out - Out District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 t="str">
            <v>Total Labor</v>
          </cell>
          <cell r="E240">
            <v>355829.94</v>
          </cell>
          <cell r="F240">
            <v>312790.53000000003</v>
          </cell>
          <cell r="G240">
            <v>353060.25999999995</v>
          </cell>
          <cell r="H240">
            <v>354244.36</v>
          </cell>
          <cell r="I240">
            <v>375435.16</v>
          </cell>
          <cell r="J240">
            <v>372487.97</v>
          </cell>
          <cell r="K240">
            <v>377870.32999999996</v>
          </cell>
          <cell r="L240">
            <v>374292.89</v>
          </cell>
          <cell r="M240">
            <v>378357.81</v>
          </cell>
          <cell r="N240">
            <v>363720.08999999997</v>
          </cell>
          <cell r="O240">
            <v>390035.03</v>
          </cell>
          <cell r="P240">
            <v>369931.60999999993</v>
          </cell>
          <cell r="Q240">
            <v>4378055.9800000004</v>
          </cell>
        </row>
        <row r="242">
          <cell r="A242" t="str">
            <v>Truck Fixed Expenses</v>
          </cell>
        </row>
        <row r="243">
          <cell r="A243">
            <v>51148</v>
          </cell>
          <cell r="B243" t="str">
            <v>Allocation In - District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A244">
            <v>51149</v>
          </cell>
          <cell r="B244" t="str">
            <v>Allocation In - Out District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A245">
            <v>51175</v>
          </cell>
          <cell r="B245" t="str">
            <v>Equipment/Vehicle Rental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A246">
            <v>51275</v>
          </cell>
          <cell r="B246" t="str">
            <v>Property Taxes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A247">
            <v>51295</v>
          </cell>
          <cell r="B247" t="str">
            <v>Licenses</v>
          </cell>
          <cell r="E247">
            <v>7094.03</v>
          </cell>
          <cell r="F247">
            <v>5283.39</v>
          </cell>
          <cell r="G247">
            <v>6038.79</v>
          </cell>
          <cell r="H247">
            <v>6260.76</v>
          </cell>
          <cell r="I247">
            <v>7130.37</v>
          </cell>
          <cell r="J247">
            <v>6495.12</v>
          </cell>
          <cell r="K247">
            <v>7155.12</v>
          </cell>
          <cell r="L247">
            <v>8517.26</v>
          </cell>
          <cell r="M247">
            <v>6025.42</v>
          </cell>
          <cell r="N247">
            <v>6730.71</v>
          </cell>
          <cell r="O247">
            <v>6040.84</v>
          </cell>
          <cell r="P247">
            <v>7017.82</v>
          </cell>
          <cell r="Q247">
            <v>79789.63</v>
          </cell>
        </row>
        <row r="248">
          <cell r="A248">
            <v>51335</v>
          </cell>
          <cell r="B248" t="str">
            <v>Miscellaneous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A249">
            <v>51998</v>
          </cell>
          <cell r="B249" t="str">
            <v>Allocation Out - District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A250">
            <v>51999</v>
          </cell>
          <cell r="B250" t="str">
            <v>Allocation Out - Out District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A251" t="str">
            <v>Total Truck Fixed Expenses</v>
          </cell>
          <cell r="E251">
            <v>7094.03</v>
          </cell>
          <cell r="F251">
            <v>5283.39</v>
          </cell>
          <cell r="G251">
            <v>6038.79</v>
          </cell>
          <cell r="H251">
            <v>6260.76</v>
          </cell>
          <cell r="I251">
            <v>7130.37</v>
          </cell>
          <cell r="J251">
            <v>6495.12</v>
          </cell>
          <cell r="K251">
            <v>7155.12</v>
          </cell>
          <cell r="L251">
            <v>8517.26</v>
          </cell>
          <cell r="M251">
            <v>6025.42</v>
          </cell>
          <cell r="N251">
            <v>6730.71</v>
          </cell>
          <cell r="O251">
            <v>6040.84</v>
          </cell>
          <cell r="P251">
            <v>7017.82</v>
          </cell>
          <cell r="Q251">
            <v>79789.63</v>
          </cell>
        </row>
        <row r="253">
          <cell r="A253" t="str">
            <v>Truck Variable Expenses</v>
          </cell>
        </row>
        <row r="254">
          <cell r="A254">
            <v>52010</v>
          </cell>
          <cell r="B254" t="str">
            <v>Salaries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</row>
        <row r="255">
          <cell r="A255">
            <v>52020</v>
          </cell>
          <cell r="B255" t="str">
            <v>Wages Regular</v>
          </cell>
          <cell r="E255">
            <v>41831.43</v>
          </cell>
          <cell r="F255">
            <v>31547.360000000001</v>
          </cell>
          <cell r="G255">
            <v>41785.230000000003</v>
          </cell>
          <cell r="H255">
            <v>41270.26</v>
          </cell>
          <cell r="I255">
            <v>32339.71</v>
          </cell>
          <cell r="J255">
            <v>31241.200000000001</v>
          </cell>
          <cell r="K255">
            <v>37276.75</v>
          </cell>
          <cell r="L255">
            <v>38079.120000000003</v>
          </cell>
          <cell r="M255">
            <v>35899.410000000003</v>
          </cell>
          <cell r="N255">
            <v>39332.589999999997</v>
          </cell>
          <cell r="O255">
            <v>37890.239999999998</v>
          </cell>
          <cell r="P255">
            <v>44055.94</v>
          </cell>
          <cell r="Q255">
            <v>452549.24000000005</v>
          </cell>
        </row>
        <row r="256">
          <cell r="A256">
            <v>52025</v>
          </cell>
          <cell r="B256" t="str">
            <v>Wages O.T.</v>
          </cell>
          <cell r="E256">
            <v>7524.35</v>
          </cell>
          <cell r="F256">
            <v>4047.27</v>
          </cell>
          <cell r="G256">
            <v>4760.2299999999996</v>
          </cell>
          <cell r="H256">
            <v>4152.5200000000004</v>
          </cell>
          <cell r="I256">
            <v>5808.01</v>
          </cell>
          <cell r="J256">
            <v>4035.92</v>
          </cell>
          <cell r="K256">
            <v>11119.38</v>
          </cell>
          <cell r="L256">
            <v>2971.58</v>
          </cell>
          <cell r="M256">
            <v>6964.42</v>
          </cell>
          <cell r="N256">
            <v>4824.8500000000004</v>
          </cell>
          <cell r="O256">
            <v>7793.34</v>
          </cell>
          <cell r="P256">
            <v>5555.18</v>
          </cell>
          <cell r="Q256">
            <v>69557.049999999988</v>
          </cell>
        </row>
        <row r="257">
          <cell r="A257">
            <v>52035</v>
          </cell>
          <cell r="B257" t="str">
            <v>Safety Bonuses</v>
          </cell>
          <cell r="E257">
            <v>1250</v>
          </cell>
          <cell r="F257">
            <v>1250</v>
          </cell>
          <cell r="G257">
            <v>1250</v>
          </cell>
          <cell r="H257">
            <v>1250</v>
          </cell>
          <cell r="I257">
            <v>2000</v>
          </cell>
          <cell r="J257">
            <v>2000</v>
          </cell>
          <cell r="K257">
            <v>2000</v>
          </cell>
          <cell r="L257">
            <v>2000</v>
          </cell>
          <cell r="M257">
            <v>1000</v>
          </cell>
          <cell r="N257">
            <v>1000</v>
          </cell>
          <cell r="O257">
            <v>1200</v>
          </cell>
          <cell r="P257">
            <v>-2000</v>
          </cell>
          <cell r="Q257">
            <v>14200</v>
          </cell>
        </row>
        <row r="258">
          <cell r="A258">
            <v>52036</v>
          </cell>
          <cell r="B258" t="str">
            <v>Other Bonus/Commission - Non-Safety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A259">
            <v>52045</v>
          </cell>
          <cell r="B259" t="str">
            <v>Contract Labor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A260">
            <v>52050</v>
          </cell>
          <cell r="B260" t="str">
            <v>Payroll Taxes</v>
          </cell>
          <cell r="E260">
            <v>5936.87</v>
          </cell>
          <cell r="F260">
            <v>3515.19</v>
          </cell>
          <cell r="G260">
            <v>4535.6499999999996</v>
          </cell>
          <cell r="H260">
            <v>4653.75</v>
          </cell>
          <cell r="I260">
            <v>4561.24</v>
          </cell>
          <cell r="J260">
            <v>5119.2299999999996</v>
          </cell>
          <cell r="K260">
            <v>5503.32</v>
          </cell>
          <cell r="L260">
            <v>4465.1099999999997</v>
          </cell>
          <cell r="M260">
            <v>4260.3100000000004</v>
          </cell>
          <cell r="N260">
            <v>4002.25</v>
          </cell>
          <cell r="O260">
            <v>5640.4</v>
          </cell>
          <cell r="P260">
            <v>3070</v>
          </cell>
          <cell r="Q260">
            <v>55263.32</v>
          </cell>
        </row>
        <row r="261">
          <cell r="A261">
            <v>52060</v>
          </cell>
          <cell r="B261" t="str">
            <v>Group Insurance</v>
          </cell>
          <cell r="E261">
            <v>-159</v>
          </cell>
          <cell r="F261">
            <v>-159</v>
          </cell>
          <cell r="G261">
            <v>561.5</v>
          </cell>
          <cell r="H261">
            <v>720.5</v>
          </cell>
          <cell r="I261">
            <v>641</v>
          </cell>
          <cell r="J261">
            <v>641</v>
          </cell>
          <cell r="K261">
            <v>641</v>
          </cell>
          <cell r="L261">
            <v>641</v>
          </cell>
          <cell r="M261">
            <v>561.5</v>
          </cell>
          <cell r="N261">
            <v>720.5</v>
          </cell>
          <cell r="O261">
            <v>641</v>
          </cell>
          <cell r="P261">
            <v>511.58</v>
          </cell>
          <cell r="Q261">
            <v>5962.58</v>
          </cell>
        </row>
        <row r="262">
          <cell r="A262">
            <v>52065</v>
          </cell>
          <cell r="B262" t="str">
            <v>Vacation Pay</v>
          </cell>
          <cell r="E262">
            <v>5737.5</v>
          </cell>
          <cell r="F262">
            <v>2090.71</v>
          </cell>
          <cell r="G262">
            <v>1979.73</v>
          </cell>
          <cell r="H262">
            <v>3044.17</v>
          </cell>
          <cell r="I262">
            <v>1571.02</v>
          </cell>
          <cell r="J262">
            <v>4642.26</v>
          </cell>
          <cell r="K262">
            <v>3319.05</v>
          </cell>
          <cell r="L262">
            <v>1557.75</v>
          </cell>
          <cell r="M262">
            <v>5888.63</v>
          </cell>
          <cell r="N262">
            <v>2065.0500000000002</v>
          </cell>
          <cell r="O262">
            <v>3190.34</v>
          </cell>
          <cell r="P262">
            <v>2387</v>
          </cell>
          <cell r="Q262">
            <v>37473.21</v>
          </cell>
        </row>
        <row r="263">
          <cell r="A263">
            <v>52070</v>
          </cell>
          <cell r="B263" t="str">
            <v>Sick Pay</v>
          </cell>
          <cell r="E263">
            <v>0</v>
          </cell>
          <cell r="F263">
            <v>0</v>
          </cell>
          <cell r="G263">
            <v>111.2</v>
          </cell>
          <cell r="H263">
            <v>903.6</v>
          </cell>
          <cell r="I263">
            <v>-301.2</v>
          </cell>
          <cell r="J263">
            <v>114.8</v>
          </cell>
          <cell r="K263">
            <v>229.6</v>
          </cell>
          <cell r="L263">
            <v>-114.8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943.2</v>
          </cell>
        </row>
        <row r="264">
          <cell r="A264">
            <v>52086</v>
          </cell>
          <cell r="B264" t="str">
            <v>Safety and Training</v>
          </cell>
          <cell r="E264">
            <v>313.67</v>
          </cell>
          <cell r="F264">
            <v>337.9</v>
          </cell>
          <cell r="G264">
            <v>464.12</v>
          </cell>
          <cell r="H264">
            <v>898.81</v>
          </cell>
          <cell r="I264">
            <v>1000.19</v>
          </cell>
          <cell r="J264">
            <v>951.13</v>
          </cell>
          <cell r="K264">
            <v>348.03</v>
          </cell>
          <cell r="L264">
            <v>1085.5</v>
          </cell>
          <cell r="M264">
            <v>0</v>
          </cell>
          <cell r="N264">
            <v>252.45</v>
          </cell>
          <cell r="O264">
            <v>0</v>
          </cell>
          <cell r="P264">
            <v>1352.06</v>
          </cell>
          <cell r="Q264">
            <v>7003.8600000000006</v>
          </cell>
        </row>
        <row r="265">
          <cell r="A265">
            <v>52087</v>
          </cell>
          <cell r="B265" t="str">
            <v>Drug Screening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A266">
            <v>52090</v>
          </cell>
          <cell r="B266" t="str">
            <v>Uniforms</v>
          </cell>
          <cell r="E266">
            <v>300.83</v>
          </cell>
          <cell r="F266">
            <v>353.71</v>
          </cell>
          <cell r="G266">
            <v>389.7</v>
          </cell>
          <cell r="H266">
            <v>320.22000000000003</v>
          </cell>
          <cell r="I266">
            <v>296.99</v>
          </cell>
          <cell r="J266">
            <v>450.43</v>
          </cell>
          <cell r="K266">
            <v>428.66</v>
          </cell>
          <cell r="L266">
            <v>1034.03</v>
          </cell>
          <cell r="M266">
            <v>250.15</v>
          </cell>
          <cell r="N266">
            <v>3123.18</v>
          </cell>
          <cell r="O266">
            <v>276.32</v>
          </cell>
          <cell r="P266">
            <v>308.07</v>
          </cell>
          <cell r="Q266">
            <v>7532.2899999999991</v>
          </cell>
        </row>
        <row r="267">
          <cell r="A267">
            <v>52115</v>
          </cell>
          <cell r="B267" t="str">
            <v>Pension and Profit Sharing</v>
          </cell>
          <cell r="E267">
            <v>4010.46</v>
          </cell>
          <cell r="F267">
            <v>3565.56</v>
          </cell>
          <cell r="G267">
            <v>3834.74</v>
          </cell>
          <cell r="H267">
            <v>3873.02</v>
          </cell>
          <cell r="I267">
            <v>3977.37</v>
          </cell>
          <cell r="J267">
            <v>4220.3500000000004</v>
          </cell>
          <cell r="K267">
            <v>4228.8599999999997</v>
          </cell>
          <cell r="L267">
            <v>4197.5600000000004</v>
          </cell>
          <cell r="M267">
            <v>4257.6400000000003</v>
          </cell>
          <cell r="N267">
            <v>4035.58</v>
          </cell>
          <cell r="O267">
            <v>4052.24</v>
          </cell>
          <cell r="P267">
            <v>3832.52</v>
          </cell>
          <cell r="Q267">
            <v>48085.9</v>
          </cell>
        </row>
        <row r="268">
          <cell r="A268">
            <v>52116</v>
          </cell>
          <cell r="B268" t="str">
            <v>Union Benefit Expense</v>
          </cell>
          <cell r="E268">
            <v>11221.99</v>
          </cell>
          <cell r="F268">
            <v>11221.61</v>
          </cell>
          <cell r="G268">
            <v>8963.65</v>
          </cell>
          <cell r="H268">
            <v>10117.1</v>
          </cell>
          <cell r="I268">
            <v>10108.799999999999</v>
          </cell>
          <cell r="J268">
            <v>10108.799999999999</v>
          </cell>
          <cell r="K268">
            <v>10108.799999999999</v>
          </cell>
          <cell r="L268">
            <v>10108.799999999999</v>
          </cell>
          <cell r="M268">
            <v>10102.129999999999</v>
          </cell>
          <cell r="N268">
            <v>10118.73</v>
          </cell>
          <cell r="O268">
            <v>8978.93</v>
          </cell>
          <cell r="P268">
            <v>9916.0499999999993</v>
          </cell>
          <cell r="Q268">
            <v>121075.39</v>
          </cell>
        </row>
        <row r="269">
          <cell r="A269">
            <v>52117</v>
          </cell>
          <cell r="B269" t="str">
            <v>Union Pension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A270">
            <v>52120</v>
          </cell>
          <cell r="B270" t="str">
            <v>Parts and Materials</v>
          </cell>
          <cell r="E270">
            <v>41193.56</v>
          </cell>
          <cell r="F270">
            <v>42024.94</v>
          </cell>
          <cell r="G270">
            <v>38734.660000000003</v>
          </cell>
          <cell r="H270">
            <v>21757.73</v>
          </cell>
          <cell r="I270">
            <v>38676.519999999997</v>
          </cell>
          <cell r="J270">
            <v>21919.95</v>
          </cell>
          <cell r="K270">
            <v>34237.410000000003</v>
          </cell>
          <cell r="L270">
            <v>36723.200000000004</v>
          </cell>
          <cell r="M270">
            <v>30874.03</v>
          </cell>
          <cell r="N270">
            <v>23554.1</v>
          </cell>
          <cell r="O270">
            <v>38660.959999999999</v>
          </cell>
          <cell r="P270">
            <v>71007.829999999987</v>
          </cell>
          <cell r="Q270">
            <v>439364.89</v>
          </cell>
        </row>
        <row r="271">
          <cell r="A271">
            <v>52125</v>
          </cell>
          <cell r="B271" t="str">
            <v>Operating Supplies</v>
          </cell>
          <cell r="E271">
            <v>450.54</v>
          </cell>
          <cell r="F271">
            <v>864.08</v>
          </cell>
          <cell r="G271">
            <v>1556.99</v>
          </cell>
          <cell r="H271">
            <v>537.54</v>
          </cell>
          <cell r="I271">
            <v>1099.93</v>
          </cell>
          <cell r="J271">
            <v>712.27</v>
          </cell>
          <cell r="K271">
            <v>5197.97</v>
          </cell>
          <cell r="L271">
            <v>-137.46</v>
          </cell>
          <cell r="M271">
            <v>1851.48</v>
          </cell>
          <cell r="N271">
            <v>2157.91</v>
          </cell>
          <cell r="O271">
            <v>2427.54</v>
          </cell>
          <cell r="P271">
            <v>1259.3</v>
          </cell>
          <cell r="Q271">
            <v>17978.09</v>
          </cell>
        </row>
        <row r="272">
          <cell r="A272">
            <v>52135</v>
          </cell>
          <cell r="B272" t="str">
            <v>Equipment and Maint Repair</v>
          </cell>
          <cell r="E272">
            <v>1311.54</v>
          </cell>
          <cell r="F272">
            <v>0</v>
          </cell>
          <cell r="G272">
            <v>1331.95</v>
          </cell>
          <cell r="H272">
            <v>2045.95</v>
          </cell>
          <cell r="I272">
            <v>0</v>
          </cell>
          <cell r="J272">
            <v>829.81</v>
          </cell>
          <cell r="K272">
            <v>0</v>
          </cell>
          <cell r="L272">
            <v>606.65</v>
          </cell>
          <cell r="M272">
            <v>0</v>
          </cell>
          <cell r="N272">
            <v>19.89</v>
          </cell>
          <cell r="O272">
            <v>0</v>
          </cell>
          <cell r="P272">
            <v>4997.33</v>
          </cell>
          <cell r="Q272">
            <v>11143.119999999999</v>
          </cell>
        </row>
        <row r="273">
          <cell r="A273">
            <v>52140</v>
          </cell>
          <cell r="B273" t="str">
            <v>Tires</v>
          </cell>
          <cell r="E273">
            <v>10747.01</v>
          </cell>
          <cell r="F273">
            <v>20260.900000000001</v>
          </cell>
          <cell r="G273">
            <v>12967.76</v>
          </cell>
          <cell r="H273">
            <v>15725.04</v>
          </cell>
          <cell r="I273">
            <v>18198.22</v>
          </cell>
          <cell r="J273">
            <v>22108.07</v>
          </cell>
          <cell r="K273">
            <v>15799.4</v>
          </cell>
          <cell r="L273">
            <v>23775.3</v>
          </cell>
          <cell r="M273">
            <v>38329.33</v>
          </cell>
          <cell r="N273">
            <v>6596.26</v>
          </cell>
          <cell r="O273">
            <v>14714.42</v>
          </cell>
          <cell r="P273">
            <v>23906.22</v>
          </cell>
          <cell r="Q273">
            <v>223127.93</v>
          </cell>
        </row>
        <row r="274">
          <cell r="A274">
            <v>52142</v>
          </cell>
          <cell r="B274" t="str">
            <v>Fuel Expense</v>
          </cell>
          <cell r="E274">
            <v>90672.87</v>
          </cell>
          <cell r="F274">
            <v>84188.88</v>
          </cell>
          <cell r="G274">
            <v>96017.58</v>
          </cell>
          <cell r="H274">
            <v>104369.3</v>
          </cell>
          <cell r="I274">
            <v>97844</v>
          </cell>
          <cell r="J274">
            <v>100692.82</v>
          </cell>
          <cell r="K274">
            <v>101529.68</v>
          </cell>
          <cell r="L274">
            <v>100169.49</v>
          </cell>
          <cell r="M274">
            <v>104198.62999999999</v>
          </cell>
          <cell r="N274">
            <v>102536.13</v>
          </cell>
          <cell r="O274">
            <v>101351.78</v>
          </cell>
          <cell r="P274">
            <v>108470.82</v>
          </cell>
          <cell r="Q274">
            <v>1192041.98</v>
          </cell>
        </row>
        <row r="275">
          <cell r="A275">
            <v>52143</v>
          </cell>
          <cell r="B275" t="str">
            <v>Transmontagne Fuel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>
            <v>52144</v>
          </cell>
          <cell r="B276" t="str">
            <v>Urea Expense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>
            <v>52146</v>
          </cell>
          <cell r="B277" t="str">
            <v>Oil and Grease</v>
          </cell>
          <cell r="E277">
            <v>1875.42</v>
          </cell>
          <cell r="F277">
            <v>3140.6</v>
          </cell>
          <cell r="G277">
            <v>5599.47</v>
          </cell>
          <cell r="H277">
            <v>2698.4</v>
          </cell>
          <cell r="I277">
            <v>3948.29</v>
          </cell>
          <cell r="J277">
            <v>2749.6</v>
          </cell>
          <cell r="K277">
            <v>7146.81</v>
          </cell>
          <cell r="L277">
            <v>2889.82</v>
          </cell>
          <cell r="M277">
            <v>9639.18</v>
          </cell>
          <cell r="N277">
            <v>6672.23</v>
          </cell>
          <cell r="O277">
            <v>11463.27</v>
          </cell>
          <cell r="P277">
            <v>-1288.0899999999999</v>
          </cell>
          <cell r="Q277">
            <v>56535</v>
          </cell>
        </row>
        <row r="278">
          <cell r="A278">
            <v>52147</v>
          </cell>
          <cell r="B278" t="str">
            <v>Outside Repairs</v>
          </cell>
          <cell r="E278">
            <v>8076.3899999999994</v>
          </cell>
          <cell r="F278">
            <v>4057.67</v>
          </cell>
          <cell r="G278">
            <v>2887.37</v>
          </cell>
          <cell r="H278">
            <v>4718.95</v>
          </cell>
          <cell r="I278">
            <v>7256.5</v>
          </cell>
          <cell r="J278">
            <v>4191.84</v>
          </cell>
          <cell r="K278">
            <v>8112.14</v>
          </cell>
          <cell r="L278">
            <v>5106.9299999999994</v>
          </cell>
          <cell r="M278">
            <v>11697.4</v>
          </cell>
          <cell r="N278">
            <v>2871.95</v>
          </cell>
          <cell r="O278">
            <v>2463.9499999999998</v>
          </cell>
          <cell r="P278">
            <v>2818.3500000000004</v>
          </cell>
          <cell r="Q278">
            <v>64259.439999999995</v>
          </cell>
        </row>
        <row r="279">
          <cell r="A279">
            <v>52148</v>
          </cell>
          <cell r="B279" t="str">
            <v>Allocated Exp In - District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>
            <v>52149</v>
          </cell>
          <cell r="B280" t="str">
            <v>Allocated Exp In Out - District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A281">
            <v>52150</v>
          </cell>
          <cell r="B281" t="str">
            <v>Utilities</v>
          </cell>
          <cell r="E281">
            <v>3181.16</v>
          </cell>
          <cell r="F281">
            <v>2292.6799999999998</v>
          </cell>
          <cell r="G281">
            <v>2139.2399999999998</v>
          </cell>
          <cell r="H281">
            <v>1852.79</v>
          </cell>
          <cell r="I281">
            <v>1236.6600000000001</v>
          </cell>
          <cell r="J281">
            <v>1066.23</v>
          </cell>
          <cell r="K281">
            <v>890.6</v>
          </cell>
          <cell r="L281">
            <v>864.21</v>
          </cell>
          <cell r="M281">
            <v>875.77</v>
          </cell>
          <cell r="N281">
            <v>889.61</v>
          </cell>
          <cell r="O281">
            <v>1635.02</v>
          </cell>
          <cell r="P281">
            <v>2991.91</v>
          </cell>
          <cell r="Q281">
            <v>19915.88</v>
          </cell>
        </row>
        <row r="282">
          <cell r="A282">
            <v>52165</v>
          </cell>
          <cell r="B282" t="str">
            <v>Communications</v>
          </cell>
          <cell r="E282">
            <v>1324.81</v>
          </cell>
          <cell r="F282">
            <v>1312.75</v>
          </cell>
          <cell r="G282">
            <v>1300.6099999999999</v>
          </cell>
          <cell r="H282">
            <v>1324.91</v>
          </cell>
          <cell r="I282">
            <v>1652.06</v>
          </cell>
          <cell r="J282">
            <v>1336.3</v>
          </cell>
          <cell r="K282">
            <v>1291.19</v>
          </cell>
          <cell r="L282">
            <v>1252.44</v>
          </cell>
          <cell r="M282">
            <v>1871.82</v>
          </cell>
          <cell r="N282">
            <v>1105.6099999999999</v>
          </cell>
          <cell r="O282">
            <v>1351.41</v>
          </cell>
          <cell r="P282">
            <v>1424.14</v>
          </cell>
          <cell r="Q282">
            <v>16548.05</v>
          </cell>
        </row>
        <row r="283">
          <cell r="A283">
            <v>52170</v>
          </cell>
          <cell r="B283" t="str">
            <v>Real Estate Rentals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>
            <v>52172</v>
          </cell>
          <cell r="B284" t="str">
            <v>Chassis Lease Expense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>
            <v>52175</v>
          </cell>
          <cell r="B285" t="str">
            <v>Equip/Vehicle Rental</v>
          </cell>
          <cell r="E285">
            <v>230.74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230.74</v>
          </cell>
        </row>
        <row r="286">
          <cell r="A286">
            <v>52181</v>
          </cell>
          <cell r="B286" t="str">
            <v>Freight</v>
          </cell>
          <cell r="E286">
            <v>0</v>
          </cell>
          <cell r="F286">
            <v>0</v>
          </cell>
          <cell r="G286">
            <v>0</v>
          </cell>
          <cell r="H286">
            <v>16.23</v>
          </cell>
          <cell r="I286">
            <v>369.59000000000003</v>
          </cell>
          <cell r="J286">
            <v>0</v>
          </cell>
          <cell r="K286">
            <v>0</v>
          </cell>
          <cell r="L286">
            <v>95.38</v>
          </cell>
          <cell r="M286">
            <v>0</v>
          </cell>
          <cell r="N286">
            <v>0</v>
          </cell>
          <cell r="O286">
            <v>0</v>
          </cell>
          <cell r="P286">
            <v>103.97</v>
          </cell>
          <cell r="Q286">
            <v>585.17000000000007</v>
          </cell>
        </row>
        <row r="287">
          <cell r="A287">
            <v>52182</v>
          </cell>
          <cell r="B287" t="str">
            <v>Towing Expense</v>
          </cell>
          <cell r="E287">
            <v>455.28</v>
          </cell>
          <cell r="F287">
            <v>428.18</v>
          </cell>
          <cell r="G287">
            <v>195.12</v>
          </cell>
          <cell r="H287">
            <v>627.72</v>
          </cell>
          <cell r="I287">
            <v>1626</v>
          </cell>
          <cell r="J287">
            <v>0</v>
          </cell>
          <cell r="K287">
            <v>569.1</v>
          </cell>
          <cell r="L287">
            <v>0</v>
          </cell>
          <cell r="M287">
            <v>238.48</v>
          </cell>
          <cell r="N287">
            <v>0</v>
          </cell>
          <cell r="O287">
            <v>661.24</v>
          </cell>
          <cell r="P287">
            <v>514.9</v>
          </cell>
          <cell r="Q287">
            <v>5316.0199999999995</v>
          </cell>
        </row>
        <row r="288">
          <cell r="A288">
            <v>52185</v>
          </cell>
          <cell r="B288" t="str">
            <v>Travel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</row>
        <row r="289">
          <cell r="A289">
            <v>52200</v>
          </cell>
          <cell r="B289" t="str">
            <v>Office Supply and Equip</v>
          </cell>
          <cell r="E289">
            <v>302.27999999999997</v>
          </cell>
          <cell r="F289">
            <v>504.92</v>
          </cell>
          <cell r="G289">
            <v>245.31</v>
          </cell>
          <cell r="H289">
            <v>1615.6</v>
          </cell>
          <cell r="I289">
            <v>152.86000000000001</v>
          </cell>
          <cell r="J289">
            <v>155.44</v>
          </cell>
          <cell r="K289">
            <v>66.27</v>
          </cell>
          <cell r="L289">
            <v>678.01</v>
          </cell>
          <cell r="M289">
            <v>154.47999999999999</v>
          </cell>
          <cell r="N289">
            <v>1193.94</v>
          </cell>
          <cell r="O289">
            <v>147.13</v>
          </cell>
          <cell r="P289">
            <v>809.46</v>
          </cell>
          <cell r="Q289">
            <v>6025.7</v>
          </cell>
        </row>
        <row r="290">
          <cell r="A290">
            <v>52275</v>
          </cell>
          <cell r="B290" t="str">
            <v>Property Taxes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A291">
            <v>52335</v>
          </cell>
          <cell r="B291" t="str">
            <v>Miscellaneous</v>
          </cell>
          <cell r="E291">
            <v>27</v>
          </cell>
          <cell r="F291">
            <v>0</v>
          </cell>
          <cell r="G291">
            <v>13.5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40.5</v>
          </cell>
        </row>
        <row r="292">
          <cell r="A292">
            <v>52900</v>
          </cell>
          <cell r="B292" t="str">
            <v>Capitalized Costs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52901</v>
          </cell>
          <cell r="B293" t="str">
            <v>Costs Awaiting Capitilization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52998</v>
          </cell>
          <cell r="B294" t="str">
            <v>Allocation Out - District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52999</v>
          </cell>
          <cell r="B295" t="str">
            <v>Allocation Out - Out District</v>
          </cell>
          <cell r="E295">
            <v>-8839.42</v>
          </cell>
          <cell r="F295">
            <v>-11223.85</v>
          </cell>
          <cell r="G295">
            <v>-12345.57</v>
          </cell>
          <cell r="H295">
            <v>-17818.71</v>
          </cell>
          <cell r="I295">
            <v>-8260.7000000000007</v>
          </cell>
          <cell r="J295">
            <v>-18104.939999999999</v>
          </cell>
          <cell r="K295">
            <v>-8429.56</v>
          </cell>
          <cell r="L295">
            <v>-12829.3</v>
          </cell>
          <cell r="M295">
            <v>-6149.56</v>
          </cell>
          <cell r="N295">
            <v>-5808.26</v>
          </cell>
          <cell r="O295">
            <v>-5947.92</v>
          </cell>
          <cell r="P295">
            <v>-45343.87</v>
          </cell>
          <cell r="Q295">
            <v>-161101.66</v>
          </cell>
        </row>
        <row r="296">
          <cell r="A296" t="str">
            <v>Total Truck Variable</v>
          </cell>
          <cell r="E296">
            <v>228977.27999999997</v>
          </cell>
          <cell r="F296">
            <v>205622.06000000003</v>
          </cell>
          <cell r="G296">
            <v>219279.73999999996</v>
          </cell>
          <cell r="H296">
            <v>210675.40000000005</v>
          </cell>
          <cell r="I296">
            <v>225803.05999999997</v>
          </cell>
          <cell r="J296">
            <v>201182.51</v>
          </cell>
          <cell r="K296">
            <v>241614.46</v>
          </cell>
          <cell r="L296">
            <v>225220.32000000004</v>
          </cell>
          <cell r="M296">
            <v>262765.23</v>
          </cell>
          <cell r="N296">
            <v>211264.55</v>
          </cell>
          <cell r="O296">
            <v>238591.60999999996</v>
          </cell>
          <cell r="P296">
            <v>240660.66999999993</v>
          </cell>
          <cell r="Q296">
            <v>2711656.8899999997</v>
          </cell>
        </row>
        <row r="298">
          <cell r="A298" t="str">
            <v>Container</v>
          </cell>
        </row>
        <row r="299">
          <cell r="A299">
            <v>54148</v>
          </cell>
          <cell r="B299" t="str">
            <v>Allocation In - District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A300">
            <v>54149</v>
          </cell>
          <cell r="B300" t="str">
            <v>Allocation In - Out District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A301">
            <v>54175</v>
          </cell>
          <cell r="B301" t="str">
            <v>Equipment/Vehicle Rental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A302">
            <v>54275</v>
          </cell>
          <cell r="B302" t="str">
            <v>Property Taxes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A303">
            <v>54335</v>
          </cell>
          <cell r="B303" t="str">
            <v>Miscellaneous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>
            <v>54998</v>
          </cell>
          <cell r="B304" t="str">
            <v>Allocation Out - District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A305">
            <v>54999</v>
          </cell>
          <cell r="B305" t="str">
            <v>Allocation Out - Out District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A306">
            <v>55010</v>
          </cell>
          <cell r="B306" t="str">
            <v>Salaries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A307">
            <v>55020</v>
          </cell>
          <cell r="B307" t="str">
            <v>Wages Regular</v>
          </cell>
          <cell r="E307">
            <v>4237.87</v>
          </cell>
          <cell r="F307">
            <v>3645.1</v>
          </cell>
          <cell r="G307">
            <v>5053.71</v>
          </cell>
          <cell r="H307">
            <v>3782.98</v>
          </cell>
          <cell r="I307">
            <v>4116.55</v>
          </cell>
          <cell r="J307">
            <v>4866.5600000000004</v>
          </cell>
          <cell r="K307">
            <v>3450.41</v>
          </cell>
          <cell r="L307">
            <v>-895.79</v>
          </cell>
          <cell r="M307">
            <v>2790.36</v>
          </cell>
          <cell r="N307">
            <v>2211.17</v>
          </cell>
          <cell r="O307">
            <v>1382.48</v>
          </cell>
          <cell r="P307">
            <v>2606.41</v>
          </cell>
          <cell r="Q307">
            <v>37247.81</v>
          </cell>
        </row>
        <row r="308">
          <cell r="A308">
            <v>55025</v>
          </cell>
          <cell r="B308" t="str">
            <v>Wages O.T.</v>
          </cell>
          <cell r="E308">
            <v>207.52</v>
          </cell>
          <cell r="F308">
            <v>12.82</v>
          </cell>
          <cell r="G308">
            <v>38.619999999999997</v>
          </cell>
          <cell r="H308">
            <v>37.99</v>
          </cell>
          <cell r="I308">
            <v>485</v>
          </cell>
          <cell r="J308">
            <v>319.70999999999998</v>
          </cell>
          <cell r="K308">
            <v>215.61</v>
          </cell>
          <cell r="L308">
            <v>-99.64</v>
          </cell>
          <cell r="M308">
            <v>16.27</v>
          </cell>
          <cell r="N308">
            <v>59.9</v>
          </cell>
          <cell r="O308">
            <v>192.29</v>
          </cell>
          <cell r="P308">
            <v>-41.94</v>
          </cell>
          <cell r="Q308">
            <v>1444.1499999999999</v>
          </cell>
        </row>
        <row r="309">
          <cell r="A309">
            <v>55035</v>
          </cell>
          <cell r="B309" t="str">
            <v>Safety Bonuses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A310">
            <v>55036</v>
          </cell>
          <cell r="B310" t="str">
            <v>Other Bonus/Commission - Non-Safety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A311">
            <v>55045</v>
          </cell>
          <cell r="B311" t="str">
            <v>Contract Labor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>
            <v>55050</v>
          </cell>
          <cell r="B312" t="str">
            <v>Payroll Taxes</v>
          </cell>
          <cell r="E312">
            <v>526.11</v>
          </cell>
          <cell r="F312">
            <v>376.89</v>
          </cell>
          <cell r="G312">
            <v>487.16</v>
          </cell>
          <cell r="H312">
            <v>433.36</v>
          </cell>
          <cell r="I312">
            <v>441.95</v>
          </cell>
          <cell r="J312">
            <v>479.57</v>
          </cell>
          <cell r="K312">
            <v>386.21</v>
          </cell>
          <cell r="L312">
            <v>296.14999999999998</v>
          </cell>
          <cell r="M312">
            <v>200.44</v>
          </cell>
          <cell r="N312">
            <v>209.02</v>
          </cell>
          <cell r="O312">
            <v>287.25</v>
          </cell>
          <cell r="P312">
            <v>160.52000000000001</v>
          </cell>
          <cell r="Q312">
            <v>4284.630000000001</v>
          </cell>
        </row>
        <row r="313">
          <cell r="A313">
            <v>55060</v>
          </cell>
          <cell r="B313" t="str">
            <v>Group Insurance</v>
          </cell>
          <cell r="E313">
            <v>592</v>
          </cell>
          <cell r="F313">
            <v>592</v>
          </cell>
          <cell r="G313">
            <v>488</v>
          </cell>
          <cell r="H313">
            <v>696</v>
          </cell>
          <cell r="I313">
            <v>592</v>
          </cell>
          <cell r="J313">
            <v>592</v>
          </cell>
          <cell r="K313">
            <v>592</v>
          </cell>
          <cell r="L313">
            <v>592</v>
          </cell>
          <cell r="M313">
            <v>589</v>
          </cell>
          <cell r="N313">
            <v>693</v>
          </cell>
          <cell r="O313">
            <v>641</v>
          </cell>
          <cell r="P313">
            <v>641</v>
          </cell>
          <cell r="Q313">
            <v>7300</v>
          </cell>
        </row>
        <row r="314">
          <cell r="A314">
            <v>55065</v>
          </cell>
          <cell r="B314" t="str">
            <v>Vacation Pay</v>
          </cell>
          <cell r="E314">
            <v>1530.51</v>
          </cell>
          <cell r="F314">
            <v>299.68</v>
          </cell>
          <cell r="G314">
            <v>-333.52</v>
          </cell>
          <cell r="H314">
            <v>791.16</v>
          </cell>
          <cell r="I314">
            <v>342.62</v>
          </cell>
          <cell r="J314">
            <v>95.96</v>
          </cell>
          <cell r="K314">
            <v>412.42</v>
          </cell>
          <cell r="L314">
            <v>663.21</v>
          </cell>
          <cell r="M314">
            <v>-476.38</v>
          </cell>
          <cell r="N314">
            <v>100.96</v>
          </cell>
          <cell r="O314">
            <v>-21.16</v>
          </cell>
          <cell r="P314">
            <v>202.89</v>
          </cell>
          <cell r="Q314">
            <v>3608.35</v>
          </cell>
        </row>
        <row r="315">
          <cell r="A315">
            <v>55070</v>
          </cell>
          <cell r="B315" t="str">
            <v>Sick Pay</v>
          </cell>
          <cell r="E315">
            <v>0</v>
          </cell>
          <cell r="F315">
            <v>106.8</v>
          </cell>
          <cell r="G315">
            <v>0</v>
          </cell>
          <cell r="H315">
            <v>207</v>
          </cell>
          <cell r="I315">
            <v>107.64</v>
          </cell>
          <cell r="J315">
            <v>-66.239999999999995</v>
          </cell>
          <cell r="K315">
            <v>386.4</v>
          </cell>
          <cell r="L315">
            <v>0</v>
          </cell>
          <cell r="M315">
            <v>0</v>
          </cell>
          <cell r="N315">
            <v>0</v>
          </cell>
          <cell r="O315">
            <v>1048.8</v>
          </cell>
          <cell r="P315">
            <v>-386.4</v>
          </cell>
          <cell r="Q315">
            <v>1404</v>
          </cell>
        </row>
        <row r="316">
          <cell r="A316">
            <v>55086</v>
          </cell>
          <cell r="B316" t="str">
            <v>Safety and Training</v>
          </cell>
          <cell r="E316">
            <v>0</v>
          </cell>
          <cell r="F316">
            <v>0</v>
          </cell>
          <cell r="G316">
            <v>0</v>
          </cell>
          <cell r="H316">
            <v>102.92</v>
          </cell>
          <cell r="I316">
            <v>87.01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25</v>
          </cell>
          <cell r="O316">
            <v>0</v>
          </cell>
          <cell r="P316">
            <v>0</v>
          </cell>
          <cell r="Q316">
            <v>214.93</v>
          </cell>
        </row>
        <row r="317">
          <cell r="A317">
            <v>55090</v>
          </cell>
          <cell r="B317" t="str">
            <v>Uniforms</v>
          </cell>
          <cell r="E317">
            <v>150.38</v>
          </cell>
          <cell r="F317">
            <v>176.83</v>
          </cell>
          <cell r="G317">
            <v>194.81</v>
          </cell>
          <cell r="H317">
            <v>160.08000000000001</v>
          </cell>
          <cell r="I317">
            <v>148.47</v>
          </cell>
          <cell r="J317">
            <v>225.16</v>
          </cell>
          <cell r="K317">
            <v>214.31</v>
          </cell>
          <cell r="L317">
            <v>616.44000000000005</v>
          </cell>
          <cell r="M317">
            <v>125.04</v>
          </cell>
          <cell r="N317">
            <v>178.98</v>
          </cell>
          <cell r="O317">
            <v>138.13999999999999</v>
          </cell>
          <cell r="P317">
            <v>154.04</v>
          </cell>
          <cell r="Q317">
            <v>2482.6799999999998</v>
          </cell>
        </row>
        <row r="318">
          <cell r="A318">
            <v>55115</v>
          </cell>
          <cell r="B318" t="str">
            <v>Pension and Profit Sharing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</row>
        <row r="319">
          <cell r="A319">
            <v>55116</v>
          </cell>
          <cell r="B319" t="str">
            <v>Union Benefit Expense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>
            <v>55117</v>
          </cell>
          <cell r="B320" t="str">
            <v>Union Pension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A321">
            <v>55120</v>
          </cell>
          <cell r="B321" t="str">
            <v>Parts and Materials</v>
          </cell>
          <cell r="E321">
            <v>8487.7999999999993</v>
          </cell>
          <cell r="F321">
            <v>7446.84</v>
          </cell>
          <cell r="G321">
            <v>15850.27</v>
          </cell>
          <cell r="H321">
            <v>18201.75</v>
          </cell>
          <cell r="I321">
            <v>9184.14</v>
          </cell>
          <cell r="J321">
            <v>13165.81</v>
          </cell>
          <cell r="K321">
            <v>11588.02</v>
          </cell>
          <cell r="L321">
            <v>15366.43</v>
          </cell>
          <cell r="M321">
            <v>-29929.23</v>
          </cell>
          <cell r="N321">
            <v>8572.4699999999993</v>
          </cell>
          <cell r="O321">
            <v>2939.21</v>
          </cell>
          <cell r="P321">
            <v>7744.74</v>
          </cell>
          <cell r="Q321">
            <v>88618.250000000015</v>
          </cell>
        </row>
        <row r="322">
          <cell r="A322">
            <v>55125</v>
          </cell>
          <cell r="B322" t="str">
            <v>Operating Supplies</v>
          </cell>
          <cell r="E322">
            <v>625.29999999999995</v>
          </cell>
          <cell r="F322">
            <v>287.99</v>
          </cell>
          <cell r="G322">
            <v>0</v>
          </cell>
          <cell r="H322">
            <v>809.74</v>
          </cell>
          <cell r="I322">
            <v>404.7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64.819999999999993</v>
          </cell>
          <cell r="P322">
            <v>0</v>
          </cell>
          <cell r="Q322">
            <v>2192.5500000000002</v>
          </cell>
        </row>
        <row r="323">
          <cell r="A323">
            <v>55135</v>
          </cell>
          <cell r="B323" t="str">
            <v>Equipment and Maint Repair</v>
          </cell>
          <cell r="E323">
            <v>0</v>
          </cell>
          <cell r="F323">
            <v>321.35000000000002</v>
          </cell>
          <cell r="G323">
            <v>309.18</v>
          </cell>
          <cell r="H323">
            <v>826.48</v>
          </cell>
          <cell r="I323">
            <v>87.89</v>
          </cell>
          <cell r="J323">
            <v>0</v>
          </cell>
          <cell r="K323">
            <v>0</v>
          </cell>
          <cell r="L323">
            <v>0</v>
          </cell>
          <cell r="M323">
            <v>531.54999999999995</v>
          </cell>
          <cell r="N323">
            <v>172.24</v>
          </cell>
          <cell r="O323">
            <v>0</v>
          </cell>
          <cell r="P323">
            <v>250.34</v>
          </cell>
          <cell r="Q323">
            <v>2499.0299999999997</v>
          </cell>
        </row>
        <row r="324">
          <cell r="A324">
            <v>55140</v>
          </cell>
          <cell r="B324" t="str">
            <v>Tires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A325">
            <v>55142</v>
          </cell>
          <cell r="B325" t="str">
            <v>Fuel Expense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>
            <v>55143</v>
          </cell>
          <cell r="B326" t="str">
            <v>Corporate Medical Waste Supplies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A327">
            <v>55146</v>
          </cell>
          <cell r="B327" t="str">
            <v>Oil and Grease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A328">
            <v>55147</v>
          </cell>
          <cell r="B328" t="str">
            <v>Outside Repairs</v>
          </cell>
          <cell r="E328">
            <v>0</v>
          </cell>
          <cell r="F328">
            <v>292.57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292.57</v>
          </cell>
        </row>
        <row r="329">
          <cell r="A329">
            <v>55148</v>
          </cell>
          <cell r="B329" t="str">
            <v>Allocated Exp In - District</v>
          </cell>
          <cell r="E329">
            <v>0</v>
          </cell>
          <cell r="F329">
            <v>116.52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116.52</v>
          </cell>
        </row>
        <row r="330">
          <cell r="A330">
            <v>55149</v>
          </cell>
          <cell r="B330" t="str">
            <v>Allocated Exp In Out - District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>
            <v>55150</v>
          </cell>
          <cell r="B331" t="str">
            <v>Utilities</v>
          </cell>
          <cell r="E331">
            <v>437.73</v>
          </cell>
          <cell r="F331">
            <v>510</v>
          </cell>
          <cell r="G331">
            <v>480.44</v>
          </cell>
          <cell r="H331">
            <v>460.73</v>
          </cell>
          <cell r="I331">
            <v>398.31</v>
          </cell>
          <cell r="J331">
            <v>372.03</v>
          </cell>
          <cell r="K331">
            <v>329.33</v>
          </cell>
          <cell r="L331">
            <v>0</v>
          </cell>
          <cell r="M331">
            <v>370.51</v>
          </cell>
          <cell r="N331">
            <v>344.08</v>
          </cell>
          <cell r="O331">
            <v>368.05</v>
          </cell>
          <cell r="P331">
            <v>368.05</v>
          </cell>
          <cell r="Q331">
            <v>4439.26</v>
          </cell>
        </row>
        <row r="332">
          <cell r="A332">
            <v>55181</v>
          </cell>
          <cell r="B332" t="str">
            <v>Freight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A333">
            <v>55335</v>
          </cell>
          <cell r="B333" t="str">
            <v>Miscellaneous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A334">
            <v>55900</v>
          </cell>
          <cell r="B334" t="str">
            <v>Capitalized Costs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A335">
            <v>55998</v>
          </cell>
          <cell r="B335" t="str">
            <v>Allocation Out - District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A336">
            <v>55999</v>
          </cell>
          <cell r="B336" t="str">
            <v>Allocation Out - Out District</v>
          </cell>
          <cell r="E336">
            <v>-3211.72</v>
          </cell>
          <cell r="F336">
            <v>-1377.44</v>
          </cell>
          <cell r="G336">
            <v>-15514.36</v>
          </cell>
          <cell r="H336">
            <v>-20245.62</v>
          </cell>
          <cell r="I336">
            <v>-8044.68</v>
          </cell>
          <cell r="J336">
            <v>-1309.6400000000001</v>
          </cell>
          <cell r="K336">
            <v>-416.83</v>
          </cell>
          <cell r="L336">
            <v>-3864.87</v>
          </cell>
          <cell r="M336">
            <v>-3105</v>
          </cell>
          <cell r="N336">
            <v>-3070</v>
          </cell>
          <cell r="O336">
            <v>-7561.32</v>
          </cell>
          <cell r="P336">
            <v>-4472.33</v>
          </cell>
          <cell r="Q336">
            <v>-72193.810000000012</v>
          </cell>
        </row>
        <row r="337">
          <cell r="A337" t="str">
            <v>Total Container</v>
          </cell>
          <cell r="E337">
            <v>13583.499999999998</v>
          </cell>
          <cell r="F337">
            <v>12807.949999999999</v>
          </cell>
          <cell r="G337">
            <v>7054.3099999999977</v>
          </cell>
          <cell r="H337">
            <v>6264.57</v>
          </cell>
          <cell r="I337">
            <v>8351.6000000000022</v>
          </cell>
          <cell r="J337">
            <v>18740.919999999998</v>
          </cell>
          <cell r="K337">
            <v>17157.88</v>
          </cell>
          <cell r="L337">
            <v>12673.93</v>
          </cell>
          <cell r="M337">
            <v>-28887.440000000002</v>
          </cell>
          <cell r="N337">
            <v>9496.82</v>
          </cell>
          <cell r="O337">
            <v>-520.4399999999996</v>
          </cell>
          <cell r="P337">
            <v>7227.3199999999979</v>
          </cell>
          <cell r="Q337">
            <v>83950.92</v>
          </cell>
        </row>
        <row r="339">
          <cell r="A339" t="str">
            <v>Supervisor</v>
          </cell>
        </row>
        <row r="340">
          <cell r="A340">
            <v>56010</v>
          </cell>
          <cell r="B340" t="str">
            <v>Salaries</v>
          </cell>
          <cell r="E340">
            <v>8076.93</v>
          </cell>
          <cell r="F340">
            <v>7692.32</v>
          </cell>
          <cell r="G340">
            <v>8846.17</v>
          </cell>
          <cell r="H340">
            <v>8461.56</v>
          </cell>
          <cell r="I340">
            <v>8176.05</v>
          </cell>
          <cell r="J340">
            <v>8565.3799999999992</v>
          </cell>
          <cell r="K340">
            <v>8565.39</v>
          </cell>
          <cell r="L340">
            <v>8565.39</v>
          </cell>
          <cell r="M340">
            <v>8565.39</v>
          </cell>
          <cell r="N340">
            <v>8176.07</v>
          </cell>
          <cell r="O340">
            <v>8565.39</v>
          </cell>
          <cell r="P340">
            <v>8954.7199999999993</v>
          </cell>
          <cell r="Q340">
            <v>101210.76</v>
          </cell>
        </row>
        <row r="341">
          <cell r="A341">
            <v>56020</v>
          </cell>
          <cell r="B341" t="str">
            <v>Wages Regular</v>
          </cell>
          <cell r="E341">
            <v>2832.84</v>
          </cell>
          <cell r="F341">
            <v>5053.68</v>
          </cell>
          <cell r="G341">
            <v>4774.8999999999996</v>
          </cell>
          <cell r="H341">
            <v>4762.42</v>
          </cell>
          <cell r="I341">
            <v>2680.17</v>
          </cell>
          <cell r="J341">
            <v>3378.56</v>
          </cell>
          <cell r="K341">
            <v>5325.53</v>
          </cell>
          <cell r="L341">
            <v>3835.06</v>
          </cell>
          <cell r="M341">
            <v>4435.92</v>
          </cell>
          <cell r="N341">
            <v>4522.72</v>
          </cell>
          <cell r="O341">
            <v>4731.6499999999996</v>
          </cell>
          <cell r="P341">
            <v>4844.54</v>
          </cell>
          <cell r="Q341">
            <v>51177.990000000005</v>
          </cell>
        </row>
        <row r="342">
          <cell r="A342">
            <v>56025</v>
          </cell>
          <cell r="B342" t="str">
            <v>Wages O.T.</v>
          </cell>
          <cell r="E342">
            <v>274.88</v>
          </cell>
          <cell r="F342">
            <v>259.24</v>
          </cell>
          <cell r="G342">
            <v>649.44000000000005</v>
          </cell>
          <cell r="H342">
            <v>504.21</v>
          </cell>
          <cell r="I342">
            <v>341.07</v>
          </cell>
          <cell r="J342">
            <v>196.68</v>
          </cell>
          <cell r="K342">
            <v>716.35</v>
          </cell>
          <cell r="L342">
            <v>71.97</v>
          </cell>
          <cell r="M342">
            <v>716.15</v>
          </cell>
          <cell r="N342">
            <v>388.74</v>
          </cell>
          <cell r="O342">
            <v>560.69000000000005</v>
          </cell>
          <cell r="P342">
            <v>692.62</v>
          </cell>
          <cell r="Q342">
            <v>5372.04</v>
          </cell>
        </row>
        <row r="343">
          <cell r="A343">
            <v>56035</v>
          </cell>
          <cell r="B343" t="str">
            <v>Safety Bonuses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A344">
            <v>56036</v>
          </cell>
          <cell r="B344" t="str">
            <v>Other Bonus/Commission - Non-Safety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A345">
            <v>56037</v>
          </cell>
          <cell r="B345" t="str">
            <v>Termination Pay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A346">
            <v>56045</v>
          </cell>
          <cell r="B346" t="str">
            <v>Contract Labor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2127.6</v>
          </cell>
          <cell r="J346">
            <v>283.68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2411.2799999999997</v>
          </cell>
        </row>
        <row r="347">
          <cell r="A347">
            <v>56050</v>
          </cell>
          <cell r="B347" t="str">
            <v>Payroll Taxes</v>
          </cell>
          <cell r="E347">
            <v>1457.13</v>
          </cell>
          <cell r="F347">
            <v>1086.04</v>
          </cell>
          <cell r="G347">
            <v>1432.76</v>
          </cell>
          <cell r="H347">
            <v>1237.58</v>
          </cell>
          <cell r="I347">
            <v>1015.69</v>
          </cell>
          <cell r="J347">
            <v>1252.47</v>
          </cell>
          <cell r="K347">
            <v>1534.22</v>
          </cell>
          <cell r="L347">
            <v>1138.26</v>
          </cell>
          <cell r="M347">
            <v>1122.4100000000001</v>
          </cell>
          <cell r="N347">
            <v>1083.83</v>
          </cell>
          <cell r="O347">
            <v>1262.81</v>
          </cell>
          <cell r="P347">
            <v>1237.03</v>
          </cell>
          <cell r="Q347">
            <v>14860.230000000001</v>
          </cell>
        </row>
        <row r="348">
          <cell r="A348">
            <v>56060</v>
          </cell>
          <cell r="B348" t="str">
            <v>Group Insurance</v>
          </cell>
          <cell r="E348">
            <v>2260</v>
          </cell>
          <cell r="F348">
            <v>2260</v>
          </cell>
          <cell r="G348">
            <v>2015</v>
          </cell>
          <cell r="H348">
            <v>2505</v>
          </cell>
          <cell r="I348">
            <v>2286.75</v>
          </cell>
          <cell r="J348">
            <v>2260</v>
          </cell>
          <cell r="K348">
            <v>2233.2399999999998</v>
          </cell>
          <cell r="L348">
            <v>2260</v>
          </cell>
          <cell r="M348">
            <v>2015</v>
          </cell>
          <cell r="N348">
            <v>2505</v>
          </cell>
          <cell r="O348">
            <v>2260</v>
          </cell>
          <cell r="P348">
            <v>2260</v>
          </cell>
          <cell r="Q348">
            <v>27119.989999999998</v>
          </cell>
        </row>
        <row r="349">
          <cell r="A349">
            <v>56065</v>
          </cell>
          <cell r="B349" t="str">
            <v>Vacation Pay</v>
          </cell>
          <cell r="E349">
            <v>1525.21</v>
          </cell>
          <cell r="F349">
            <v>-107.25</v>
          </cell>
          <cell r="G349">
            <v>686</v>
          </cell>
          <cell r="H349">
            <v>651.78</v>
          </cell>
          <cell r="I349">
            <v>5006.99</v>
          </cell>
          <cell r="J349">
            <v>-77.53</v>
          </cell>
          <cell r="K349">
            <v>1031.8800000000001</v>
          </cell>
          <cell r="L349">
            <v>1229.18</v>
          </cell>
          <cell r="M349">
            <v>-193.57</v>
          </cell>
          <cell r="N349">
            <v>1097.0899999999999</v>
          </cell>
          <cell r="O349">
            <v>647.59</v>
          </cell>
          <cell r="P349">
            <v>92.16</v>
          </cell>
          <cell r="Q349">
            <v>11589.53</v>
          </cell>
        </row>
        <row r="350">
          <cell r="A350">
            <v>56070</v>
          </cell>
          <cell r="B350" t="str">
            <v>Sick Pay</v>
          </cell>
          <cell r="E350">
            <v>197.6</v>
          </cell>
          <cell r="F350">
            <v>-54.84</v>
          </cell>
          <cell r="G350">
            <v>58.3</v>
          </cell>
          <cell r="H350">
            <v>30.87</v>
          </cell>
          <cell r="I350">
            <v>0</v>
          </cell>
          <cell r="J350">
            <v>421.35</v>
          </cell>
          <cell r="K350">
            <v>0</v>
          </cell>
          <cell r="L350">
            <v>0</v>
          </cell>
          <cell r="M350">
            <v>371.67</v>
          </cell>
          <cell r="N350">
            <v>-106.19</v>
          </cell>
          <cell r="O350">
            <v>333.34</v>
          </cell>
          <cell r="P350">
            <v>-137.26</v>
          </cell>
          <cell r="Q350">
            <v>1114.8399999999999</v>
          </cell>
        </row>
        <row r="351">
          <cell r="A351">
            <v>56086</v>
          </cell>
          <cell r="B351" t="str">
            <v>Safety and Training</v>
          </cell>
          <cell r="E351">
            <v>259.02</v>
          </cell>
          <cell r="F351">
            <v>48.7</v>
          </cell>
          <cell r="G351">
            <v>93.68</v>
          </cell>
          <cell r="H351">
            <v>64.45</v>
          </cell>
          <cell r="I351">
            <v>0</v>
          </cell>
          <cell r="J351">
            <v>194.76</v>
          </cell>
          <cell r="K351">
            <v>1077.77</v>
          </cell>
          <cell r="L351">
            <v>241.93</v>
          </cell>
          <cell r="M351">
            <v>798.35</v>
          </cell>
          <cell r="N351">
            <v>821.91</v>
          </cell>
          <cell r="O351">
            <v>200.16</v>
          </cell>
          <cell r="P351">
            <v>135.97999999999999</v>
          </cell>
          <cell r="Q351">
            <v>3936.7099999999996</v>
          </cell>
        </row>
        <row r="352">
          <cell r="A352">
            <v>56090</v>
          </cell>
          <cell r="B352" t="str">
            <v>Uniforms</v>
          </cell>
          <cell r="E352">
            <v>1795.66</v>
          </cell>
          <cell r="F352">
            <v>143.75</v>
          </cell>
          <cell r="G352">
            <v>1117.68</v>
          </cell>
          <cell r="H352">
            <v>663</v>
          </cell>
          <cell r="I352">
            <v>503.29</v>
          </cell>
          <cell r="J352">
            <v>889.18</v>
          </cell>
          <cell r="K352">
            <v>1081.28</v>
          </cell>
          <cell r="L352">
            <v>680.36</v>
          </cell>
          <cell r="M352">
            <v>906.86</v>
          </cell>
          <cell r="N352">
            <v>144.98000000000002</v>
          </cell>
          <cell r="O352">
            <v>1093.78</v>
          </cell>
          <cell r="P352">
            <v>477.8</v>
          </cell>
          <cell r="Q352">
            <v>9497.619999999999</v>
          </cell>
        </row>
        <row r="353">
          <cell r="A353">
            <v>56095</v>
          </cell>
          <cell r="B353" t="str">
            <v>Empl &amp; Commun Activ</v>
          </cell>
          <cell r="E353">
            <v>727.54</v>
          </cell>
          <cell r="F353">
            <v>-266.95</v>
          </cell>
          <cell r="G353">
            <v>0</v>
          </cell>
          <cell r="H353">
            <v>92.48</v>
          </cell>
          <cell r="I353">
            <v>485.76</v>
          </cell>
          <cell r="J353">
            <v>463.36</v>
          </cell>
          <cell r="K353">
            <v>0</v>
          </cell>
          <cell r="L353">
            <v>0</v>
          </cell>
          <cell r="M353">
            <v>293.06</v>
          </cell>
          <cell r="N353">
            <v>28.73</v>
          </cell>
          <cell r="O353">
            <v>-181.04</v>
          </cell>
          <cell r="P353">
            <v>0</v>
          </cell>
          <cell r="Q353">
            <v>1642.94</v>
          </cell>
        </row>
        <row r="354">
          <cell r="A354">
            <v>56105</v>
          </cell>
          <cell r="B354" t="str">
            <v>Employee Relocation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A355">
            <v>56108</v>
          </cell>
          <cell r="B355" t="str">
            <v>School Tuition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A356">
            <v>56115</v>
          </cell>
          <cell r="B356" t="str">
            <v>Pension and Profit Sharing</v>
          </cell>
          <cell r="E356">
            <v>226.28</v>
          </cell>
          <cell r="F356">
            <v>217.62</v>
          </cell>
          <cell r="G356">
            <v>333.09</v>
          </cell>
          <cell r="H356">
            <v>220.44</v>
          </cell>
          <cell r="I356">
            <v>189.47</v>
          </cell>
          <cell r="J356">
            <v>211.84</v>
          </cell>
          <cell r="K356">
            <v>270.73</v>
          </cell>
          <cell r="L356">
            <v>224.38</v>
          </cell>
          <cell r="M356">
            <v>228.09</v>
          </cell>
          <cell r="N356">
            <v>329.68</v>
          </cell>
          <cell r="O356">
            <v>224.86</v>
          </cell>
          <cell r="P356">
            <v>246.21</v>
          </cell>
          <cell r="Q356">
            <v>2922.69</v>
          </cell>
        </row>
        <row r="357">
          <cell r="A357">
            <v>56116</v>
          </cell>
          <cell r="B357" t="str">
            <v>Union Benefit Expense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>
            <v>56117</v>
          </cell>
          <cell r="B358" t="str">
            <v>Union Pension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A359">
            <v>56125</v>
          </cell>
          <cell r="B359" t="str">
            <v>Operating Supplies</v>
          </cell>
          <cell r="E359">
            <v>1415.21</v>
          </cell>
          <cell r="F359">
            <v>1483.02</v>
          </cell>
          <cell r="G359">
            <v>1740.94</v>
          </cell>
          <cell r="H359">
            <v>445.37</v>
          </cell>
          <cell r="I359">
            <v>804.72</v>
          </cell>
          <cell r="J359">
            <v>164.82</v>
          </cell>
          <cell r="K359">
            <v>658.52</v>
          </cell>
          <cell r="L359">
            <v>1100.71</v>
          </cell>
          <cell r="M359">
            <v>1250.03</v>
          </cell>
          <cell r="N359">
            <v>1674.36</v>
          </cell>
          <cell r="O359">
            <v>765.8</v>
          </cell>
          <cell r="P359">
            <v>382.82</v>
          </cell>
          <cell r="Q359">
            <v>11886.32</v>
          </cell>
        </row>
        <row r="360">
          <cell r="A360">
            <v>56140</v>
          </cell>
          <cell r="B360" t="str">
            <v>Tires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>
            <v>56142</v>
          </cell>
          <cell r="B361" t="str">
            <v>Fuel Expense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20</v>
          </cell>
          <cell r="Q361">
            <v>20</v>
          </cell>
        </row>
        <row r="362">
          <cell r="A362">
            <v>56148</v>
          </cell>
          <cell r="B362" t="str">
            <v>Allocated Exp In - District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A363">
            <v>56149</v>
          </cell>
          <cell r="B363" t="str">
            <v>Allocated Exp In Out - District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A364">
            <v>56165</v>
          </cell>
          <cell r="B364" t="str">
            <v>Communications</v>
          </cell>
          <cell r="E364">
            <v>4606.6000000000004</v>
          </cell>
          <cell r="F364">
            <v>4350.2299999999996</v>
          </cell>
          <cell r="G364">
            <v>4615.41</v>
          </cell>
          <cell r="H364">
            <v>1003.34</v>
          </cell>
          <cell r="I364">
            <v>7555.03</v>
          </cell>
          <cell r="J364">
            <v>4491</v>
          </cell>
          <cell r="K364">
            <v>4590.99</v>
          </cell>
          <cell r="L364">
            <v>470.11</v>
          </cell>
          <cell r="M364">
            <v>4254.96</v>
          </cell>
          <cell r="N364">
            <v>4208.18</v>
          </cell>
          <cell r="O364">
            <v>512.84</v>
          </cell>
          <cell r="P364">
            <v>4070.45</v>
          </cell>
          <cell r="Q364">
            <v>44729.139999999992</v>
          </cell>
        </row>
        <row r="365">
          <cell r="A365">
            <v>56200</v>
          </cell>
          <cell r="B365" t="str">
            <v>Travel</v>
          </cell>
          <cell r="E365">
            <v>0</v>
          </cell>
          <cell r="F365">
            <v>69</v>
          </cell>
          <cell r="G365">
            <v>98.25</v>
          </cell>
          <cell r="H365">
            <v>52.88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5.62</v>
          </cell>
          <cell r="O365">
            <v>0</v>
          </cell>
          <cell r="P365">
            <v>0</v>
          </cell>
          <cell r="Q365">
            <v>225.75</v>
          </cell>
        </row>
        <row r="366">
          <cell r="A366">
            <v>56201</v>
          </cell>
          <cell r="B366" t="str">
            <v>Meal and Entertainment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103.1</v>
          </cell>
          <cell r="K366">
            <v>0</v>
          </cell>
          <cell r="L366">
            <v>0</v>
          </cell>
          <cell r="M366">
            <v>0</v>
          </cell>
          <cell r="N366">
            <v>44.52</v>
          </cell>
          <cell r="O366">
            <v>90.55</v>
          </cell>
          <cell r="P366">
            <v>110.62</v>
          </cell>
          <cell r="Q366">
            <v>348.79</v>
          </cell>
        </row>
        <row r="367">
          <cell r="A367">
            <v>56210</v>
          </cell>
          <cell r="B367" t="str">
            <v>Office Supply and Equip</v>
          </cell>
          <cell r="E367">
            <v>907.9</v>
          </cell>
          <cell r="F367">
            <v>1266.8599999999999</v>
          </cell>
          <cell r="G367">
            <v>1175.05</v>
          </cell>
          <cell r="H367">
            <v>2018.74</v>
          </cell>
          <cell r="I367">
            <v>1340.75</v>
          </cell>
          <cell r="J367">
            <v>1056.72</v>
          </cell>
          <cell r="K367">
            <v>1348.09</v>
          </cell>
          <cell r="L367">
            <v>2224.39</v>
          </cell>
          <cell r="M367">
            <v>1094.46</v>
          </cell>
          <cell r="N367">
            <v>1045.8699999999999</v>
          </cell>
          <cell r="O367">
            <v>1613.32</v>
          </cell>
          <cell r="P367">
            <v>1365.17</v>
          </cell>
          <cell r="Q367">
            <v>16457.32</v>
          </cell>
        </row>
        <row r="368">
          <cell r="A368">
            <v>56335</v>
          </cell>
          <cell r="B368" t="str">
            <v>Miscellaneous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A369">
            <v>56998</v>
          </cell>
          <cell r="B369" t="str">
            <v>Allocation Out - District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A370">
            <v>56999</v>
          </cell>
          <cell r="B370" t="str">
            <v>Allocation Out - Out District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A371" t="str">
            <v>Total Supervisor</v>
          </cell>
          <cell r="E371">
            <v>26562.799999999996</v>
          </cell>
          <cell r="F371">
            <v>23501.42</v>
          </cell>
          <cell r="G371">
            <v>27636.67</v>
          </cell>
          <cell r="H371">
            <v>22714.119999999995</v>
          </cell>
          <cell r="I371">
            <v>32513.34</v>
          </cell>
          <cell r="J371">
            <v>23855.37</v>
          </cell>
          <cell r="K371">
            <v>28433.989999999994</v>
          </cell>
          <cell r="L371">
            <v>22041.739999999998</v>
          </cell>
          <cell r="M371">
            <v>25858.779999999995</v>
          </cell>
          <cell r="N371">
            <v>25971.11</v>
          </cell>
          <cell r="O371">
            <v>22681.739999999998</v>
          </cell>
          <cell r="P371">
            <v>24752.86</v>
          </cell>
          <cell r="Q371">
            <v>306523.94</v>
          </cell>
        </row>
        <row r="373">
          <cell r="A373" t="str">
            <v>Other Operating Expense</v>
          </cell>
        </row>
        <row r="374">
          <cell r="A374">
            <v>46020</v>
          </cell>
          <cell r="B374" t="str">
            <v>Post Closure Amortization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A375">
            <v>57051</v>
          </cell>
          <cell r="B375" t="str">
            <v>AA Premiums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A376">
            <v>57125</v>
          </cell>
          <cell r="B376" t="str">
            <v>Operating Supplies</v>
          </cell>
          <cell r="E376">
            <v>0</v>
          </cell>
          <cell r="F376">
            <v>0</v>
          </cell>
          <cell r="G376">
            <v>0</v>
          </cell>
          <cell r="H376">
            <v>427.66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224.45</v>
          </cell>
          <cell r="O376">
            <v>3002.92</v>
          </cell>
          <cell r="P376">
            <v>0</v>
          </cell>
          <cell r="Q376">
            <v>3655.03</v>
          </cell>
        </row>
        <row r="377">
          <cell r="A377">
            <v>57147</v>
          </cell>
          <cell r="B377" t="str">
            <v>Bldg &amp; Property</v>
          </cell>
          <cell r="E377">
            <v>8063.84</v>
          </cell>
          <cell r="F377">
            <v>8169.88</v>
          </cell>
          <cell r="G377">
            <v>6041.82</v>
          </cell>
          <cell r="H377">
            <v>6588.54</v>
          </cell>
          <cell r="I377">
            <v>4365.71</v>
          </cell>
          <cell r="J377">
            <v>4713.99</v>
          </cell>
          <cell r="K377">
            <v>10806.84</v>
          </cell>
          <cell r="L377">
            <v>9251.0400000000009</v>
          </cell>
          <cell r="M377">
            <v>6193.48</v>
          </cell>
          <cell r="N377">
            <v>8759.64</v>
          </cell>
          <cell r="O377">
            <v>5195.24</v>
          </cell>
          <cell r="P377">
            <v>16632.82</v>
          </cell>
          <cell r="Q377">
            <v>94782.84</v>
          </cell>
        </row>
        <row r="378">
          <cell r="A378">
            <v>57148</v>
          </cell>
          <cell r="B378" t="str">
            <v>Allocated In - District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A379">
            <v>57149</v>
          </cell>
          <cell r="B379" t="str">
            <v>Allocated In - Out District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>
            <v>57150</v>
          </cell>
          <cell r="B380" t="str">
            <v>Utilities</v>
          </cell>
          <cell r="E380">
            <v>1384.3</v>
          </cell>
          <cell r="F380">
            <v>289.72000000000003</v>
          </cell>
          <cell r="G380">
            <v>352.8</v>
          </cell>
          <cell r="H380">
            <v>250.3</v>
          </cell>
          <cell r="I380">
            <v>272.69</v>
          </cell>
          <cell r="J380">
            <v>171.46</v>
          </cell>
          <cell r="K380">
            <v>268.27</v>
          </cell>
          <cell r="L380">
            <v>157.77000000000001</v>
          </cell>
          <cell r="M380">
            <v>921.26</v>
          </cell>
          <cell r="N380">
            <v>178.68</v>
          </cell>
          <cell r="O380">
            <v>1625.08</v>
          </cell>
          <cell r="P380">
            <v>312.62</v>
          </cell>
          <cell r="Q380">
            <v>6184.95</v>
          </cell>
        </row>
        <row r="381">
          <cell r="A381">
            <v>57165</v>
          </cell>
          <cell r="B381" t="str">
            <v>Communications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A382">
            <v>57166</v>
          </cell>
          <cell r="B382" t="str">
            <v>Leachate Treatment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A383">
            <v>57170</v>
          </cell>
          <cell r="B383" t="str">
            <v>Real Estate Rentals</v>
          </cell>
          <cell r="E383">
            <v>17643.07</v>
          </cell>
          <cell r="F383">
            <v>17035.48</v>
          </cell>
          <cell r="G383">
            <v>17673.07</v>
          </cell>
          <cell r="H383">
            <v>17402.849999999999</v>
          </cell>
          <cell r="I383">
            <v>17402.849999999999</v>
          </cell>
          <cell r="J383">
            <v>17402.849999999999</v>
          </cell>
          <cell r="K383">
            <v>17402.849999999999</v>
          </cell>
          <cell r="L383">
            <v>17402.849999999999</v>
          </cell>
          <cell r="M383">
            <v>18791.8</v>
          </cell>
          <cell r="N383">
            <v>17402.849999999999</v>
          </cell>
          <cell r="O383">
            <v>18791.8</v>
          </cell>
          <cell r="P383">
            <v>2852.62</v>
          </cell>
          <cell r="Q383">
            <v>197204.94</v>
          </cell>
        </row>
        <row r="384">
          <cell r="A384">
            <v>57175</v>
          </cell>
          <cell r="B384" t="str">
            <v>Equipment Vehicle Rental</v>
          </cell>
          <cell r="E384">
            <v>328.66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2091.2399999999998</v>
          </cell>
          <cell r="P384">
            <v>397.36</v>
          </cell>
          <cell r="Q384">
            <v>2817.2599999999998</v>
          </cell>
        </row>
        <row r="385">
          <cell r="A385">
            <v>57185</v>
          </cell>
          <cell r="B385" t="str">
            <v>Postage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A386">
            <v>57252</v>
          </cell>
          <cell r="B386" t="str">
            <v>Subcontract Expense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A387">
            <v>57254</v>
          </cell>
          <cell r="B387" t="str">
            <v>Drive Cam Fees</v>
          </cell>
          <cell r="E387">
            <v>5737.5</v>
          </cell>
          <cell r="F387">
            <v>5737.5</v>
          </cell>
          <cell r="G387">
            <v>5737.5</v>
          </cell>
          <cell r="H387">
            <v>5737.5</v>
          </cell>
          <cell r="I387">
            <v>3780</v>
          </cell>
          <cell r="J387">
            <v>3780</v>
          </cell>
          <cell r="K387">
            <v>3780</v>
          </cell>
          <cell r="L387">
            <v>3780</v>
          </cell>
          <cell r="M387">
            <v>3780</v>
          </cell>
          <cell r="N387">
            <v>3780</v>
          </cell>
          <cell r="O387">
            <v>3780</v>
          </cell>
          <cell r="P387">
            <v>3780</v>
          </cell>
          <cell r="Q387">
            <v>53190</v>
          </cell>
        </row>
        <row r="388">
          <cell r="A388">
            <v>57255</v>
          </cell>
          <cell r="B388" t="str">
            <v>Other Prof Fees</v>
          </cell>
          <cell r="E388">
            <v>0</v>
          </cell>
          <cell r="F388">
            <v>0</v>
          </cell>
          <cell r="G388">
            <v>13.5</v>
          </cell>
          <cell r="H388">
            <v>13.5</v>
          </cell>
          <cell r="I388">
            <v>13.5</v>
          </cell>
          <cell r="J388">
            <v>13.5</v>
          </cell>
          <cell r="K388">
            <v>0</v>
          </cell>
          <cell r="L388">
            <v>13.5</v>
          </cell>
          <cell r="M388">
            <v>13.5</v>
          </cell>
          <cell r="N388">
            <v>13.5</v>
          </cell>
          <cell r="O388">
            <v>13.5</v>
          </cell>
          <cell r="P388">
            <v>0</v>
          </cell>
          <cell r="Q388">
            <v>108</v>
          </cell>
        </row>
        <row r="389">
          <cell r="A389">
            <v>57256</v>
          </cell>
          <cell r="B389" t="str">
            <v>Laboratory Fees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A390">
            <v>57257</v>
          </cell>
          <cell r="B390" t="str">
            <v>Engineering Fees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54300.08</v>
          </cell>
          <cell r="K390">
            <v>3763.13</v>
          </cell>
          <cell r="L390">
            <v>4344.38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62407.59</v>
          </cell>
        </row>
        <row r="391">
          <cell r="A391">
            <v>57275</v>
          </cell>
          <cell r="B391" t="str">
            <v>Property Taxes</v>
          </cell>
          <cell r="E391">
            <v>648.66999999999996</v>
          </cell>
          <cell r="F391">
            <v>748.26</v>
          </cell>
          <cell r="G391">
            <v>748.26</v>
          </cell>
          <cell r="H391">
            <v>931.59</v>
          </cell>
          <cell r="I391">
            <v>931.59</v>
          </cell>
          <cell r="J391">
            <v>931.61</v>
          </cell>
          <cell r="K391">
            <v>676.33</v>
          </cell>
          <cell r="L391">
            <v>676.33</v>
          </cell>
          <cell r="M391">
            <v>676.33</v>
          </cell>
          <cell r="N391">
            <v>676.33</v>
          </cell>
          <cell r="O391">
            <v>676.33</v>
          </cell>
          <cell r="P391">
            <v>676.33</v>
          </cell>
          <cell r="Q391">
            <v>8997.9599999999991</v>
          </cell>
        </row>
        <row r="392">
          <cell r="A392">
            <v>57280</v>
          </cell>
          <cell r="B392" t="str">
            <v>Other Taxes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</row>
        <row r="393">
          <cell r="A393">
            <v>57324</v>
          </cell>
          <cell r="B393" t="str">
            <v>Penalties and Violations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266.95</v>
          </cell>
          <cell r="O393">
            <v>266.95</v>
          </cell>
          <cell r="P393">
            <v>0</v>
          </cell>
          <cell r="Q393">
            <v>533.9</v>
          </cell>
        </row>
        <row r="394">
          <cell r="A394">
            <v>57335</v>
          </cell>
          <cell r="B394" t="str">
            <v>Miscellaneous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-33322.47</v>
          </cell>
          <cell r="K394">
            <v>33322.47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A395">
            <v>57345</v>
          </cell>
          <cell r="B395" t="str">
            <v>Secruity Services</v>
          </cell>
          <cell r="E395">
            <v>187.5</v>
          </cell>
          <cell r="F395">
            <v>187.5</v>
          </cell>
          <cell r="G395">
            <v>187.5</v>
          </cell>
          <cell r="H395">
            <v>187.5</v>
          </cell>
          <cell r="I395">
            <v>187.5</v>
          </cell>
          <cell r="J395">
            <v>187.5</v>
          </cell>
          <cell r="K395">
            <v>187.5</v>
          </cell>
          <cell r="L395">
            <v>187.5</v>
          </cell>
          <cell r="M395">
            <v>187.5</v>
          </cell>
          <cell r="N395">
            <v>187.5</v>
          </cell>
          <cell r="O395">
            <v>187.5</v>
          </cell>
          <cell r="P395">
            <v>250</v>
          </cell>
          <cell r="Q395">
            <v>2312.5</v>
          </cell>
        </row>
        <row r="396">
          <cell r="A396">
            <v>57353</v>
          </cell>
          <cell r="B396" t="str">
            <v>Monitoring and Maint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A397">
            <v>57356</v>
          </cell>
          <cell r="B397" t="str">
            <v>Cover Cost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>
            <v>57357</v>
          </cell>
          <cell r="B398" t="str">
            <v>Permits</v>
          </cell>
          <cell r="E398">
            <v>65</v>
          </cell>
          <cell r="F398">
            <v>0</v>
          </cell>
          <cell r="G398">
            <v>132.5</v>
          </cell>
          <cell r="H398">
            <v>0</v>
          </cell>
          <cell r="I398">
            <v>0</v>
          </cell>
          <cell r="J398">
            <v>132.5</v>
          </cell>
          <cell r="K398">
            <v>0</v>
          </cell>
          <cell r="L398">
            <v>0</v>
          </cell>
          <cell r="M398">
            <v>132.5</v>
          </cell>
          <cell r="N398">
            <v>1975</v>
          </cell>
          <cell r="O398">
            <v>0</v>
          </cell>
          <cell r="P398">
            <v>132.5</v>
          </cell>
          <cell r="Q398">
            <v>2570</v>
          </cell>
        </row>
        <row r="399">
          <cell r="A399">
            <v>57360</v>
          </cell>
          <cell r="B399" t="str">
            <v>Royalties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A400">
            <v>57370</v>
          </cell>
          <cell r="B400" t="str">
            <v>Bonds Expense</v>
          </cell>
          <cell r="E400">
            <v>4619.28</v>
          </cell>
          <cell r="F400">
            <v>6292.28</v>
          </cell>
          <cell r="G400">
            <v>6547.28</v>
          </cell>
          <cell r="H400">
            <v>5761.53</v>
          </cell>
          <cell r="I400">
            <v>5761.53</v>
          </cell>
          <cell r="J400">
            <v>5761.53</v>
          </cell>
          <cell r="K400">
            <v>5761.49</v>
          </cell>
          <cell r="L400">
            <v>5761.53</v>
          </cell>
          <cell r="M400">
            <v>5761.53</v>
          </cell>
          <cell r="N400">
            <v>5761.53</v>
          </cell>
          <cell r="O400">
            <v>6186.53</v>
          </cell>
          <cell r="P400">
            <v>4741.53</v>
          </cell>
          <cell r="Q400">
            <v>68717.569999999992</v>
          </cell>
        </row>
        <row r="401">
          <cell r="A401">
            <v>57900</v>
          </cell>
          <cell r="B401" t="str">
            <v>Capitalized Costs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A402">
            <v>57998</v>
          </cell>
          <cell r="B402" t="str">
            <v>Allocation Out - District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>
            <v>57999</v>
          </cell>
          <cell r="B403" t="str">
            <v>Allocation Out - Out District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>
            <v>70265</v>
          </cell>
          <cell r="B404" t="str">
            <v>Amortization of Long Term Contracts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A405">
            <v>80050</v>
          </cell>
          <cell r="B405" t="str">
            <v>Interest Expense Closure/Post Closure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Total Other Operating Expense</v>
          </cell>
          <cell r="E406">
            <v>38677.819999999992</v>
          </cell>
          <cell r="F406">
            <v>38460.620000000003</v>
          </cell>
          <cell r="G406">
            <v>37434.229999999996</v>
          </cell>
          <cell r="H406">
            <v>37300.97</v>
          </cell>
          <cell r="I406">
            <v>32715.37</v>
          </cell>
          <cell r="J406">
            <v>54072.55</v>
          </cell>
          <cell r="K406">
            <v>75968.88</v>
          </cell>
          <cell r="L406">
            <v>41574.9</v>
          </cell>
          <cell r="M406">
            <v>36457.9</v>
          </cell>
          <cell r="N406">
            <v>39226.43</v>
          </cell>
          <cell r="O406">
            <v>41817.089999999997</v>
          </cell>
          <cell r="P406">
            <v>29775.78</v>
          </cell>
          <cell r="Q406">
            <v>503482.54000000004</v>
          </cell>
        </row>
        <row r="408">
          <cell r="A408" t="str">
            <v>Insurance</v>
          </cell>
        </row>
        <row r="409">
          <cell r="A409">
            <v>59148</v>
          </cell>
          <cell r="B409" t="str">
            <v>Allocation In - District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>
            <v>59149</v>
          </cell>
          <cell r="B410" t="str">
            <v>Allocation In - Out District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A411">
            <v>59271</v>
          </cell>
          <cell r="B411" t="str">
            <v>Property and Liability Insurance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A412">
            <v>59326</v>
          </cell>
          <cell r="B412" t="str">
            <v>Deductible - Current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A413">
            <v>59327</v>
          </cell>
          <cell r="B413" t="str">
            <v>Deductible - Damage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>
            <v>59328</v>
          </cell>
          <cell r="B414" t="str">
            <v>Claim Recoveries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</row>
        <row r="415">
          <cell r="A415">
            <v>59330</v>
          </cell>
          <cell r="B415" t="str">
            <v>Deduct - Prior Year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A416">
            <v>59331</v>
          </cell>
          <cell r="B416" t="str">
            <v>RM Fixed Costs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A417">
            <v>59340</v>
          </cell>
          <cell r="B417" t="str">
            <v>Self Insurance Premium</v>
          </cell>
          <cell r="E417">
            <v>10091.379999999999</v>
          </cell>
          <cell r="F417">
            <v>10091.379999999999</v>
          </cell>
          <cell r="G417">
            <v>10091.379999999999</v>
          </cell>
          <cell r="H417">
            <v>10091.379999999999</v>
          </cell>
          <cell r="I417">
            <v>10091.379999999999</v>
          </cell>
          <cell r="J417">
            <v>10091.379999999999</v>
          </cell>
          <cell r="K417">
            <v>10091.379999999999</v>
          </cell>
          <cell r="L417">
            <v>10091.379999999999</v>
          </cell>
          <cell r="M417">
            <v>10091.379999999999</v>
          </cell>
          <cell r="N417">
            <v>10091.379999999999</v>
          </cell>
          <cell r="O417">
            <v>10091.379999999999</v>
          </cell>
          <cell r="P417">
            <v>10091.379999999999</v>
          </cell>
          <cell r="Q417">
            <v>121096.56000000001</v>
          </cell>
        </row>
        <row r="418">
          <cell r="A418">
            <v>59341</v>
          </cell>
          <cell r="B418" t="str">
            <v>A&amp;L - Current Year Claims</v>
          </cell>
          <cell r="E418">
            <v>-6142.07</v>
          </cell>
          <cell r="F418">
            <v>-2400</v>
          </cell>
          <cell r="G418">
            <v>400</v>
          </cell>
          <cell r="H418">
            <v>9853.9</v>
          </cell>
          <cell r="I418">
            <v>0</v>
          </cell>
          <cell r="J418">
            <v>0</v>
          </cell>
          <cell r="K418">
            <v>0</v>
          </cell>
          <cell r="L418">
            <v>4250</v>
          </cell>
          <cell r="M418">
            <v>8924.2000000000007</v>
          </cell>
          <cell r="N418">
            <v>751</v>
          </cell>
          <cell r="O418">
            <v>2071.27</v>
          </cell>
          <cell r="P418">
            <v>24430</v>
          </cell>
          <cell r="Q418">
            <v>42138.3</v>
          </cell>
        </row>
        <row r="419">
          <cell r="A419">
            <v>59342</v>
          </cell>
          <cell r="B419" t="str">
            <v>A&amp;L - Prior Year Claims</v>
          </cell>
          <cell r="E419">
            <v>0</v>
          </cell>
          <cell r="F419">
            <v>0</v>
          </cell>
          <cell r="G419">
            <v>0</v>
          </cell>
          <cell r="H419">
            <v>-10802.07</v>
          </cell>
          <cell r="I419">
            <v>-2004.25</v>
          </cell>
          <cell r="J419">
            <v>1249.05</v>
          </cell>
          <cell r="K419">
            <v>6999.75</v>
          </cell>
          <cell r="L419">
            <v>0</v>
          </cell>
          <cell r="M419">
            <v>0</v>
          </cell>
          <cell r="N419">
            <v>2499.5</v>
          </cell>
          <cell r="O419">
            <v>0</v>
          </cell>
          <cell r="P419">
            <v>0</v>
          </cell>
          <cell r="Q419">
            <v>-2058.0200000000004</v>
          </cell>
        </row>
        <row r="420">
          <cell r="A420">
            <v>59343</v>
          </cell>
          <cell r="B420" t="str">
            <v>WC - Current Year Claims</v>
          </cell>
          <cell r="E420">
            <v>7290.88</v>
          </cell>
          <cell r="F420">
            <v>-17465.98</v>
          </cell>
          <cell r="G420">
            <v>13819.28</v>
          </cell>
          <cell r="H420">
            <v>8553.6</v>
          </cell>
          <cell r="I420">
            <v>5696</v>
          </cell>
          <cell r="J420">
            <v>3275.7</v>
          </cell>
          <cell r="K420">
            <v>6448.16</v>
          </cell>
          <cell r="L420">
            <v>2722</v>
          </cell>
          <cell r="M420">
            <v>820</v>
          </cell>
          <cell r="N420">
            <v>-18388.02</v>
          </cell>
          <cell r="O420">
            <v>-1818.92</v>
          </cell>
          <cell r="P420">
            <v>2266.29</v>
          </cell>
          <cell r="Q420">
            <v>13218.990000000002</v>
          </cell>
        </row>
        <row r="421">
          <cell r="A421">
            <v>59344</v>
          </cell>
          <cell r="B421" t="str">
            <v>WC - Prior Year Claims</v>
          </cell>
          <cell r="E421">
            <v>0</v>
          </cell>
          <cell r="F421">
            <v>0</v>
          </cell>
          <cell r="G421">
            <v>0</v>
          </cell>
          <cell r="H421">
            <v>-9078.02</v>
          </cell>
          <cell r="I421">
            <v>16579.04</v>
          </cell>
          <cell r="J421">
            <v>98644.06</v>
          </cell>
          <cell r="K421">
            <v>-15344.09</v>
          </cell>
          <cell r="L421">
            <v>-28729.19</v>
          </cell>
          <cell r="M421">
            <v>17918.650000000001</v>
          </cell>
          <cell r="N421">
            <v>-103.64</v>
          </cell>
          <cell r="O421">
            <v>1197.08</v>
          </cell>
          <cell r="P421">
            <v>-19684.740000000002</v>
          </cell>
          <cell r="Q421">
            <v>61399.150000000009</v>
          </cell>
        </row>
        <row r="422">
          <cell r="A422">
            <v>59350</v>
          </cell>
          <cell r="B422" t="str">
            <v>Self Isurance IBNR Estimates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>
            <v>59400</v>
          </cell>
          <cell r="B423" t="str">
            <v>Damages paid by District</v>
          </cell>
          <cell r="E423">
            <v>5142.99</v>
          </cell>
          <cell r="F423">
            <v>1000</v>
          </cell>
          <cell r="G423">
            <v>2757.56</v>
          </cell>
          <cell r="H423">
            <v>0</v>
          </cell>
          <cell r="I423">
            <v>1701.74</v>
          </cell>
          <cell r="J423">
            <v>6490.95</v>
          </cell>
          <cell r="K423">
            <v>104.97</v>
          </cell>
          <cell r="L423">
            <v>48.7</v>
          </cell>
          <cell r="M423">
            <v>0</v>
          </cell>
          <cell r="N423">
            <v>11054.22</v>
          </cell>
          <cell r="O423">
            <v>655.83</v>
          </cell>
          <cell r="P423">
            <v>11383.6</v>
          </cell>
          <cell r="Q423">
            <v>40340.559999999998</v>
          </cell>
        </row>
        <row r="424">
          <cell r="A424">
            <v>59401</v>
          </cell>
          <cell r="B424" t="str">
            <v>Insurance claim repairs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10000</v>
          </cell>
          <cell r="O424">
            <v>31.43</v>
          </cell>
          <cell r="P424">
            <v>-10904.79</v>
          </cell>
          <cell r="Q424">
            <v>-873.36000000000058</v>
          </cell>
        </row>
        <row r="425">
          <cell r="A425">
            <v>59500</v>
          </cell>
          <cell r="B425" t="str">
            <v>Workers Comp Prem</v>
          </cell>
          <cell r="E425">
            <v>4000</v>
          </cell>
          <cell r="F425">
            <v>2000</v>
          </cell>
          <cell r="G425">
            <v>2000</v>
          </cell>
          <cell r="H425">
            <v>2000</v>
          </cell>
          <cell r="I425">
            <v>1000</v>
          </cell>
          <cell r="J425">
            <v>2000</v>
          </cell>
          <cell r="K425">
            <v>2000</v>
          </cell>
          <cell r="L425">
            <v>2000</v>
          </cell>
          <cell r="M425">
            <v>3000</v>
          </cell>
          <cell r="N425">
            <v>3000</v>
          </cell>
          <cell r="O425">
            <v>3000</v>
          </cell>
          <cell r="P425">
            <v>0</v>
          </cell>
          <cell r="Q425">
            <v>26000</v>
          </cell>
        </row>
        <row r="426">
          <cell r="A426">
            <v>59998</v>
          </cell>
          <cell r="B426" t="str">
            <v>Allocation Out - District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A427">
            <v>59999</v>
          </cell>
          <cell r="B427" t="str">
            <v>Allocation Out - Out District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A428" t="str">
            <v>Total Insurance</v>
          </cell>
          <cell r="E428">
            <v>20383.18</v>
          </cell>
          <cell r="F428">
            <v>-6774.6</v>
          </cell>
          <cell r="G428">
            <v>29068.22</v>
          </cell>
          <cell r="H428">
            <v>10618.789999999997</v>
          </cell>
          <cell r="I428">
            <v>33063.910000000003</v>
          </cell>
          <cell r="J428">
            <v>121751.14</v>
          </cell>
          <cell r="K428">
            <v>10300.169999999996</v>
          </cell>
          <cell r="L428">
            <v>-9617.11</v>
          </cell>
          <cell r="M428">
            <v>40754.230000000003</v>
          </cell>
          <cell r="N428">
            <v>18904.439999999999</v>
          </cell>
          <cell r="O428">
            <v>15228.07</v>
          </cell>
          <cell r="P428">
            <v>17581.739999999998</v>
          </cell>
          <cell r="Q428">
            <v>301262.18000000005</v>
          </cell>
        </row>
        <row r="430">
          <cell r="A430" t="str">
            <v>Disposal of Assets and Operations</v>
          </cell>
        </row>
        <row r="431">
          <cell r="A431">
            <v>72000</v>
          </cell>
          <cell r="B431" t="str">
            <v>Gain/Loss on Disposal of Operations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A432">
            <v>91010</v>
          </cell>
          <cell r="B432" t="str">
            <v>Gain/Loss on Sale of Asset</v>
          </cell>
          <cell r="E432">
            <v>0</v>
          </cell>
          <cell r="F432">
            <v>0</v>
          </cell>
          <cell r="G432">
            <v>0</v>
          </cell>
          <cell r="H432">
            <v>1319.45</v>
          </cell>
          <cell r="I432">
            <v>0</v>
          </cell>
          <cell r="J432">
            <v>24949.35</v>
          </cell>
          <cell r="K432">
            <v>-33354.22</v>
          </cell>
          <cell r="L432">
            <v>-3080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-10165.420000000002</v>
          </cell>
        </row>
        <row r="433">
          <cell r="A433" t="str">
            <v>Total Disposal of Assets and Operations</v>
          </cell>
          <cell r="E433">
            <v>0</v>
          </cell>
          <cell r="F433">
            <v>0</v>
          </cell>
          <cell r="G433">
            <v>0</v>
          </cell>
          <cell r="H433">
            <v>1319.45</v>
          </cell>
          <cell r="I433">
            <v>0</v>
          </cell>
          <cell r="J433">
            <v>24949.35</v>
          </cell>
          <cell r="K433">
            <v>-33354.22</v>
          </cell>
          <cell r="L433">
            <v>-3080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-10165.420000000002</v>
          </cell>
        </row>
        <row r="435">
          <cell r="A435" t="str">
            <v>Total Operating Costs</v>
          </cell>
          <cell r="E435">
            <v>691108.55</v>
          </cell>
          <cell r="F435">
            <v>591691.37000000011</v>
          </cell>
          <cell r="G435">
            <v>679572.21999999986</v>
          </cell>
          <cell r="H435">
            <v>649398.42000000004</v>
          </cell>
          <cell r="I435">
            <v>715012.80999999994</v>
          </cell>
          <cell r="J435">
            <v>823534.92999999993</v>
          </cell>
          <cell r="K435">
            <v>725146.60999999987</v>
          </cell>
          <cell r="L435">
            <v>671623.93</v>
          </cell>
          <cell r="M435">
            <v>721331.92999999993</v>
          </cell>
          <cell r="N435">
            <v>675314.14999999991</v>
          </cell>
          <cell r="O435">
            <v>713873.94</v>
          </cell>
          <cell r="P435">
            <v>696947.79999999981</v>
          </cell>
          <cell r="Q435">
            <v>8354556.6600000001</v>
          </cell>
        </row>
        <row r="437">
          <cell r="A437" t="str">
            <v>Gross Profit</v>
          </cell>
          <cell r="E437">
            <v>958596.29999999981</v>
          </cell>
          <cell r="F437">
            <v>1078399.0499999998</v>
          </cell>
          <cell r="G437">
            <v>980681.78999999992</v>
          </cell>
          <cell r="H437">
            <v>1060013.06</v>
          </cell>
          <cell r="I437">
            <v>998324.67999999935</v>
          </cell>
          <cell r="J437">
            <v>884006.14000000036</v>
          </cell>
          <cell r="K437">
            <v>999176.6099999994</v>
          </cell>
          <cell r="L437">
            <v>1029352.5499999995</v>
          </cell>
          <cell r="M437">
            <v>1005221.45</v>
          </cell>
          <cell r="N437">
            <v>1062170.0200000005</v>
          </cell>
          <cell r="O437">
            <v>1010676.3699999996</v>
          </cell>
          <cell r="P437">
            <v>1011952.0500000003</v>
          </cell>
          <cell r="Q437">
            <v>12078570.07</v>
          </cell>
        </row>
        <row r="439">
          <cell r="A439" t="str">
            <v>SG&amp;A</v>
          </cell>
        </row>
        <row r="440">
          <cell r="A440" t="str">
            <v>Sales</v>
          </cell>
        </row>
        <row r="441">
          <cell r="A441">
            <v>60010</v>
          </cell>
          <cell r="B441" t="str">
            <v>Salaries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A442">
            <v>60020</v>
          </cell>
          <cell r="B442" t="str">
            <v>Wages Regular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A443">
            <v>60025</v>
          </cell>
          <cell r="B443" t="str">
            <v>Wages O.T.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A444">
            <v>60030</v>
          </cell>
          <cell r="B444" t="str">
            <v>Bonuses and Commissions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A445">
            <v>60035</v>
          </cell>
          <cell r="B445" t="str">
            <v>Safety Bonuses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A446">
            <v>60037</v>
          </cell>
          <cell r="B446" t="str">
            <v>Termination Pay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>
            <v>60045</v>
          </cell>
          <cell r="B447" t="str">
            <v>Contract Labor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A448">
            <v>60050</v>
          </cell>
          <cell r="B448" t="str">
            <v>Payroll Taxes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A449">
            <v>60060</v>
          </cell>
          <cell r="B449" t="str">
            <v>Group Insurance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>
            <v>60065</v>
          </cell>
          <cell r="B450" t="str">
            <v>Vacation Pay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8.23</v>
          </cell>
          <cell r="M450">
            <v>-8.23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>
            <v>60070</v>
          </cell>
          <cell r="B451" t="str">
            <v>Sick Pay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>
            <v>60086</v>
          </cell>
          <cell r="B452" t="str">
            <v>Safety and Training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>
            <v>60095</v>
          </cell>
          <cell r="B453" t="str">
            <v>Empl &amp; Commun Activ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A454">
            <v>60105</v>
          </cell>
          <cell r="B454" t="str">
            <v>Employee Relocation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A455">
            <v>60115</v>
          </cell>
          <cell r="B455" t="str">
            <v>School Tuition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A456">
            <v>60116</v>
          </cell>
          <cell r="B456" t="str">
            <v>Pension and Profit Sharing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A457">
            <v>60117</v>
          </cell>
          <cell r="B457" t="str">
            <v>Union Pension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A458">
            <v>60148</v>
          </cell>
          <cell r="B458" t="str">
            <v>Allocated Exp In - District</v>
          </cell>
          <cell r="E458">
            <v>2300</v>
          </cell>
          <cell r="F458">
            <v>2448</v>
          </cell>
          <cell r="G458">
            <v>2391</v>
          </cell>
          <cell r="H458">
            <v>2584.5</v>
          </cell>
          <cell r="I458">
            <v>2565</v>
          </cell>
          <cell r="J458">
            <v>3535</v>
          </cell>
          <cell r="K458">
            <v>2899</v>
          </cell>
          <cell r="L458">
            <v>2443</v>
          </cell>
          <cell r="M458">
            <v>1800</v>
          </cell>
          <cell r="N458">
            <v>2326</v>
          </cell>
          <cell r="O458">
            <v>2339</v>
          </cell>
          <cell r="P458">
            <v>0</v>
          </cell>
          <cell r="Q458">
            <v>27630.5</v>
          </cell>
        </row>
        <row r="459">
          <cell r="A459">
            <v>60149</v>
          </cell>
          <cell r="B459" t="str">
            <v>Allocated Exp In Out - District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A460">
            <v>60165</v>
          </cell>
          <cell r="B460" t="str">
            <v>Communications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A461">
            <v>60170</v>
          </cell>
          <cell r="B461" t="str">
            <v>Real Estate Rentals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A462">
            <v>60175</v>
          </cell>
          <cell r="B462" t="str">
            <v>Equip/Vehicle Rental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A463">
            <v>60185</v>
          </cell>
          <cell r="B463" t="str">
            <v>Postage</v>
          </cell>
          <cell r="E463">
            <v>198.54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198.54</v>
          </cell>
        </row>
        <row r="464">
          <cell r="A464">
            <v>60195</v>
          </cell>
          <cell r="B464" t="str">
            <v>Dues and Subscriptions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A465">
            <v>60196</v>
          </cell>
          <cell r="B465" t="str">
            <v>Club Dues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>
            <v>60200</v>
          </cell>
          <cell r="B466" t="str">
            <v>Travel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A467">
            <v>60201</v>
          </cell>
          <cell r="B467" t="str">
            <v>Entertainment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A468">
            <v>60205</v>
          </cell>
          <cell r="B468" t="str">
            <v>Travel - Auto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58.5</v>
          </cell>
          <cell r="L468">
            <v>177.74</v>
          </cell>
          <cell r="M468">
            <v>-77.739999999999995</v>
          </cell>
          <cell r="N468">
            <v>0</v>
          </cell>
          <cell r="O468">
            <v>75.52</v>
          </cell>
          <cell r="P468">
            <v>23.74</v>
          </cell>
          <cell r="Q468">
            <v>257.76</v>
          </cell>
        </row>
        <row r="469">
          <cell r="A469">
            <v>60210</v>
          </cell>
          <cell r="B469" t="str">
            <v>Office Supplies and Equip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A470">
            <v>60225</v>
          </cell>
          <cell r="B470" t="str">
            <v>Advertising and Promotions</v>
          </cell>
          <cell r="E470">
            <v>12977.33</v>
          </cell>
          <cell r="F470">
            <v>949.64</v>
          </cell>
          <cell r="G470">
            <v>5900.84</v>
          </cell>
          <cell r="H470">
            <v>4161.1099999999997</v>
          </cell>
          <cell r="I470">
            <v>3165.78</v>
          </cell>
          <cell r="J470">
            <v>4520.0600000000004</v>
          </cell>
          <cell r="K470">
            <v>1806.35</v>
          </cell>
          <cell r="L470">
            <v>955.59</v>
          </cell>
          <cell r="M470">
            <v>28827.18</v>
          </cell>
          <cell r="N470">
            <v>25999.119999999999</v>
          </cell>
          <cell r="O470">
            <v>1245.2</v>
          </cell>
          <cell r="P470">
            <v>38523.21</v>
          </cell>
          <cell r="Q470">
            <v>129031.41</v>
          </cell>
        </row>
        <row r="471">
          <cell r="A471">
            <v>60234</v>
          </cell>
          <cell r="B471" t="str">
            <v>O/S Sales Exp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A472">
            <v>60255</v>
          </cell>
          <cell r="B472" t="str">
            <v>Other Prof Fees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>
            <v>60326</v>
          </cell>
          <cell r="B473" t="str">
            <v>Deduct - Current Yr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>
            <v>60327</v>
          </cell>
          <cell r="B474" t="str">
            <v>Deduct - Damage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A475">
            <v>60328</v>
          </cell>
          <cell r="B475" t="str">
            <v>Claim Recoveries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A476">
            <v>60330</v>
          </cell>
          <cell r="B476" t="str">
            <v>Deduct Prior Year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A477">
            <v>60335</v>
          </cell>
          <cell r="B477" t="str">
            <v>Miscellaneous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A478">
            <v>60998</v>
          </cell>
          <cell r="B478" t="str">
            <v>Allocation Out - District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60999</v>
          </cell>
          <cell r="B479" t="str">
            <v>Allocation Out - Out District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Total Sales</v>
          </cell>
          <cell r="E480">
            <v>15475.869999999999</v>
          </cell>
          <cell r="F480">
            <v>3397.64</v>
          </cell>
          <cell r="G480">
            <v>8291.84</v>
          </cell>
          <cell r="H480">
            <v>6745.61</v>
          </cell>
          <cell r="I480">
            <v>5730.7800000000007</v>
          </cell>
          <cell r="J480">
            <v>8055.06</v>
          </cell>
          <cell r="K480">
            <v>4763.8500000000004</v>
          </cell>
          <cell r="L480">
            <v>3584.5600000000004</v>
          </cell>
          <cell r="M480">
            <v>30541.21</v>
          </cell>
          <cell r="N480">
            <v>28325.119999999999</v>
          </cell>
          <cell r="O480">
            <v>3659.7200000000003</v>
          </cell>
          <cell r="P480">
            <v>38546.949999999997</v>
          </cell>
          <cell r="Q480">
            <v>157118.21</v>
          </cell>
        </row>
        <row r="482">
          <cell r="A482" t="str">
            <v>G&amp;A</v>
          </cell>
        </row>
        <row r="483">
          <cell r="A483">
            <v>70010</v>
          </cell>
          <cell r="B483" t="str">
            <v>Salaries</v>
          </cell>
          <cell r="E483">
            <v>31950.25</v>
          </cell>
          <cell r="F483">
            <v>29217.37</v>
          </cell>
          <cell r="G483">
            <v>34993.21</v>
          </cell>
          <cell r="H483">
            <v>32805.65</v>
          </cell>
          <cell r="I483">
            <v>33117.839999999997</v>
          </cell>
          <cell r="J483">
            <v>36102.11</v>
          </cell>
          <cell r="K483">
            <v>36862.230000000003</v>
          </cell>
          <cell r="L483">
            <v>32246.880000000001</v>
          </cell>
          <cell r="M483">
            <v>35474.660000000003</v>
          </cell>
          <cell r="N483">
            <v>34757.17</v>
          </cell>
          <cell r="O483">
            <v>34601.15</v>
          </cell>
          <cell r="P483">
            <v>36751.879999999997</v>
          </cell>
          <cell r="Q483">
            <v>408880.39999999997</v>
          </cell>
        </row>
        <row r="484">
          <cell r="A484">
            <v>70015</v>
          </cell>
          <cell r="B484" t="str">
            <v>Deferred Comp Earnings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>
            <v>70020</v>
          </cell>
          <cell r="B485" t="str">
            <v>Wages Regular</v>
          </cell>
          <cell r="E485">
            <v>39238.25</v>
          </cell>
          <cell r="F485">
            <v>41055.800000000003</v>
          </cell>
          <cell r="G485">
            <v>43441.67</v>
          </cell>
          <cell r="H485">
            <v>43159.68</v>
          </cell>
          <cell r="I485">
            <v>40707.99</v>
          </cell>
          <cell r="J485">
            <v>44340.75</v>
          </cell>
          <cell r="K485">
            <v>44034.15</v>
          </cell>
          <cell r="L485">
            <v>37123.65</v>
          </cell>
          <cell r="M485">
            <v>40606.129999999997</v>
          </cell>
          <cell r="N485">
            <v>42194.06</v>
          </cell>
          <cell r="O485">
            <v>45471.69</v>
          </cell>
          <cell r="P485">
            <v>48949.11</v>
          </cell>
          <cell r="Q485">
            <v>510322.93</v>
          </cell>
        </row>
        <row r="486">
          <cell r="A486">
            <v>70025</v>
          </cell>
          <cell r="B486" t="str">
            <v>Wages O.T.</v>
          </cell>
          <cell r="E486">
            <v>2096.58</v>
          </cell>
          <cell r="F486">
            <v>2256.92</v>
          </cell>
          <cell r="G486">
            <v>520.88</v>
          </cell>
          <cell r="H486">
            <v>1862.34</v>
          </cell>
          <cell r="I486">
            <v>3126.98</v>
          </cell>
          <cell r="J486">
            <v>1540.45</v>
          </cell>
          <cell r="K486">
            <v>2442.46</v>
          </cell>
          <cell r="L486">
            <v>2985.84</v>
          </cell>
          <cell r="M486">
            <v>1455.97</v>
          </cell>
          <cell r="N486">
            <v>1845.98</v>
          </cell>
          <cell r="O486">
            <v>2373.81</v>
          </cell>
          <cell r="P486">
            <v>1626.79</v>
          </cell>
          <cell r="Q486">
            <v>24135.000000000004</v>
          </cell>
        </row>
        <row r="487">
          <cell r="A487">
            <v>70030</v>
          </cell>
          <cell r="B487" t="str">
            <v>Corp Allocated Bonus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A488">
            <v>70035</v>
          </cell>
          <cell r="B488" t="str">
            <v>Safety Bonuses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A489">
            <v>70036</v>
          </cell>
          <cell r="B489" t="str">
            <v>Other Bonus/Commission - Non-Safety</v>
          </cell>
          <cell r="E489">
            <v>4809.7700000000004</v>
          </cell>
          <cell r="F489">
            <v>2140.23</v>
          </cell>
          <cell r="G489">
            <v>5107.6499999999996</v>
          </cell>
          <cell r="H489">
            <v>4226.5600000000004</v>
          </cell>
          <cell r="I489">
            <v>1425.85</v>
          </cell>
          <cell r="J489">
            <v>387.84</v>
          </cell>
          <cell r="K489">
            <v>100</v>
          </cell>
          <cell r="L489">
            <v>3426.61</v>
          </cell>
          <cell r="M489">
            <v>665.4</v>
          </cell>
          <cell r="N489">
            <v>-1015.84</v>
          </cell>
          <cell r="O489">
            <v>581.19000000000005</v>
          </cell>
          <cell r="P489">
            <v>5025.8500000000004</v>
          </cell>
          <cell r="Q489">
            <v>26881.11</v>
          </cell>
        </row>
        <row r="490">
          <cell r="A490">
            <v>70037</v>
          </cell>
          <cell r="B490" t="str">
            <v>Termination Pay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>
            <v>70045</v>
          </cell>
          <cell r="B491" t="str">
            <v>Contract Labor</v>
          </cell>
          <cell r="E491">
            <v>6680.67</v>
          </cell>
          <cell r="F491">
            <v>232.03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10440.92</v>
          </cell>
          <cell r="M491">
            <v>7401.37</v>
          </cell>
          <cell r="N491">
            <v>14152.75</v>
          </cell>
          <cell r="O491">
            <v>1820.49</v>
          </cell>
          <cell r="P491">
            <v>6453.68</v>
          </cell>
          <cell r="Q491">
            <v>47181.909999999996</v>
          </cell>
        </row>
        <row r="492">
          <cell r="A492">
            <v>70050</v>
          </cell>
          <cell r="B492" t="str">
            <v>Payroll Taxes</v>
          </cell>
          <cell r="E492">
            <v>9179.65</v>
          </cell>
          <cell r="F492">
            <v>6291.4</v>
          </cell>
          <cell r="G492">
            <v>7661.43</v>
          </cell>
          <cell r="H492">
            <v>6697.51</v>
          </cell>
          <cell r="I492">
            <v>6629.71</v>
          </cell>
          <cell r="J492">
            <v>7324.51</v>
          </cell>
          <cell r="K492">
            <v>5887.85</v>
          </cell>
          <cell r="L492">
            <v>5608.72</v>
          </cell>
          <cell r="M492">
            <v>5768.98</v>
          </cell>
          <cell r="N492">
            <v>5999.27</v>
          </cell>
          <cell r="O492">
            <v>6190.7</v>
          </cell>
          <cell r="P492">
            <v>6776.28</v>
          </cell>
          <cell r="Q492">
            <v>80016.009999999995</v>
          </cell>
        </row>
        <row r="493">
          <cell r="A493">
            <v>70060</v>
          </cell>
          <cell r="B493" t="str">
            <v>Group Insurance</v>
          </cell>
          <cell r="E493">
            <v>10365.61</v>
          </cell>
          <cell r="F493">
            <v>10230.65</v>
          </cell>
          <cell r="G493">
            <v>8851.43</v>
          </cell>
          <cell r="H493">
            <v>12049.32</v>
          </cell>
          <cell r="I493">
            <v>9943.51</v>
          </cell>
          <cell r="J493">
            <v>9742.43</v>
          </cell>
          <cell r="K493">
            <v>9734.74</v>
          </cell>
          <cell r="L493">
            <v>9561.06</v>
          </cell>
          <cell r="M493">
            <v>8494.4699999999993</v>
          </cell>
          <cell r="N493">
            <v>11177.83</v>
          </cell>
          <cell r="O493">
            <v>11411.65</v>
          </cell>
          <cell r="P493">
            <v>11731.69</v>
          </cell>
          <cell r="Q493">
            <v>123294.39</v>
          </cell>
        </row>
        <row r="494">
          <cell r="A494">
            <v>70065</v>
          </cell>
          <cell r="B494" t="str">
            <v>Vacation Pay</v>
          </cell>
          <cell r="E494">
            <v>5445.15</v>
          </cell>
          <cell r="F494">
            <v>2867.53</v>
          </cell>
          <cell r="G494">
            <v>2000.31</v>
          </cell>
          <cell r="H494">
            <v>3981.39</v>
          </cell>
          <cell r="I494">
            <v>4870.18</v>
          </cell>
          <cell r="J494">
            <v>3114.5</v>
          </cell>
          <cell r="K494">
            <v>4765.6099999999997</v>
          </cell>
          <cell r="L494">
            <v>2058.0100000000002</v>
          </cell>
          <cell r="M494">
            <v>3147.12</v>
          </cell>
          <cell r="N494">
            <v>4048.56</v>
          </cell>
          <cell r="O494">
            <v>2256.75</v>
          </cell>
          <cell r="P494">
            <v>3468.68</v>
          </cell>
          <cell r="Q494">
            <v>42023.79</v>
          </cell>
        </row>
        <row r="495">
          <cell r="A495">
            <v>70070</v>
          </cell>
          <cell r="B495" t="str">
            <v>Sick Pay</v>
          </cell>
          <cell r="E495">
            <v>334.55</v>
          </cell>
          <cell r="F495">
            <v>550.89</v>
          </cell>
          <cell r="G495">
            <v>1270.23</v>
          </cell>
          <cell r="H495">
            <v>745.77</v>
          </cell>
          <cell r="I495">
            <v>1246.57</v>
          </cell>
          <cell r="J495">
            <v>334.08</v>
          </cell>
          <cell r="K495">
            <v>365.29</v>
          </cell>
          <cell r="L495">
            <v>1258.6099999999999</v>
          </cell>
          <cell r="M495">
            <v>594.48</v>
          </cell>
          <cell r="N495">
            <v>799.28</v>
          </cell>
          <cell r="O495">
            <v>359.64</v>
          </cell>
          <cell r="P495">
            <v>428.72</v>
          </cell>
          <cell r="Q495">
            <v>8288.1099999999988</v>
          </cell>
        </row>
        <row r="496">
          <cell r="A496">
            <v>70086</v>
          </cell>
          <cell r="B496" t="str">
            <v>Safety and Training</v>
          </cell>
          <cell r="E496">
            <v>307.08999999999997</v>
          </cell>
          <cell r="F496">
            <v>-262.68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146.11000000000001</v>
          </cell>
          <cell r="N496">
            <v>550</v>
          </cell>
          <cell r="O496">
            <v>70</v>
          </cell>
          <cell r="P496">
            <v>2091.2399999999998</v>
          </cell>
          <cell r="Q496">
            <v>2901.7599999999998</v>
          </cell>
        </row>
        <row r="497">
          <cell r="A497">
            <v>70090</v>
          </cell>
          <cell r="B497" t="str">
            <v>WCN Training</v>
          </cell>
          <cell r="E497">
            <v>0</v>
          </cell>
          <cell r="F497">
            <v>912.78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912.78</v>
          </cell>
        </row>
        <row r="498">
          <cell r="A498">
            <v>70095</v>
          </cell>
          <cell r="B498" t="str">
            <v>Empl &amp; Commun Activ</v>
          </cell>
          <cell r="E498">
            <v>14055.36</v>
          </cell>
          <cell r="F498">
            <v>3129.49</v>
          </cell>
          <cell r="G498">
            <v>-8366.42</v>
          </cell>
          <cell r="H498">
            <v>1482.03</v>
          </cell>
          <cell r="I498">
            <v>4740.3999999999996</v>
          </cell>
          <cell r="J498">
            <v>5688.11</v>
          </cell>
          <cell r="K498">
            <v>11283.12</v>
          </cell>
          <cell r="L498">
            <v>21266.09</v>
          </cell>
          <cell r="M498">
            <v>1553.42</v>
          </cell>
          <cell r="N498">
            <v>3453.38</v>
          </cell>
          <cell r="O498">
            <v>4558.05</v>
          </cell>
          <cell r="P498">
            <v>3947.63</v>
          </cell>
          <cell r="Q498">
            <v>66790.659999999989</v>
          </cell>
        </row>
        <row r="499">
          <cell r="A499">
            <v>70105</v>
          </cell>
          <cell r="B499" t="str">
            <v>Employee Relocation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</row>
        <row r="500">
          <cell r="A500">
            <v>70107</v>
          </cell>
          <cell r="B500" t="str">
            <v>Housing Subsidy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A501">
            <v>70108</v>
          </cell>
          <cell r="B501" t="str">
            <v>School Tuition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A502">
            <v>70110</v>
          </cell>
          <cell r="B502" t="str">
            <v>Contributions</v>
          </cell>
          <cell r="E502">
            <v>937.5</v>
          </cell>
          <cell r="F502">
            <v>-1250</v>
          </cell>
          <cell r="G502">
            <v>500</v>
          </cell>
          <cell r="H502">
            <v>2250</v>
          </cell>
          <cell r="I502">
            <v>250</v>
          </cell>
          <cell r="J502">
            <v>500</v>
          </cell>
          <cell r="K502">
            <v>1191.54</v>
          </cell>
          <cell r="L502">
            <v>500</v>
          </cell>
          <cell r="M502">
            <v>0</v>
          </cell>
          <cell r="N502">
            <v>0</v>
          </cell>
          <cell r="O502">
            <v>500</v>
          </cell>
          <cell r="P502">
            <v>0</v>
          </cell>
          <cell r="Q502">
            <v>5379.04</v>
          </cell>
        </row>
        <row r="503">
          <cell r="A503">
            <v>70111</v>
          </cell>
          <cell r="B503" t="str">
            <v>Non Cash Charitable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A504">
            <v>70112</v>
          </cell>
          <cell r="B504" t="str">
            <v>Political Contributions</v>
          </cell>
          <cell r="E504">
            <v>0</v>
          </cell>
          <cell r="F504">
            <v>0</v>
          </cell>
          <cell r="G504">
            <v>0</v>
          </cell>
          <cell r="H504">
            <v>1250</v>
          </cell>
          <cell r="I504">
            <v>0</v>
          </cell>
          <cell r="J504">
            <v>0</v>
          </cell>
          <cell r="K504">
            <v>1250</v>
          </cell>
          <cell r="L504">
            <v>0</v>
          </cell>
          <cell r="M504">
            <v>500</v>
          </cell>
          <cell r="N504">
            <v>250</v>
          </cell>
          <cell r="O504">
            <v>0</v>
          </cell>
          <cell r="P504">
            <v>0</v>
          </cell>
          <cell r="Q504">
            <v>3250</v>
          </cell>
        </row>
        <row r="505">
          <cell r="A505">
            <v>70116</v>
          </cell>
          <cell r="B505" t="str">
            <v>Pension and Profit Sharing</v>
          </cell>
          <cell r="E505">
            <v>991.8</v>
          </cell>
          <cell r="F505">
            <v>1061.8</v>
          </cell>
          <cell r="G505">
            <v>1561.6</v>
          </cell>
          <cell r="H505">
            <v>1001.55</v>
          </cell>
          <cell r="I505">
            <v>1064.48</v>
          </cell>
          <cell r="J505">
            <v>880.04</v>
          </cell>
          <cell r="K505">
            <v>837.46</v>
          </cell>
          <cell r="L505">
            <v>818.44</v>
          </cell>
          <cell r="M505">
            <v>814.08</v>
          </cell>
          <cell r="N505">
            <v>1291.5999999999999</v>
          </cell>
          <cell r="O505">
            <v>832.75</v>
          </cell>
          <cell r="P505">
            <v>978.78</v>
          </cell>
          <cell r="Q505">
            <v>12134.380000000001</v>
          </cell>
        </row>
        <row r="506">
          <cell r="A506">
            <v>70117</v>
          </cell>
          <cell r="B506" t="str">
            <v>Union Pension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A507">
            <v>70142</v>
          </cell>
          <cell r="B507" t="str">
            <v>Fuel Expense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A508">
            <v>70145</v>
          </cell>
          <cell r="B508" t="str">
            <v>Outside Repairs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>
            <v>70147</v>
          </cell>
          <cell r="B509" t="str">
            <v>Bldg &amp; Property Maint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>
            <v>70148</v>
          </cell>
          <cell r="B510" t="str">
            <v>Allocated Exp In - District</v>
          </cell>
          <cell r="E510">
            <v>9455.33</v>
          </cell>
          <cell r="F510">
            <v>10366.76</v>
          </cell>
          <cell r="G510">
            <v>12777.28</v>
          </cell>
          <cell r="H510">
            <v>9429.9599999999991</v>
          </cell>
          <cell r="I510">
            <v>4111.67</v>
          </cell>
          <cell r="J510">
            <v>13752.97</v>
          </cell>
          <cell r="K510">
            <v>28825.42</v>
          </cell>
          <cell r="L510">
            <v>23366.78</v>
          </cell>
          <cell r="M510">
            <v>-1234.82</v>
          </cell>
          <cell r="N510">
            <v>8735.3799999999992</v>
          </cell>
          <cell r="O510">
            <v>11153.09</v>
          </cell>
          <cell r="P510">
            <v>9005.61</v>
          </cell>
          <cell r="Q510">
            <v>139745.43</v>
          </cell>
        </row>
        <row r="511">
          <cell r="A511">
            <v>70150</v>
          </cell>
          <cell r="B511" t="str">
            <v>Utilities</v>
          </cell>
          <cell r="E511">
            <v>1142.2</v>
          </cell>
          <cell r="F511">
            <v>1092.4000000000001</v>
          </cell>
          <cell r="G511">
            <v>1092.57</v>
          </cell>
          <cell r="H511">
            <v>1056.2</v>
          </cell>
          <cell r="I511">
            <v>971.23</v>
          </cell>
          <cell r="J511">
            <v>927.16</v>
          </cell>
          <cell r="K511">
            <v>0</v>
          </cell>
          <cell r="L511">
            <v>869.77</v>
          </cell>
          <cell r="M511">
            <v>868.91</v>
          </cell>
          <cell r="N511">
            <v>878.75</v>
          </cell>
          <cell r="O511">
            <v>973.97</v>
          </cell>
          <cell r="P511">
            <v>1678.97</v>
          </cell>
          <cell r="Q511">
            <v>11552.13</v>
          </cell>
        </row>
        <row r="512">
          <cell r="A512">
            <v>70165</v>
          </cell>
          <cell r="B512" t="str">
            <v>Communications</v>
          </cell>
          <cell r="E512">
            <v>1837.34</v>
          </cell>
          <cell r="F512">
            <v>1811.33</v>
          </cell>
          <cell r="G512">
            <v>2247.1</v>
          </cell>
          <cell r="H512">
            <v>1908.93</v>
          </cell>
          <cell r="I512">
            <v>2066.65</v>
          </cell>
          <cell r="J512">
            <v>2198.11</v>
          </cell>
          <cell r="K512">
            <v>2042.44</v>
          </cell>
          <cell r="L512">
            <v>2129.4</v>
          </cell>
          <cell r="M512">
            <v>2270.06</v>
          </cell>
          <cell r="N512">
            <v>2682.39</v>
          </cell>
          <cell r="O512">
            <v>1762.11</v>
          </cell>
          <cell r="P512">
            <v>2834.19</v>
          </cell>
          <cell r="Q512">
            <v>25790.05</v>
          </cell>
        </row>
        <row r="513">
          <cell r="A513">
            <v>70166</v>
          </cell>
          <cell r="B513" t="str">
            <v>Office Telephone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A514">
            <v>70167</v>
          </cell>
          <cell r="B514" t="str">
            <v>Cellular Telephone</v>
          </cell>
          <cell r="E514">
            <v>156.94999999999999</v>
          </cell>
          <cell r="F514">
            <v>186.7</v>
          </cell>
          <cell r="G514">
            <v>355.41</v>
          </cell>
          <cell r="H514">
            <v>205.54</v>
          </cell>
          <cell r="I514">
            <v>168.04</v>
          </cell>
          <cell r="J514">
            <v>205.54</v>
          </cell>
          <cell r="K514">
            <v>356.92</v>
          </cell>
          <cell r="L514">
            <v>187.5</v>
          </cell>
          <cell r="M514">
            <v>75</v>
          </cell>
          <cell r="N514">
            <v>223.5</v>
          </cell>
          <cell r="O514">
            <v>226.5</v>
          </cell>
          <cell r="P514">
            <v>150</v>
          </cell>
          <cell r="Q514">
            <v>2497.6</v>
          </cell>
        </row>
        <row r="515">
          <cell r="A515">
            <v>70170</v>
          </cell>
          <cell r="B515" t="str">
            <v>Real Estate Rentals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</row>
        <row r="516">
          <cell r="A516">
            <v>70175</v>
          </cell>
          <cell r="B516" t="str">
            <v>Equip/Vehicle Rental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>
            <v>70185</v>
          </cell>
          <cell r="B517" t="str">
            <v>Postage</v>
          </cell>
          <cell r="E517">
            <v>1663.37</v>
          </cell>
          <cell r="F517">
            <v>1464.26</v>
          </cell>
          <cell r="G517">
            <v>492.87</v>
          </cell>
          <cell r="H517">
            <v>1792.31</v>
          </cell>
          <cell r="I517">
            <v>1736.3</v>
          </cell>
          <cell r="J517">
            <v>1600.37</v>
          </cell>
          <cell r="K517">
            <v>417.65</v>
          </cell>
          <cell r="L517">
            <v>1589.73</v>
          </cell>
          <cell r="M517">
            <v>1686.05</v>
          </cell>
          <cell r="N517">
            <v>1653.87</v>
          </cell>
          <cell r="O517">
            <v>1642.82</v>
          </cell>
          <cell r="P517">
            <v>1641.55</v>
          </cell>
          <cell r="Q517">
            <v>17381.149999999998</v>
          </cell>
        </row>
        <row r="518">
          <cell r="A518">
            <v>70190</v>
          </cell>
          <cell r="B518" t="str">
            <v>Registration Fees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244</v>
          </cell>
          <cell r="K518">
            <v>-244</v>
          </cell>
          <cell r="L518">
            <v>0</v>
          </cell>
          <cell r="M518">
            <v>0</v>
          </cell>
          <cell r="N518">
            <v>450</v>
          </cell>
          <cell r="O518">
            <v>80</v>
          </cell>
          <cell r="P518">
            <v>5</v>
          </cell>
          <cell r="Q518">
            <v>535</v>
          </cell>
        </row>
        <row r="519">
          <cell r="A519">
            <v>70195</v>
          </cell>
          <cell r="B519" t="str">
            <v>Dues and Subscriptions</v>
          </cell>
          <cell r="E519">
            <v>734.67</v>
          </cell>
          <cell r="F519">
            <v>3500</v>
          </cell>
          <cell r="G519">
            <v>654.66999999999996</v>
          </cell>
          <cell r="H519">
            <v>3788.33</v>
          </cell>
          <cell r="I519">
            <v>831.17</v>
          </cell>
          <cell r="J519">
            <v>2522.33</v>
          </cell>
          <cell r="K519">
            <v>3255.67</v>
          </cell>
          <cell r="L519">
            <v>3419.03</v>
          </cell>
          <cell r="M519">
            <v>1208.23</v>
          </cell>
          <cell r="N519">
            <v>2099.1799999999998</v>
          </cell>
          <cell r="O519">
            <v>3420.89</v>
          </cell>
          <cell r="P519">
            <v>1716.89</v>
          </cell>
          <cell r="Q519">
            <v>27151.059999999998</v>
          </cell>
        </row>
        <row r="520">
          <cell r="A520">
            <v>70196</v>
          </cell>
          <cell r="B520" t="str">
            <v>Club Dues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>
            <v>70200</v>
          </cell>
          <cell r="B521" t="str">
            <v>Travel</v>
          </cell>
          <cell r="E521">
            <v>225.54</v>
          </cell>
          <cell r="F521">
            <v>769.5</v>
          </cell>
          <cell r="G521">
            <v>907.05</v>
          </cell>
          <cell r="H521">
            <v>0</v>
          </cell>
          <cell r="I521">
            <v>627.9</v>
          </cell>
          <cell r="J521">
            <v>18.75</v>
          </cell>
          <cell r="K521">
            <v>51</v>
          </cell>
          <cell r="L521">
            <v>-46.5</v>
          </cell>
          <cell r="M521">
            <v>1021.88</v>
          </cell>
          <cell r="N521">
            <v>876</v>
          </cell>
          <cell r="O521">
            <v>92.25</v>
          </cell>
          <cell r="P521">
            <v>339.6</v>
          </cell>
          <cell r="Q521">
            <v>4882.97</v>
          </cell>
        </row>
        <row r="522">
          <cell r="A522">
            <v>70201</v>
          </cell>
          <cell r="B522" t="str">
            <v>Entertainment</v>
          </cell>
          <cell r="E522">
            <v>0</v>
          </cell>
          <cell r="F522">
            <v>23.53</v>
          </cell>
          <cell r="G522">
            <v>0</v>
          </cell>
          <cell r="H522">
            <v>321.41000000000003</v>
          </cell>
          <cell r="I522">
            <v>0</v>
          </cell>
          <cell r="J522">
            <v>341.1</v>
          </cell>
          <cell r="K522">
            <v>728.42</v>
          </cell>
          <cell r="L522">
            <v>-72.099999999999994</v>
          </cell>
          <cell r="M522">
            <v>0</v>
          </cell>
          <cell r="N522">
            <v>41.89</v>
          </cell>
          <cell r="O522">
            <v>0</v>
          </cell>
          <cell r="P522">
            <v>0</v>
          </cell>
          <cell r="Q522">
            <v>1384.2500000000002</v>
          </cell>
        </row>
        <row r="523">
          <cell r="A523">
            <v>70202</v>
          </cell>
          <cell r="B523" t="str">
            <v>Excursions Meetings</v>
          </cell>
          <cell r="E523">
            <v>300</v>
          </cell>
          <cell r="F523">
            <v>345.51</v>
          </cell>
          <cell r="G523">
            <v>0</v>
          </cell>
          <cell r="H523">
            <v>0</v>
          </cell>
          <cell r="I523">
            <v>485</v>
          </cell>
          <cell r="J523">
            <v>1248.75</v>
          </cell>
          <cell r="K523">
            <v>0</v>
          </cell>
          <cell r="L523">
            <v>288.39999999999998</v>
          </cell>
          <cell r="M523">
            <v>0</v>
          </cell>
          <cell r="N523">
            <v>0</v>
          </cell>
          <cell r="O523">
            <v>279</v>
          </cell>
          <cell r="P523">
            <v>0</v>
          </cell>
          <cell r="Q523">
            <v>2946.6600000000003</v>
          </cell>
        </row>
        <row r="524">
          <cell r="A524">
            <v>70203</v>
          </cell>
          <cell r="B524" t="str">
            <v>Lodging</v>
          </cell>
          <cell r="E524">
            <v>462.54</v>
          </cell>
          <cell r="F524">
            <v>0</v>
          </cell>
          <cell r="G524">
            <v>0</v>
          </cell>
          <cell r="H524">
            <v>653.4</v>
          </cell>
          <cell r="I524">
            <v>579</v>
          </cell>
          <cell r="J524">
            <v>0</v>
          </cell>
          <cell r="K524">
            <v>797.67</v>
          </cell>
          <cell r="L524">
            <v>618.57000000000005</v>
          </cell>
          <cell r="M524">
            <v>382.5</v>
          </cell>
          <cell r="N524">
            <v>140.19999999999999</v>
          </cell>
          <cell r="O524">
            <v>457.4</v>
          </cell>
          <cell r="P524">
            <v>1133.44</v>
          </cell>
          <cell r="Q524">
            <v>5224.72</v>
          </cell>
        </row>
        <row r="525">
          <cell r="A525">
            <v>70204</v>
          </cell>
          <cell r="B525" t="str">
            <v>Gifts to Customers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>
            <v>70205</v>
          </cell>
          <cell r="B526" t="str">
            <v>Travel - Auto</v>
          </cell>
          <cell r="E526">
            <v>592.16</v>
          </cell>
          <cell r="F526">
            <v>812.81</v>
          </cell>
          <cell r="G526">
            <v>372.79</v>
          </cell>
          <cell r="H526">
            <v>924.67</v>
          </cell>
          <cell r="I526">
            <v>591.26</v>
          </cell>
          <cell r="J526">
            <v>614.52</v>
          </cell>
          <cell r="K526">
            <v>370.59</v>
          </cell>
          <cell r="L526">
            <v>811.62</v>
          </cell>
          <cell r="M526">
            <v>291.60000000000002</v>
          </cell>
          <cell r="N526">
            <v>789.52</v>
          </cell>
          <cell r="O526">
            <v>730.2</v>
          </cell>
          <cell r="P526">
            <v>523.23</v>
          </cell>
          <cell r="Q526">
            <v>7424.9699999999993</v>
          </cell>
        </row>
        <row r="527">
          <cell r="A527">
            <v>70206</v>
          </cell>
          <cell r="B527" t="str">
            <v>Meals</v>
          </cell>
          <cell r="E527">
            <v>155.22</v>
          </cell>
          <cell r="F527">
            <v>199.8</v>
          </cell>
          <cell r="G527">
            <v>112.98</v>
          </cell>
          <cell r="H527">
            <v>115.92</v>
          </cell>
          <cell r="I527">
            <v>277.83</v>
          </cell>
          <cell r="J527">
            <v>270.38</v>
          </cell>
          <cell r="K527">
            <v>579.17999999999995</v>
          </cell>
          <cell r="L527">
            <v>-136.55000000000001</v>
          </cell>
          <cell r="M527">
            <v>50</v>
          </cell>
          <cell r="N527">
            <v>287</v>
          </cell>
          <cell r="O527">
            <v>150.02000000000001</v>
          </cell>
          <cell r="P527">
            <v>59.7</v>
          </cell>
          <cell r="Q527">
            <v>2121.48</v>
          </cell>
        </row>
        <row r="528">
          <cell r="A528">
            <v>70207</v>
          </cell>
          <cell r="B528" t="str">
            <v>Meals with Customers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3.75</v>
          </cell>
          <cell r="O528">
            <v>0</v>
          </cell>
          <cell r="P528">
            <v>0</v>
          </cell>
          <cell r="Q528">
            <v>3.75</v>
          </cell>
        </row>
        <row r="529">
          <cell r="A529">
            <v>70209</v>
          </cell>
          <cell r="B529" t="str">
            <v>Photo Supplies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A530">
            <v>70210</v>
          </cell>
          <cell r="B530" t="str">
            <v>Office Supplies and Equip</v>
          </cell>
          <cell r="E530">
            <v>7068.1</v>
          </cell>
          <cell r="F530">
            <v>6155.01</v>
          </cell>
          <cell r="G530">
            <v>3868.92</v>
          </cell>
          <cell r="H530">
            <v>3782.02</v>
          </cell>
          <cell r="I530">
            <v>2862.22</v>
          </cell>
          <cell r="J530">
            <v>4721.92</v>
          </cell>
          <cell r="K530">
            <v>5210.1099999999997</v>
          </cell>
          <cell r="L530">
            <v>4854.1400000000003</v>
          </cell>
          <cell r="M530">
            <v>4059.64</v>
          </cell>
          <cell r="N530">
            <v>7017.47</v>
          </cell>
          <cell r="O530">
            <v>1056.94</v>
          </cell>
          <cell r="P530">
            <v>7841.63</v>
          </cell>
          <cell r="Q530">
            <v>58498.12</v>
          </cell>
        </row>
        <row r="531">
          <cell r="A531">
            <v>70213</v>
          </cell>
          <cell r="B531" t="str">
            <v>P-Card Rebate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A532">
            <v>70214</v>
          </cell>
          <cell r="B532" t="str">
            <v>Credit Card Fees</v>
          </cell>
          <cell r="E532">
            <v>7453.96</v>
          </cell>
          <cell r="F532">
            <v>8072.47</v>
          </cell>
          <cell r="G532">
            <v>8471.26</v>
          </cell>
          <cell r="H532">
            <v>7487.53</v>
          </cell>
          <cell r="I532">
            <v>7402.35</v>
          </cell>
          <cell r="J532">
            <v>8604.07</v>
          </cell>
          <cell r="K532">
            <v>8742.07</v>
          </cell>
          <cell r="L532">
            <v>9298.84</v>
          </cell>
          <cell r="M532">
            <v>9731.43</v>
          </cell>
          <cell r="N532">
            <v>9257.65</v>
          </cell>
          <cell r="O532">
            <v>10120.43</v>
          </cell>
          <cell r="P532">
            <v>9008.27</v>
          </cell>
          <cell r="Q532">
            <v>103650.33</v>
          </cell>
        </row>
        <row r="533">
          <cell r="A533">
            <v>70215</v>
          </cell>
          <cell r="B533" t="str">
            <v>Bank Charges</v>
          </cell>
          <cell r="E533">
            <v>520.58000000000004</v>
          </cell>
          <cell r="F533">
            <v>527.17999999999995</v>
          </cell>
          <cell r="G533">
            <v>539.19000000000005</v>
          </cell>
          <cell r="H533">
            <v>530.33000000000004</v>
          </cell>
          <cell r="I533">
            <v>471.57</v>
          </cell>
          <cell r="J533">
            <v>491.42</v>
          </cell>
          <cell r="K533">
            <v>465.31</v>
          </cell>
          <cell r="L533">
            <v>559.30999999999995</v>
          </cell>
          <cell r="M533">
            <v>476.99</v>
          </cell>
          <cell r="N533">
            <v>385.37</v>
          </cell>
          <cell r="O533">
            <v>367.56</v>
          </cell>
          <cell r="P533">
            <v>638.20000000000005</v>
          </cell>
          <cell r="Q533">
            <v>5973.01</v>
          </cell>
        </row>
        <row r="534">
          <cell r="A534">
            <v>70216</v>
          </cell>
          <cell r="B534" t="str">
            <v>Outside Storages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A535">
            <v>70217</v>
          </cell>
          <cell r="B535" t="str">
            <v>Invoice Printing Costs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A536">
            <v>70225</v>
          </cell>
          <cell r="B536" t="str">
            <v>Advertising and Promotions</v>
          </cell>
          <cell r="E536">
            <v>2100</v>
          </cell>
          <cell r="F536">
            <v>-679.79</v>
          </cell>
          <cell r="G536">
            <v>0</v>
          </cell>
          <cell r="H536">
            <v>31.64</v>
          </cell>
          <cell r="I536">
            <v>0</v>
          </cell>
          <cell r="J536">
            <v>0</v>
          </cell>
          <cell r="K536">
            <v>500</v>
          </cell>
          <cell r="L536">
            <v>710.94</v>
          </cell>
          <cell r="M536">
            <v>0</v>
          </cell>
          <cell r="N536">
            <v>3049.29</v>
          </cell>
          <cell r="O536">
            <v>5336.83</v>
          </cell>
          <cell r="P536">
            <v>0</v>
          </cell>
          <cell r="Q536">
            <v>11048.91</v>
          </cell>
        </row>
        <row r="537">
          <cell r="A537">
            <v>70230</v>
          </cell>
          <cell r="B537" t="str">
            <v>External Recruiter Fees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A538">
            <v>70231</v>
          </cell>
          <cell r="B538" t="str">
            <v>Recruitment Advertising &amp; Expenses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25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25</v>
          </cell>
        </row>
        <row r="539">
          <cell r="A539">
            <v>70232</v>
          </cell>
          <cell r="B539" t="str">
            <v>Recruitment Travel Expenses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A540">
            <v>70235</v>
          </cell>
          <cell r="B540" t="str">
            <v>Legal</v>
          </cell>
          <cell r="E540">
            <v>134.16</v>
          </cell>
          <cell r="F540">
            <v>0</v>
          </cell>
          <cell r="G540">
            <v>198.36</v>
          </cell>
          <cell r="H540">
            <v>3699.71</v>
          </cell>
          <cell r="I540">
            <v>1056.02</v>
          </cell>
          <cell r="J540">
            <v>682.19</v>
          </cell>
          <cell r="K540">
            <v>3008.78</v>
          </cell>
          <cell r="L540">
            <v>-2300.2800000000002</v>
          </cell>
          <cell r="M540">
            <v>3301.28</v>
          </cell>
          <cell r="N540">
            <v>0.2</v>
          </cell>
          <cell r="O540">
            <v>-0.2</v>
          </cell>
          <cell r="P540">
            <v>1207.32</v>
          </cell>
          <cell r="Q540">
            <v>10987.54</v>
          </cell>
        </row>
        <row r="541">
          <cell r="A541">
            <v>70240</v>
          </cell>
          <cell r="B541" t="str">
            <v>Accounting Professional Fees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A542">
            <v>70245</v>
          </cell>
          <cell r="B542" t="str">
            <v>Payroll Processing Fees</v>
          </cell>
          <cell r="E542">
            <v>324.20999999999998</v>
          </cell>
          <cell r="F542">
            <v>333.23</v>
          </cell>
          <cell r="G542">
            <v>333.23</v>
          </cell>
          <cell r="H542">
            <v>333.23</v>
          </cell>
          <cell r="I542">
            <v>333.23</v>
          </cell>
          <cell r="J542">
            <v>333.23</v>
          </cell>
          <cell r="K542">
            <v>333.23</v>
          </cell>
          <cell r="L542">
            <v>300.73</v>
          </cell>
          <cell r="M542">
            <v>300.73</v>
          </cell>
          <cell r="N542">
            <v>300.73</v>
          </cell>
          <cell r="O542">
            <v>300.86</v>
          </cell>
          <cell r="P542">
            <v>300.86</v>
          </cell>
          <cell r="Q542">
            <v>3827.5000000000005</v>
          </cell>
        </row>
        <row r="543">
          <cell r="A543">
            <v>70250</v>
          </cell>
          <cell r="B543" t="str">
            <v>Acquisition Cost Write Off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A544">
            <v>70254</v>
          </cell>
          <cell r="B544" t="str">
            <v>Corporate Capitalized Expenses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A545">
            <v>70255</v>
          </cell>
          <cell r="B545" t="str">
            <v>Other Prof Fees</v>
          </cell>
          <cell r="E545">
            <v>0</v>
          </cell>
          <cell r="F545">
            <v>659.25</v>
          </cell>
          <cell r="G545">
            <v>168.64</v>
          </cell>
          <cell r="H545">
            <v>0</v>
          </cell>
          <cell r="I545">
            <v>900</v>
          </cell>
          <cell r="J545">
            <v>168.64</v>
          </cell>
          <cell r="K545">
            <v>-900</v>
          </cell>
          <cell r="L545">
            <v>0</v>
          </cell>
          <cell r="M545">
            <v>168.64</v>
          </cell>
          <cell r="N545">
            <v>0</v>
          </cell>
          <cell r="O545">
            <v>548.44000000000005</v>
          </cell>
          <cell r="P545">
            <v>243.29</v>
          </cell>
          <cell r="Q545">
            <v>1956.8999999999996</v>
          </cell>
        </row>
        <row r="546">
          <cell r="A546">
            <v>70271</v>
          </cell>
          <cell r="B546" t="str">
            <v>Property and Liability Insurance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A547">
            <v>70272</v>
          </cell>
          <cell r="B547" t="str">
            <v>Keyman Life Insurance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A548">
            <v>70273</v>
          </cell>
          <cell r="B548" t="str">
            <v>Directors and Officers Insurance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A549">
            <v>70275</v>
          </cell>
          <cell r="B549" t="str">
            <v>Property Taxes</v>
          </cell>
          <cell r="E549">
            <v>3633</v>
          </cell>
          <cell r="F549">
            <v>3633</v>
          </cell>
          <cell r="G549">
            <v>4280.66</v>
          </cell>
          <cell r="H549">
            <v>5100.2</v>
          </cell>
          <cell r="I549">
            <v>5100.2</v>
          </cell>
          <cell r="J549">
            <v>5100.2</v>
          </cell>
          <cell r="K549">
            <v>6353.54</v>
          </cell>
          <cell r="L549">
            <v>4787.74</v>
          </cell>
          <cell r="M549">
            <v>4507.07</v>
          </cell>
          <cell r="N549">
            <v>4985.55</v>
          </cell>
          <cell r="O549">
            <v>5021.75</v>
          </cell>
          <cell r="P549">
            <v>4949.34</v>
          </cell>
          <cell r="Q549">
            <v>57452.25</v>
          </cell>
        </row>
        <row r="550">
          <cell r="A550">
            <v>70280</v>
          </cell>
          <cell r="B550" t="str">
            <v>Other Taxes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A551">
            <v>70300</v>
          </cell>
          <cell r="B551" t="str">
            <v>Data Processing</v>
          </cell>
          <cell r="E551">
            <v>3053.24</v>
          </cell>
          <cell r="F551">
            <v>27123.4</v>
          </cell>
          <cell r="G551">
            <v>1994.05</v>
          </cell>
          <cell r="H551">
            <v>25497.25</v>
          </cell>
          <cell r="I551">
            <v>4148.7299999999996</v>
          </cell>
          <cell r="J551">
            <v>12634.95</v>
          </cell>
          <cell r="K551">
            <v>2733.27</v>
          </cell>
          <cell r="L551">
            <v>28900.27</v>
          </cell>
          <cell r="M551">
            <v>2744.08</v>
          </cell>
          <cell r="N551">
            <v>23341.62</v>
          </cell>
          <cell r="O551">
            <v>2653.19</v>
          </cell>
          <cell r="P551">
            <v>25630.6</v>
          </cell>
          <cell r="Q551">
            <v>160454.65000000002</v>
          </cell>
        </row>
        <row r="552">
          <cell r="A552">
            <v>70301</v>
          </cell>
          <cell r="B552" t="str">
            <v>Computer Software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A553">
            <v>70302</v>
          </cell>
          <cell r="B553" t="str">
            <v>Computer Supplies</v>
          </cell>
          <cell r="E553">
            <v>0</v>
          </cell>
          <cell r="F553">
            <v>435.77</v>
          </cell>
          <cell r="G553">
            <v>693.82</v>
          </cell>
          <cell r="H553">
            <v>0</v>
          </cell>
          <cell r="I553">
            <v>0</v>
          </cell>
          <cell r="J553">
            <v>0</v>
          </cell>
          <cell r="K553">
            <v>71.819999999999993</v>
          </cell>
          <cell r="L553">
            <v>73.77</v>
          </cell>
          <cell r="M553">
            <v>0</v>
          </cell>
          <cell r="N553">
            <v>0</v>
          </cell>
          <cell r="O553">
            <v>0</v>
          </cell>
          <cell r="P553">
            <v>561.86</v>
          </cell>
          <cell r="Q553">
            <v>1837.04</v>
          </cell>
        </row>
        <row r="554">
          <cell r="A554">
            <v>70310</v>
          </cell>
          <cell r="B554" t="str">
            <v>Bad Debt Provision</v>
          </cell>
          <cell r="E554">
            <v>-38144.620000000003</v>
          </cell>
          <cell r="F554">
            <v>34133.97</v>
          </cell>
          <cell r="G554">
            <v>-43595.040000000001</v>
          </cell>
          <cell r="H554">
            <v>39178.03</v>
          </cell>
          <cell r="I554">
            <v>-23435.439999999999</v>
          </cell>
          <cell r="J554">
            <v>54303.69</v>
          </cell>
          <cell r="K554">
            <v>-33171.480000000003</v>
          </cell>
          <cell r="L554">
            <v>54213.2</v>
          </cell>
          <cell r="M554">
            <v>-34096.239999999998</v>
          </cell>
          <cell r="N554">
            <v>57772.45</v>
          </cell>
          <cell r="O554">
            <v>-39518.949999999997</v>
          </cell>
          <cell r="P554">
            <v>53267.67</v>
          </cell>
          <cell r="Q554">
            <v>80907.239999999991</v>
          </cell>
        </row>
        <row r="555">
          <cell r="A555">
            <v>70315</v>
          </cell>
          <cell r="B555" t="str">
            <v>Bad Debt Recoveries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A556">
            <v>70320</v>
          </cell>
          <cell r="B556" t="str">
            <v>Credit and Collection</v>
          </cell>
          <cell r="E556">
            <v>6198.28</v>
          </cell>
          <cell r="F556">
            <v>9319.4599999999991</v>
          </cell>
          <cell r="G556">
            <v>5273.3</v>
          </cell>
          <cell r="H556">
            <v>8215.32</v>
          </cell>
          <cell r="I556">
            <v>5615.84</v>
          </cell>
          <cell r="J556">
            <v>3201.73</v>
          </cell>
          <cell r="K556">
            <v>4767.67</v>
          </cell>
          <cell r="L556">
            <v>2810.14</v>
          </cell>
          <cell r="M556">
            <v>5490.95</v>
          </cell>
          <cell r="N556">
            <v>4968.87</v>
          </cell>
          <cell r="O556">
            <v>5918.1</v>
          </cell>
          <cell r="P556">
            <v>0</v>
          </cell>
          <cell r="Q556">
            <v>61779.659999999996</v>
          </cell>
        </row>
        <row r="557">
          <cell r="A557">
            <v>70324</v>
          </cell>
          <cell r="B557" t="str">
            <v>Penalties and Violations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A558">
            <v>70325</v>
          </cell>
          <cell r="B558" t="str">
            <v>Legal Settlement Payments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A559">
            <v>70326</v>
          </cell>
          <cell r="B559" t="str">
            <v>Deductible Current Year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A560">
            <v>70327</v>
          </cell>
          <cell r="B560" t="str">
            <v>Deductible Dammage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A561">
            <v>70328</v>
          </cell>
          <cell r="B561" t="str">
            <v>Claim Recoveries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A562">
            <v>70330</v>
          </cell>
          <cell r="B562" t="str">
            <v>Deductible Prior Year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A563">
            <v>70335</v>
          </cell>
          <cell r="B563" t="str">
            <v>Miscellaneous</v>
          </cell>
          <cell r="E563">
            <v>0</v>
          </cell>
          <cell r="F563">
            <v>-78.28</v>
          </cell>
          <cell r="G563">
            <v>0</v>
          </cell>
          <cell r="H563">
            <v>-123.75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-202.03</v>
          </cell>
        </row>
        <row r="564">
          <cell r="A564">
            <v>70336</v>
          </cell>
          <cell r="B564" t="str">
            <v>Coffe Bar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38.020000000000003</v>
          </cell>
          <cell r="M564">
            <v>0</v>
          </cell>
          <cell r="N564">
            <v>-38.020000000000003</v>
          </cell>
          <cell r="O564">
            <v>0</v>
          </cell>
          <cell r="P564">
            <v>0</v>
          </cell>
          <cell r="Q564">
            <v>0</v>
          </cell>
        </row>
        <row r="565">
          <cell r="A565">
            <v>70345</v>
          </cell>
          <cell r="B565" t="str">
            <v>Security Services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A566">
            <v>70357</v>
          </cell>
          <cell r="B566" t="str">
            <v>Permits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A567">
            <v>70370</v>
          </cell>
          <cell r="B567" t="str">
            <v>Bonds Expense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</row>
        <row r="568">
          <cell r="A568">
            <v>70371</v>
          </cell>
          <cell r="B568" t="str">
            <v>Board of Directors Fees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A569">
            <v>70372</v>
          </cell>
          <cell r="B569" t="str">
            <v>Board of Directors Expense Report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A570">
            <v>70475</v>
          </cell>
          <cell r="B570" t="str">
            <v>Trade Shows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A571">
            <v>70900</v>
          </cell>
          <cell r="B571" t="str">
            <v>Entitiy Formation Costs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A572">
            <v>70998</v>
          </cell>
          <cell r="B572" t="str">
            <v>Allocation Out - District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A573">
            <v>70999</v>
          </cell>
          <cell r="B573" t="str">
            <v>Allocation Out - Out District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A574">
            <v>71000</v>
          </cell>
          <cell r="B574" t="str">
            <v>Stock Comp Expense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A575" t="str">
            <v>Total G&amp;A</v>
          </cell>
          <cell r="E575">
            <v>135458.46000000002</v>
          </cell>
          <cell r="F575">
            <v>208641.47999999992</v>
          </cell>
          <cell r="G575">
            <v>98781.099999999962</v>
          </cell>
          <cell r="H575">
            <v>225439.98</v>
          </cell>
          <cell r="I575">
            <v>124024.28</v>
          </cell>
          <cell r="J575">
            <v>224140.84000000008</v>
          </cell>
          <cell r="K575">
            <v>154049.73000000004</v>
          </cell>
          <cell r="L575">
            <v>264592.3</v>
          </cell>
          <cell r="M575">
            <v>109926.17</v>
          </cell>
          <cell r="N575">
            <v>249406.65000000005</v>
          </cell>
          <cell r="O575">
            <v>123801.06999999996</v>
          </cell>
          <cell r="P575">
            <v>250967.55000000005</v>
          </cell>
          <cell r="Q575">
            <v>2169229.61</v>
          </cell>
        </row>
        <row r="577">
          <cell r="A577" t="str">
            <v>Overhead</v>
          </cell>
        </row>
        <row r="578">
          <cell r="A578">
            <v>70149</v>
          </cell>
          <cell r="B578" t="str">
            <v>Corporate Overhead Allocation In</v>
          </cell>
          <cell r="E578">
            <v>95576.95</v>
          </cell>
          <cell r="F578">
            <v>93754.57</v>
          </cell>
          <cell r="G578">
            <v>96892.32</v>
          </cell>
          <cell r="H578">
            <v>96287.7</v>
          </cell>
          <cell r="I578">
            <v>98950.95</v>
          </cell>
          <cell r="J578">
            <v>99254.64</v>
          </cell>
          <cell r="K578">
            <v>97352.26</v>
          </cell>
          <cell r="L578">
            <v>97777.96</v>
          </cell>
          <cell r="M578">
            <v>98592.93</v>
          </cell>
          <cell r="N578">
            <v>101400.48</v>
          </cell>
          <cell r="O578">
            <v>100544.01</v>
          </cell>
          <cell r="P578">
            <v>100617.72</v>
          </cell>
          <cell r="Q578">
            <v>1177002.49</v>
          </cell>
        </row>
        <row r="579">
          <cell r="A579">
            <v>70159</v>
          </cell>
          <cell r="B579" t="str">
            <v>Region Overhead Allocation In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A580" t="str">
            <v>Total Overhead</v>
          </cell>
          <cell r="E580">
            <v>95576.95</v>
          </cell>
          <cell r="F580">
            <v>93754.57</v>
          </cell>
          <cell r="G580">
            <v>96892.32</v>
          </cell>
          <cell r="H580">
            <v>96287.7</v>
          </cell>
          <cell r="I580">
            <v>98950.95</v>
          </cell>
          <cell r="J580">
            <v>99254.64</v>
          </cell>
          <cell r="K580">
            <v>97352.26</v>
          </cell>
          <cell r="L580">
            <v>97777.96</v>
          </cell>
          <cell r="M580">
            <v>98592.93</v>
          </cell>
          <cell r="N580">
            <v>101400.48</v>
          </cell>
          <cell r="O580">
            <v>100544.01</v>
          </cell>
          <cell r="P580">
            <v>100617.72</v>
          </cell>
          <cell r="Q580">
            <v>1177002.49</v>
          </cell>
        </row>
        <row r="582">
          <cell r="A582" t="str">
            <v>Total SG&amp;A</v>
          </cell>
          <cell r="E582">
            <v>246511.28000000003</v>
          </cell>
          <cell r="F582">
            <v>305793.68999999994</v>
          </cell>
          <cell r="G582">
            <v>203965.25999999998</v>
          </cell>
          <cell r="H582">
            <v>328473.28999999998</v>
          </cell>
          <cell r="I582">
            <v>228706.00999999998</v>
          </cell>
          <cell r="J582">
            <v>331450.5400000001</v>
          </cell>
          <cell r="K582">
            <v>256165.84000000005</v>
          </cell>
          <cell r="L582">
            <v>365954.82</v>
          </cell>
          <cell r="M582">
            <v>239060.30999999997</v>
          </cell>
          <cell r="N582">
            <v>379132.25000000006</v>
          </cell>
          <cell r="O582">
            <v>228004.79999999996</v>
          </cell>
          <cell r="P582">
            <v>390132.22000000003</v>
          </cell>
          <cell r="Q582">
            <v>3503350.3099999996</v>
          </cell>
        </row>
        <row r="584">
          <cell r="A584" t="str">
            <v>EBITDA</v>
          </cell>
          <cell r="E584">
            <v>712085.01999999979</v>
          </cell>
          <cell r="F584">
            <v>772605.35999999987</v>
          </cell>
          <cell r="G584">
            <v>776716.52999999991</v>
          </cell>
          <cell r="H584">
            <v>731539.77</v>
          </cell>
          <cell r="I584">
            <v>769618.66999999934</v>
          </cell>
          <cell r="J584">
            <v>552555.60000000033</v>
          </cell>
          <cell r="K584">
            <v>743010.76999999932</v>
          </cell>
          <cell r="L584">
            <v>663397.72999999952</v>
          </cell>
          <cell r="M584">
            <v>766161.14</v>
          </cell>
          <cell r="N584">
            <v>683037.77000000048</v>
          </cell>
          <cell r="O584">
            <v>782671.56999999972</v>
          </cell>
          <cell r="P584">
            <v>621819.83000000031</v>
          </cell>
          <cell r="Q584">
            <v>8575219.7600000016</v>
          </cell>
        </row>
        <row r="586">
          <cell r="A586" t="str">
            <v>DD&amp;A</v>
          </cell>
        </row>
        <row r="587">
          <cell r="A587" t="str">
            <v>Depreciation</v>
          </cell>
        </row>
        <row r="588">
          <cell r="A588">
            <v>51260</v>
          </cell>
          <cell r="B588" t="str">
            <v>Depreciation</v>
          </cell>
          <cell r="E588">
            <v>128653.02</v>
          </cell>
          <cell r="F588">
            <v>131370.81</v>
          </cell>
          <cell r="G588">
            <v>131344.75</v>
          </cell>
          <cell r="H588">
            <v>130833.62</v>
          </cell>
          <cell r="I588">
            <v>128898.54</v>
          </cell>
          <cell r="J588">
            <v>124756.98</v>
          </cell>
          <cell r="K588">
            <v>129780.01</v>
          </cell>
          <cell r="L588">
            <v>124499.33</v>
          </cell>
          <cell r="M588">
            <v>116250.86</v>
          </cell>
          <cell r="N588">
            <v>116469.34</v>
          </cell>
          <cell r="O588">
            <v>115552.67</v>
          </cell>
          <cell r="P588">
            <v>115400.84</v>
          </cell>
          <cell r="Q588">
            <v>1493810.77</v>
          </cell>
        </row>
        <row r="589">
          <cell r="A589">
            <v>54260</v>
          </cell>
          <cell r="B589" t="str">
            <v>Depreciation</v>
          </cell>
          <cell r="E589">
            <v>44644.21</v>
          </cell>
          <cell r="F589">
            <v>45130.14</v>
          </cell>
          <cell r="G589">
            <v>45176.2</v>
          </cell>
          <cell r="H589">
            <v>45736.24</v>
          </cell>
          <cell r="I589">
            <v>45872.49</v>
          </cell>
          <cell r="J589">
            <v>46097.22</v>
          </cell>
          <cell r="K589">
            <v>46974.19</v>
          </cell>
          <cell r="L589">
            <v>47668</v>
          </cell>
          <cell r="M589">
            <v>47777.17</v>
          </cell>
          <cell r="N589">
            <v>47529.919999999998</v>
          </cell>
          <cell r="O589">
            <v>47583.6</v>
          </cell>
          <cell r="P589">
            <v>47682.03</v>
          </cell>
          <cell r="Q589">
            <v>557871.40999999992</v>
          </cell>
        </row>
        <row r="590">
          <cell r="A590">
            <v>56260</v>
          </cell>
          <cell r="B590" t="str">
            <v>Depreciation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A591">
            <v>57260</v>
          </cell>
          <cell r="B591" t="str">
            <v>Depreciation</v>
          </cell>
          <cell r="E591">
            <v>5579.13</v>
          </cell>
          <cell r="F591">
            <v>5579.15</v>
          </cell>
          <cell r="G591">
            <v>5579.14</v>
          </cell>
          <cell r="H591">
            <v>5579.12</v>
          </cell>
          <cell r="I591">
            <v>5579.14</v>
          </cell>
          <cell r="J591">
            <v>5579.19</v>
          </cell>
          <cell r="K591">
            <v>5579.09</v>
          </cell>
          <cell r="L591">
            <v>5579.1</v>
          </cell>
          <cell r="M591">
            <v>5521.44</v>
          </cell>
          <cell r="N591">
            <v>5521.33</v>
          </cell>
          <cell r="O591">
            <v>5521.37</v>
          </cell>
          <cell r="P591">
            <v>5521.3</v>
          </cell>
          <cell r="Q591">
            <v>66718.5</v>
          </cell>
        </row>
        <row r="592">
          <cell r="A592">
            <v>60260</v>
          </cell>
          <cell r="B592" t="str">
            <v>Depreciation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A593">
            <v>70257</v>
          </cell>
          <cell r="B593" t="str">
            <v>Depreciation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A594">
            <v>70260</v>
          </cell>
          <cell r="B594" t="str">
            <v>Depreciation</v>
          </cell>
          <cell r="E594">
            <v>819.53</v>
          </cell>
          <cell r="F594">
            <v>819.52</v>
          </cell>
          <cell r="G594">
            <v>819.52</v>
          </cell>
          <cell r="H594">
            <v>819.45</v>
          </cell>
          <cell r="I594">
            <v>622.97</v>
          </cell>
          <cell r="J594">
            <v>622.99</v>
          </cell>
          <cell r="K594">
            <v>622.98</v>
          </cell>
          <cell r="L594">
            <v>622.91</v>
          </cell>
          <cell r="M594">
            <v>451.09</v>
          </cell>
          <cell r="N594">
            <v>451.1</v>
          </cell>
          <cell r="O594">
            <v>430.18</v>
          </cell>
          <cell r="P594">
            <v>386.57</v>
          </cell>
          <cell r="Q594">
            <v>7488.8099999999995</v>
          </cell>
        </row>
        <row r="595">
          <cell r="A595" t="str">
            <v>Total Depreciation</v>
          </cell>
          <cell r="E595">
            <v>179695.89</v>
          </cell>
          <cell r="F595">
            <v>182899.62</v>
          </cell>
          <cell r="G595">
            <v>182919.61000000002</v>
          </cell>
          <cell r="H595">
            <v>182968.43</v>
          </cell>
          <cell r="I595">
            <v>180973.14</v>
          </cell>
          <cell r="J595">
            <v>177056.38</v>
          </cell>
          <cell r="K595">
            <v>182956.27000000002</v>
          </cell>
          <cell r="L595">
            <v>178369.34000000003</v>
          </cell>
          <cell r="M595">
            <v>170000.56</v>
          </cell>
          <cell r="N595">
            <v>169971.69</v>
          </cell>
          <cell r="O595">
            <v>169087.81999999998</v>
          </cell>
          <cell r="P595">
            <v>168990.74</v>
          </cell>
          <cell r="Q595">
            <v>2125889.4899999998</v>
          </cell>
        </row>
        <row r="597">
          <cell r="A597" t="str">
            <v>Depletion</v>
          </cell>
        </row>
        <row r="598">
          <cell r="A598">
            <v>46000</v>
          </cell>
          <cell r="B598" t="str">
            <v>Depletion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A599">
            <v>46010</v>
          </cell>
          <cell r="B599" t="str">
            <v>Closure Amortization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A600">
            <v>57261</v>
          </cell>
          <cell r="B600" t="str">
            <v>Airspace Amortization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A601" t="str">
            <v>Total Depletion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3">
          <cell r="A603" t="str">
            <v>Amortization</v>
          </cell>
        </row>
        <row r="604">
          <cell r="A604">
            <v>70264</v>
          </cell>
          <cell r="B604" t="str">
            <v>Amortization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</row>
        <row r="605">
          <cell r="A605">
            <v>70266</v>
          </cell>
          <cell r="B605" t="str">
            <v>Cov. Not to Compete</v>
          </cell>
          <cell r="E605">
            <v>1987.84</v>
          </cell>
          <cell r="F605">
            <v>1987.84</v>
          </cell>
          <cell r="G605">
            <v>1987.83</v>
          </cell>
          <cell r="H605">
            <v>1987.84</v>
          </cell>
          <cell r="I605">
            <v>1987.83</v>
          </cell>
          <cell r="J605">
            <v>1987.83</v>
          </cell>
          <cell r="K605">
            <v>1987.84</v>
          </cell>
          <cell r="L605">
            <v>1987.8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15902.65</v>
          </cell>
        </row>
        <row r="606">
          <cell r="A606">
            <v>70267</v>
          </cell>
          <cell r="B606" t="str">
            <v>Amortization of Goodwill - Taxable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A607">
            <v>70268</v>
          </cell>
          <cell r="B607" t="str">
            <v>Amortization of Goodwill - Non-Taxable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A608">
            <v>70269</v>
          </cell>
          <cell r="B608" t="str">
            <v>Long Term Contract Amort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A609" t="str">
            <v>Total Amortization</v>
          </cell>
          <cell r="E609">
            <v>1987.84</v>
          </cell>
          <cell r="F609">
            <v>1987.84</v>
          </cell>
          <cell r="G609">
            <v>1987.83</v>
          </cell>
          <cell r="H609">
            <v>1987.84</v>
          </cell>
          <cell r="I609">
            <v>1987.83</v>
          </cell>
          <cell r="J609">
            <v>1987.83</v>
          </cell>
          <cell r="K609">
            <v>1987.84</v>
          </cell>
          <cell r="L609">
            <v>1987.8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15902.65</v>
          </cell>
        </row>
        <row r="611">
          <cell r="A611" t="str">
            <v>Total DDA</v>
          </cell>
          <cell r="E611">
            <v>181683.73</v>
          </cell>
          <cell r="F611">
            <v>184887.46</v>
          </cell>
          <cell r="G611">
            <v>184907.44</v>
          </cell>
          <cell r="H611">
            <v>184956.27</v>
          </cell>
          <cell r="I611">
            <v>182960.97</v>
          </cell>
          <cell r="J611">
            <v>179044.21</v>
          </cell>
          <cell r="K611">
            <v>184944.11000000002</v>
          </cell>
          <cell r="L611">
            <v>180357.14</v>
          </cell>
          <cell r="M611">
            <v>170000.56</v>
          </cell>
          <cell r="N611">
            <v>169971.69</v>
          </cell>
          <cell r="O611">
            <v>169087.81999999998</v>
          </cell>
          <cell r="P611">
            <v>168990.74</v>
          </cell>
          <cell r="Q611">
            <v>2141792.1399999997</v>
          </cell>
        </row>
        <row r="613">
          <cell r="A613" t="str">
            <v>EBIT</v>
          </cell>
          <cell r="E613">
            <v>530401.2899999998</v>
          </cell>
          <cell r="F613">
            <v>587717.89999999991</v>
          </cell>
          <cell r="G613">
            <v>591809.08999999985</v>
          </cell>
          <cell r="H613">
            <v>546583.5</v>
          </cell>
          <cell r="I613">
            <v>586657.69999999937</v>
          </cell>
          <cell r="J613">
            <v>373511.39000000036</v>
          </cell>
          <cell r="K613">
            <v>558066.65999999933</v>
          </cell>
          <cell r="L613">
            <v>483040.5899999995</v>
          </cell>
          <cell r="M613">
            <v>596160.58000000007</v>
          </cell>
          <cell r="N613">
            <v>513066.08000000048</v>
          </cell>
          <cell r="O613">
            <v>613583.74999999977</v>
          </cell>
          <cell r="P613">
            <v>452829.09000000032</v>
          </cell>
          <cell r="Q613">
            <v>6433427.620000002</v>
          </cell>
        </row>
        <row r="615">
          <cell r="A615" t="str">
            <v>Interest Expense</v>
          </cell>
        </row>
        <row r="616">
          <cell r="A616">
            <v>80000</v>
          </cell>
          <cell r="B616" t="str">
            <v>Interest Expense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A617">
            <v>80001</v>
          </cell>
          <cell r="B617" t="str">
            <v>Debt Accretion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A618">
            <v>80009</v>
          </cell>
          <cell r="B618" t="str">
            <v>Capitalized Interest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A619">
            <v>80099</v>
          </cell>
          <cell r="B619" t="str">
            <v>Interest Allocation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A620" t="str">
            <v>Total Interest Expense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2">
          <cell r="A622" t="str">
            <v>Interest Income</v>
          </cell>
        </row>
        <row r="623">
          <cell r="A623">
            <v>80010</v>
          </cell>
          <cell r="B623" t="str">
            <v>Interest Income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A624" t="str">
            <v>Total Interest Income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6">
          <cell r="A626" t="str">
            <v>Other (Income) and Expense</v>
          </cell>
        </row>
        <row r="627">
          <cell r="A627">
            <v>70901</v>
          </cell>
          <cell r="B627" t="str">
            <v>Pooling Costs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A628">
            <v>91000</v>
          </cell>
          <cell r="B628" t="str">
            <v>Unusual Gain/Loss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A629">
            <v>91001</v>
          </cell>
          <cell r="B629" t="str">
            <v>Investment Distribution Income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A630">
            <v>91002</v>
          </cell>
          <cell r="B630" t="str">
            <v>NSF Fees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A631" t="str">
            <v>Total Other (Income) and Expense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3">
          <cell r="A633" t="str">
            <v>Income Before Taxes and Extraordinary Items</v>
          </cell>
          <cell r="E633">
            <v>530401.2899999998</v>
          </cell>
          <cell r="F633">
            <v>587717.89999999991</v>
          </cell>
          <cell r="G633">
            <v>591809.08999999985</v>
          </cell>
          <cell r="H633">
            <v>546583.5</v>
          </cell>
          <cell r="I633">
            <v>586657.69999999937</v>
          </cell>
          <cell r="J633">
            <v>373511.39000000036</v>
          </cell>
          <cell r="K633">
            <v>558066.65999999933</v>
          </cell>
          <cell r="L633">
            <v>483040.5899999995</v>
          </cell>
          <cell r="M633">
            <v>596160.58000000007</v>
          </cell>
          <cell r="N633">
            <v>513066.08000000048</v>
          </cell>
          <cell r="O633">
            <v>613583.74999999977</v>
          </cell>
          <cell r="P633">
            <v>452829.09000000032</v>
          </cell>
          <cell r="Q633">
            <v>6433427.620000002</v>
          </cell>
        </row>
        <row r="635">
          <cell r="A635" t="str">
            <v>Extraordinary Income and Expense</v>
          </cell>
        </row>
        <row r="636">
          <cell r="A636">
            <v>92999</v>
          </cell>
          <cell r="B636" t="str">
            <v>Extraordinary Gain/Loss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A637" t="str">
            <v>Total Extraordinary Income and Expense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9">
          <cell r="A639" t="str">
            <v>Net Income Before Taxes</v>
          </cell>
          <cell r="E639">
            <v>530401.2899999998</v>
          </cell>
          <cell r="F639">
            <v>587717.89999999991</v>
          </cell>
          <cell r="G639">
            <v>591809.08999999985</v>
          </cell>
          <cell r="H639">
            <v>546583.5</v>
          </cell>
          <cell r="I639">
            <v>586657.69999999937</v>
          </cell>
          <cell r="J639">
            <v>373511.39000000036</v>
          </cell>
          <cell r="K639">
            <v>558066.65999999933</v>
          </cell>
          <cell r="L639">
            <v>483040.5899999995</v>
          </cell>
          <cell r="M639">
            <v>596160.58000000007</v>
          </cell>
          <cell r="N639">
            <v>513066.08000000048</v>
          </cell>
          <cell r="O639">
            <v>613583.74999999977</v>
          </cell>
          <cell r="P639">
            <v>452829.09000000032</v>
          </cell>
          <cell r="Q639">
            <v>6433427.620000002</v>
          </cell>
        </row>
        <row r="641">
          <cell r="A641" t="str">
            <v>Income Taxes</v>
          </cell>
        </row>
        <row r="642">
          <cell r="A642">
            <v>90000</v>
          </cell>
          <cell r="B642" t="str">
            <v>Taxes -Federal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A643">
            <v>90010</v>
          </cell>
          <cell r="B643" t="str">
            <v>Taxes - State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A644" t="str">
            <v>Total Income Taxes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6">
          <cell r="A646" t="str">
            <v>Net Income</v>
          </cell>
          <cell r="E646">
            <v>530401.2899999998</v>
          </cell>
          <cell r="F646">
            <v>587717.89999999991</v>
          </cell>
          <cell r="G646">
            <v>591809.08999999985</v>
          </cell>
          <cell r="H646">
            <v>546583.5</v>
          </cell>
          <cell r="I646">
            <v>586657.69999999937</v>
          </cell>
          <cell r="J646">
            <v>373511.39000000036</v>
          </cell>
          <cell r="K646">
            <v>558066.65999999933</v>
          </cell>
          <cell r="L646">
            <v>483040.5899999995</v>
          </cell>
          <cell r="M646">
            <v>596160.58000000007</v>
          </cell>
          <cell r="N646">
            <v>513066.08000000048</v>
          </cell>
          <cell r="O646">
            <v>613583.74999999977</v>
          </cell>
          <cell r="P646">
            <v>452829.09000000032</v>
          </cell>
          <cell r="Q646">
            <v>6433427.620000002</v>
          </cell>
        </row>
        <row r="648">
          <cell r="A648" t="str">
            <v>Noncontrolling Interests Expense</v>
          </cell>
        </row>
        <row r="649">
          <cell r="A649">
            <v>92000</v>
          </cell>
          <cell r="B649" t="str">
            <v>Noncontrolling interests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A650" t="str">
            <v>Total Noncontrolling Interests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2">
          <cell r="A652" t="str">
            <v>Net Income Attributable to Waste Connections</v>
          </cell>
          <cell r="E652">
            <v>530401.2899999998</v>
          </cell>
          <cell r="F652">
            <v>587717.89999999991</v>
          </cell>
          <cell r="G652">
            <v>591809.08999999985</v>
          </cell>
          <cell r="H652">
            <v>546583.5</v>
          </cell>
          <cell r="I652">
            <v>586657.69999999937</v>
          </cell>
          <cell r="J652">
            <v>373511.39000000036</v>
          </cell>
          <cell r="K652">
            <v>558066.65999999933</v>
          </cell>
          <cell r="L652">
            <v>483040.5899999995</v>
          </cell>
          <cell r="M652">
            <v>596160.58000000007</v>
          </cell>
          <cell r="N652">
            <v>513066.08000000048</v>
          </cell>
          <cell r="O652">
            <v>613583.74999999977</v>
          </cell>
          <cell r="P652">
            <v>452829.09000000032</v>
          </cell>
          <cell r="Q652">
            <v>6433427.620000002</v>
          </cell>
        </row>
        <row r="654">
          <cell r="A654" t="str">
            <v>Net Income Attributable to Waste Connections per categories</v>
          </cell>
          <cell r="E654">
            <v>530401.29</v>
          </cell>
          <cell r="F654">
            <v>587717.9</v>
          </cell>
          <cell r="G654">
            <v>591809.09</v>
          </cell>
          <cell r="H654">
            <v>546583.5</v>
          </cell>
          <cell r="I654">
            <v>586657.69999999995</v>
          </cell>
          <cell r="J654">
            <v>373511.39</v>
          </cell>
          <cell r="K654">
            <v>558066.66</v>
          </cell>
          <cell r="L654">
            <v>483040.59</v>
          </cell>
          <cell r="M654">
            <v>596160.57999999996</v>
          </cell>
          <cell r="N654">
            <v>513066.08</v>
          </cell>
          <cell r="O654">
            <v>613583.75</v>
          </cell>
          <cell r="P654">
            <v>452829.09</v>
          </cell>
        </row>
      </sheetData>
      <sheetData sheetId="6" refreshError="1"/>
      <sheetData sheetId="7" refreshError="1">
        <row r="18">
          <cell r="Z18">
            <v>0.33073677436726834</v>
          </cell>
        </row>
        <row r="20">
          <cell r="AC20">
            <v>0.2095860832011289</v>
          </cell>
          <cell r="AK20">
            <v>0.43549015768657823</v>
          </cell>
        </row>
        <row r="39">
          <cell r="AC39">
            <v>0.37964780853584096</v>
          </cell>
        </row>
        <row r="40">
          <cell r="AC40">
            <v>0.36547527560558957</v>
          </cell>
        </row>
        <row r="120">
          <cell r="AE120">
            <v>0.43886061148837213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20"/>
      <sheetName val="#REF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PL_ActReview2"/>
      <sheetName val="BS_Close"/>
      <sheetName val="PL_ActTranx"/>
      <sheetName val="IS200PL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 refreshError="1">
        <row r="2">
          <cell r="S2" t="str">
            <v>P&amp;L Close Report</v>
          </cell>
        </row>
        <row r="3">
          <cell r="S3" t="str">
            <v>P&amp;L Close Report 2</v>
          </cell>
        </row>
        <row r="4">
          <cell r="S4" t="str">
            <v>BS Close Report</v>
          </cell>
        </row>
        <row r="5">
          <cell r="S5" t="str">
            <v>IS 200 - PL Review</v>
          </cell>
        </row>
        <row r="6">
          <cell r="S6" t="str">
            <v>IS 210 - PL Review</v>
          </cell>
        </row>
        <row r="7">
          <cell r="S7" t="str">
            <v>P&amp;L Tranx Report</v>
          </cell>
        </row>
        <row r="8">
          <cell r="S8" t="str">
            <v>JE Review Report</v>
          </cell>
        </row>
        <row r="9">
          <cell r="S9" t="str">
            <v>Corp: Rev/Proj Check</v>
          </cell>
        </row>
        <row r="10">
          <cell r="S10" t="str">
            <v>Corp: 52901 Check</v>
          </cell>
        </row>
        <row r="11">
          <cell r="S11" t="str">
            <v>Corp: BS Check</v>
          </cell>
        </row>
        <row r="12">
          <cell r="S12" t="str">
            <v>Corp: Bad Debt Check</v>
          </cell>
        </row>
        <row r="13">
          <cell r="S13" t="str">
            <v>Corp: IC Check</v>
          </cell>
        </row>
        <row r="14">
          <cell r="S14" t="str">
            <v>Corp: JE Neg Check</v>
          </cell>
        </row>
        <row r="15">
          <cell r="S15" t="str">
            <v>Proj Review Report</v>
          </cell>
        </row>
        <row r="16">
          <cell r="S16" t="str">
            <v>Proj Review Report 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4MthProj1"/>
      <sheetName val="4MthProj2"/>
      <sheetName val="PL_ActReview"/>
      <sheetName val="PL_ActReview2"/>
      <sheetName val="BS_Close"/>
      <sheetName val="IS200PL"/>
      <sheetName val="PL_ActTranx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tyCash-10110"/>
      <sheetName val="10200"/>
      <sheetName val="10210"/>
      <sheetName val="10250_RECON"/>
      <sheetName val="10250_MVPSS"/>
      <sheetName val="10250_Recy Chkg"/>
      <sheetName val="10250_Reimb Accts"/>
      <sheetName val="10250_Rollfwd"/>
      <sheetName val="10410_Rollfwd"/>
      <sheetName val="10410_Recon"/>
      <sheetName val="10410_Trade"/>
      <sheetName val="10410_Lodi"/>
      <sheetName val="10410_Sac Co"/>
      <sheetName val="10410_Brokered"/>
      <sheetName val="10420_Rollfwd"/>
      <sheetName val="10420 RECON"/>
      <sheetName val="Rollfwd_10550"/>
      <sheetName val="Recon_10550"/>
      <sheetName val="Recon_10555"/>
      <sheetName val="Recon_10610"/>
      <sheetName val="A170XX-October"/>
      <sheetName val="Recon_10760"/>
      <sheetName val="Rollfwd_10820"/>
      <sheetName val="PPXXC_10830"/>
      <sheetName val="Schedule_10830"/>
      <sheetName val="Recon_10830"/>
      <sheetName val="Rollfwd_10850"/>
      <sheetName val="Recon_10850"/>
      <sheetName val="ReconSumm_10890"/>
      <sheetName val="ASSETS 11XXX"/>
      <sheetName val="ACC DEP 12XXX"/>
      <sheetName val="GOODWILL_15120"/>
      <sheetName val="Rollfwd_15450"/>
      <sheetName val="15450_92 bond"/>
      <sheetName val="15450_94 Bond "/>
      <sheetName val="Recon_15450"/>
      <sheetName val="Rollfwd_15320_15500"/>
      <sheetName val="16100_Rollfwd"/>
      <sheetName val="A180543"/>
      <sheetName val="A20110"/>
      <sheetName val="Rollfwd_20120"/>
      <sheetName val="Recon_20120"/>
      <sheetName val="Recon_20130"/>
      <sheetName val="Recon_20133"/>
      <sheetName val="Recon_20135"/>
      <sheetName val="Recon_20137"/>
      <sheetName val="A20140"/>
      <sheetName val="SALES TAX RETURN_20140"/>
      <sheetName val="Rollfwd_20170"/>
      <sheetName val="Recon_20170"/>
      <sheetName val="Recon_20175"/>
      <sheetName val="Recon_20177"/>
      <sheetName val="Detail_20320"/>
      <sheetName val="Rollfwd_20325"/>
      <sheetName val="Recon_20325"/>
      <sheetName val="A20330"/>
      <sheetName val="RECON 20335"/>
      <sheetName val="RECON_20340"/>
      <sheetName val="DETAILED 20360"/>
      <sheetName val="recon 20365"/>
      <sheetName val="recon 20375"/>
      <sheetName val="A21100 &amp; A21250"/>
      <sheetName val="21250_92 Bond"/>
      <sheetName val="21250_94 Bond"/>
      <sheetName val="21250_R. Vaccarezza"/>
      <sheetName val="21250_BOND DIS AMORT"/>
      <sheetName val="A21390"/>
      <sheetName val="Recon 22104"/>
      <sheetName val="Recon 22105"/>
      <sheetName val="Recon 22109"/>
      <sheetName val="Recon 22205 "/>
      <sheetName val="Recon 22206"/>
      <sheetName val="Recon_30XXXX"/>
      <sheetName val="Recon 150543 Revised"/>
      <sheetName val="170001 DL 121999"/>
      <sheetName val="Rollfwd_170001"/>
      <sheetName val="A170001"/>
      <sheetName val="Rollfwd_170050"/>
      <sheetName val="A170050"/>
      <sheetName val="Rollfwd_171170"/>
      <sheetName val="A171170"/>
      <sheetName val="Rollfwd_171500"/>
      <sheetName val="A171500"/>
      <sheetName val="A171504"/>
      <sheetName val="A171531"/>
      <sheetName val="A172216"/>
      <sheetName val="A172220"/>
      <sheetName val="A172355"/>
      <sheetName val="Dec_99 DL_RAW"/>
      <sheetName val="Dec_99 DL_"/>
      <sheetName val="DEC_98 DL RAW"/>
      <sheetName val="DEC_98 DL "/>
      <sheetName val="Sheet4"/>
      <sheetName val="Sheet4 (2)"/>
      <sheetName val="XXXXXX"/>
      <sheetName val="BU NAMES"/>
      <sheetName val="PS BS AC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Class A IS"/>
      <sheetName val="2149 BS"/>
      <sheetName val="9-30-11 BS"/>
      <sheetName val="2149 IS"/>
      <sheetName val="Consolidated IS"/>
      <sheetName val="Ratios"/>
      <sheetName val="Restating Adj"/>
      <sheetName val="Restating Expl"/>
      <sheetName val="Pro forma Adj"/>
      <sheetName val="Pro-forma"/>
      <sheetName val="LG-Combined"/>
      <sheetName val="LG-Pckr,RO"/>
      <sheetName val="LG-Recycl"/>
      <sheetName val="Price Out"/>
      <sheetName val="Rate Sheet"/>
      <sheetName val="Pckr, RO, Matrix"/>
      <sheetName val="COS Packer,RO "/>
      <sheetName val="Recycl Matrix"/>
      <sheetName val="COS Recycle"/>
      <sheetName val="Disposal Calc"/>
      <sheetName val="Disposal Schedule"/>
      <sheetName val="Fuel"/>
      <sheetName val="PR Summary"/>
      <sheetName val="Depr Summary"/>
      <sheetName val="Depreciation"/>
      <sheetName val="Cust Count"/>
      <sheetName val="Rt Study Summary"/>
      <sheetName val="Recycl Tons, Commodity Value"/>
      <sheetName val="Tribal Cnts"/>
      <sheetName val="Corp OH"/>
      <sheetName val="Corp Debt Equity"/>
      <sheetName val="Balance Sheet"/>
      <sheetName val="P&amp;L"/>
      <sheetName val="70195 JE-WRRA Dues"/>
      <sheetName val="56095 JE"/>
      <sheetName val="Non-Reg Price Out"/>
      <sheetName val="30% Commodity Justification"/>
      <sheetName val="TRC Processing Justfication"/>
      <sheetName val="Orig Price Out"/>
      <sheetName val="Rate Sheet Dec 2012"/>
      <sheetName val="Orig COS Packer,RO "/>
      <sheetName val="LG-Pckr w DF"/>
      <sheetName val="LG-Pckr w-out DF"/>
      <sheetName val="LG-RO"/>
    </sheetNames>
    <sheetDataSet>
      <sheetData sheetId="0" refreshError="1">
        <row r="107">
          <cell r="L107">
            <v>1755086.2007667283</v>
          </cell>
        </row>
        <row r="214">
          <cell r="L214">
            <v>861493.18580596044</v>
          </cell>
        </row>
        <row r="278">
          <cell r="L278">
            <v>840474.49671344017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23">
          <cell r="L23">
            <v>2329.3388396454475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8"/>
  <sheetViews>
    <sheetView showGridLines="0" view="pageBreakPreview" topLeftCell="A10" zoomScaleNormal="85" zoomScaleSheetLayoutView="100" workbookViewId="0">
      <selection activeCell="A88" sqref="A88"/>
    </sheetView>
  </sheetViews>
  <sheetFormatPr defaultRowHeight="15"/>
  <cols>
    <col min="1" max="1" width="36.28515625" style="1" bestFit="1" customWidth="1"/>
    <col min="2" max="2" width="19" style="1" bestFit="1" customWidth="1"/>
    <col min="3" max="3" width="16" style="1" bestFit="1" customWidth="1"/>
    <col min="4" max="4" width="13.140625" style="1" customWidth="1"/>
    <col min="5" max="5" width="7" style="1" bestFit="1" customWidth="1"/>
    <col min="6" max="6" width="11.42578125" style="1" bestFit="1" customWidth="1"/>
    <col min="7" max="7" width="11.28515625" style="1" bestFit="1" customWidth="1"/>
    <col min="8" max="8" width="8" style="1" bestFit="1" customWidth="1"/>
    <col min="9" max="9" width="15.85546875" style="1" bestFit="1" customWidth="1"/>
    <col min="10" max="10" width="12" style="1" bestFit="1" customWidth="1"/>
    <col min="11" max="16384" width="9.140625" style="1"/>
  </cols>
  <sheetData>
    <row r="1" spans="1:8">
      <c r="A1" s="66" t="s">
        <v>404</v>
      </c>
    </row>
    <row r="2" spans="1:8">
      <c r="A2" s="66" t="s">
        <v>440</v>
      </c>
    </row>
    <row r="4" spans="1:8">
      <c r="A4" s="262" t="s">
        <v>186</v>
      </c>
      <c r="B4" s="262"/>
      <c r="C4" s="262"/>
      <c r="D4" s="262"/>
      <c r="E4" s="262"/>
      <c r="F4" s="262"/>
      <c r="G4" s="262"/>
      <c r="H4" s="262"/>
    </row>
    <row r="5" spans="1:8">
      <c r="A5" s="1" t="s">
        <v>187</v>
      </c>
      <c r="B5" s="2" t="s">
        <v>188</v>
      </c>
      <c r="C5" s="2" t="s">
        <v>189</v>
      </c>
      <c r="D5" s="2" t="s">
        <v>190</v>
      </c>
      <c r="E5" s="3" t="s">
        <v>191</v>
      </c>
      <c r="F5" s="3" t="s">
        <v>192</v>
      </c>
      <c r="G5" s="3" t="s">
        <v>193</v>
      </c>
      <c r="H5" s="2" t="s">
        <v>194</v>
      </c>
    </row>
    <row r="6" spans="1:8">
      <c r="A6" s="1" t="s">
        <v>195</v>
      </c>
      <c r="B6" s="4">
        <f>52*5/12</f>
        <v>21.666666666666668</v>
      </c>
      <c r="C6" s="5">
        <f>$B$6*2</f>
        <v>43.333333333333336</v>
      </c>
      <c r="D6" s="5">
        <f>$B$6*3</f>
        <v>65</v>
      </c>
      <c r="E6" s="5">
        <f>$B$6*4</f>
        <v>86.666666666666671</v>
      </c>
      <c r="F6" s="5">
        <f>$B$6*5</f>
        <v>108.33333333333334</v>
      </c>
      <c r="G6" s="5">
        <f>$B$6*6</f>
        <v>130</v>
      </c>
      <c r="H6" s="5">
        <f>$B$6*7</f>
        <v>151.66666666666669</v>
      </c>
    </row>
    <row r="7" spans="1:8">
      <c r="A7" s="1" t="s">
        <v>196</v>
      </c>
      <c r="B7" s="4">
        <f>52*4/12</f>
        <v>17.333333333333332</v>
      </c>
      <c r="C7" s="5">
        <f>$B$7*2</f>
        <v>34.666666666666664</v>
      </c>
      <c r="D7" s="5">
        <f>$B$7*3</f>
        <v>52</v>
      </c>
      <c r="E7" s="5">
        <f>$B$7*4</f>
        <v>69.333333333333329</v>
      </c>
      <c r="F7" s="5">
        <f>$B$7*5</f>
        <v>86.666666666666657</v>
      </c>
      <c r="G7" s="5">
        <f>$B$7*6</f>
        <v>104</v>
      </c>
      <c r="H7" s="5">
        <f>$B$7*7</f>
        <v>121.33333333333333</v>
      </c>
    </row>
    <row r="8" spans="1:8">
      <c r="A8" s="1" t="s">
        <v>197</v>
      </c>
      <c r="B8" s="4">
        <f>52*3/12</f>
        <v>13</v>
      </c>
      <c r="C8" s="5">
        <f>$B$8*2</f>
        <v>26</v>
      </c>
      <c r="D8" s="5">
        <f>$B$8*3</f>
        <v>39</v>
      </c>
      <c r="E8" s="5">
        <f>$B$8*4</f>
        <v>52</v>
      </c>
      <c r="F8" s="5">
        <f>$B$8*5</f>
        <v>65</v>
      </c>
      <c r="G8" s="5">
        <f>$B$8*6</f>
        <v>78</v>
      </c>
      <c r="H8" s="5">
        <f>$B$8*7</f>
        <v>91</v>
      </c>
    </row>
    <row r="9" spans="1:8">
      <c r="A9" s="1" t="s">
        <v>198</v>
      </c>
      <c r="B9" s="4">
        <f>52*2/12</f>
        <v>8.6666666666666661</v>
      </c>
      <c r="C9" s="6">
        <f>$B$9*2</f>
        <v>17.333333333333332</v>
      </c>
      <c r="D9" s="6">
        <f>$B$9*3</f>
        <v>26</v>
      </c>
      <c r="E9" s="6">
        <f>$B$9*4</f>
        <v>34.666666666666664</v>
      </c>
      <c r="F9" s="6">
        <f>$B$9*5</f>
        <v>43.333333333333329</v>
      </c>
      <c r="G9" s="6">
        <f>$B$9*6</f>
        <v>52</v>
      </c>
      <c r="H9" s="6">
        <f>$B$9*7</f>
        <v>60.666666666666664</v>
      </c>
    </row>
    <row r="10" spans="1:8">
      <c r="A10" s="1" t="s">
        <v>199</v>
      </c>
      <c r="B10" s="4">
        <f>52/12</f>
        <v>4.333333333333333</v>
      </c>
      <c r="C10" s="6">
        <f>$B$10*2</f>
        <v>8.6666666666666661</v>
      </c>
      <c r="D10" s="6">
        <f>$B$10*3</f>
        <v>13</v>
      </c>
      <c r="E10" s="6">
        <f>$B$10*4</f>
        <v>17.333333333333332</v>
      </c>
      <c r="F10" s="6">
        <f>$B$10*5</f>
        <v>21.666666666666664</v>
      </c>
      <c r="G10" s="6">
        <f>$B$10*6</f>
        <v>26</v>
      </c>
      <c r="H10" s="6">
        <f>$B$10*7</f>
        <v>30.333333333333332</v>
      </c>
    </row>
    <row r="11" spans="1:8">
      <c r="A11" s="1" t="s">
        <v>200</v>
      </c>
      <c r="B11" s="4">
        <f>26/12</f>
        <v>2.1666666666666665</v>
      </c>
      <c r="C11" s="6">
        <f>$B$11*2</f>
        <v>4.333333333333333</v>
      </c>
      <c r="D11" s="6">
        <f>$B$11*3</f>
        <v>6.5</v>
      </c>
      <c r="E11" s="6">
        <f>$B$11*4</f>
        <v>8.6666666666666661</v>
      </c>
      <c r="F11" s="6">
        <f>$B$11*5</f>
        <v>10.833333333333332</v>
      </c>
      <c r="G11" s="6">
        <f>$B$11*6</f>
        <v>13</v>
      </c>
      <c r="H11" s="6">
        <f>$B$11*7</f>
        <v>15.166666666666666</v>
      </c>
    </row>
    <row r="12" spans="1:8">
      <c r="A12" s="1" t="s">
        <v>201</v>
      </c>
      <c r="B12" s="4">
        <f>12/12</f>
        <v>1</v>
      </c>
      <c r="C12" s="6">
        <f>$B$12*2</f>
        <v>2</v>
      </c>
      <c r="D12" s="6">
        <f>$B$12*3</f>
        <v>3</v>
      </c>
      <c r="E12" s="6">
        <f>$B$12*4</f>
        <v>4</v>
      </c>
      <c r="F12" s="6">
        <f>$B$12*5</f>
        <v>5</v>
      </c>
      <c r="G12" s="6">
        <f>$B$12*6</f>
        <v>6</v>
      </c>
      <c r="H12" s="6">
        <f>$B$12*7</f>
        <v>7</v>
      </c>
    </row>
    <row r="13" spans="1:8">
      <c r="B13" s="4"/>
      <c r="C13" s="6"/>
      <c r="D13" s="6"/>
      <c r="E13" s="6"/>
      <c r="F13" s="6"/>
      <c r="G13" s="6"/>
      <c r="H13" s="6"/>
    </row>
    <row r="14" spans="1:8">
      <c r="A14" s="262" t="s">
        <v>202</v>
      </c>
      <c r="B14" s="262"/>
      <c r="C14" s="6"/>
      <c r="D14" s="6"/>
      <c r="E14" s="6"/>
      <c r="F14" s="6"/>
      <c r="G14" s="6"/>
      <c r="H14" s="6"/>
    </row>
    <row r="15" spans="1:8">
      <c r="A15" s="7" t="s">
        <v>203</v>
      </c>
      <c r="B15" s="8" t="s">
        <v>204</v>
      </c>
      <c r="C15" s="6"/>
      <c r="D15" s="6"/>
      <c r="E15" s="6"/>
      <c r="F15" s="6"/>
      <c r="G15" s="6"/>
      <c r="H15" s="6"/>
    </row>
    <row r="16" spans="1:8">
      <c r="A16" s="9" t="s">
        <v>205</v>
      </c>
      <c r="B16" s="10">
        <v>20</v>
      </c>
      <c r="C16" s="6"/>
      <c r="D16" s="6"/>
      <c r="E16" s="6"/>
      <c r="F16" s="6"/>
      <c r="G16" s="6"/>
      <c r="H16" s="6"/>
    </row>
    <row r="17" spans="1:8">
      <c r="A17" s="9" t="s">
        <v>206</v>
      </c>
      <c r="B17" s="10">
        <v>34</v>
      </c>
      <c r="C17" s="6"/>
      <c r="D17" s="6"/>
      <c r="E17" s="6"/>
      <c r="F17" s="6"/>
      <c r="G17" s="6"/>
      <c r="H17" s="6"/>
    </row>
    <row r="18" spans="1:8">
      <c r="A18" s="9" t="s">
        <v>207</v>
      </c>
      <c r="B18" s="10">
        <v>51</v>
      </c>
      <c r="C18" s="6"/>
      <c r="D18" s="6"/>
      <c r="E18" s="6"/>
      <c r="F18" s="6"/>
      <c r="G18" s="6"/>
      <c r="H18" s="6"/>
    </row>
    <row r="19" spans="1:8">
      <c r="A19" s="9" t="s">
        <v>208</v>
      </c>
      <c r="B19" s="10">
        <v>77</v>
      </c>
      <c r="C19" s="6"/>
      <c r="D19" s="6"/>
      <c r="E19" s="6"/>
      <c r="F19" s="1" t="s">
        <v>209</v>
      </c>
      <c r="G19" s="10">
        <v>2000</v>
      </c>
      <c r="H19" s="6"/>
    </row>
    <row r="20" spans="1:8">
      <c r="A20" s="9" t="s">
        <v>210</v>
      </c>
      <c r="B20" s="10">
        <v>97</v>
      </c>
      <c r="C20" s="6"/>
      <c r="D20" s="6"/>
      <c r="E20" s="6"/>
      <c r="F20" s="1" t="s">
        <v>211</v>
      </c>
      <c r="G20" s="11" t="s">
        <v>212</v>
      </c>
      <c r="H20" s="6"/>
    </row>
    <row r="21" spans="1:8">
      <c r="A21" s="9" t="s">
        <v>213</v>
      </c>
      <c r="B21" s="10">
        <v>117</v>
      </c>
      <c r="C21" s="6"/>
      <c r="D21" s="6"/>
      <c r="E21" s="6"/>
      <c r="H21" s="6"/>
    </row>
    <row r="22" spans="1:8">
      <c r="A22" s="9" t="s">
        <v>214</v>
      </c>
      <c r="B22" s="10">
        <v>157</v>
      </c>
      <c r="C22" s="6"/>
      <c r="D22" s="6"/>
      <c r="E22" s="6"/>
      <c r="F22" s="12"/>
      <c r="G22" s="13"/>
      <c r="H22" s="6"/>
    </row>
    <row r="23" spans="1:8">
      <c r="A23" s="9" t="s">
        <v>215</v>
      </c>
      <c r="B23" s="10">
        <v>47</v>
      </c>
      <c r="C23" s="6"/>
      <c r="D23" s="6" t="s">
        <v>324</v>
      </c>
      <c r="E23" s="6"/>
      <c r="F23" s="6" t="s">
        <v>325</v>
      </c>
      <c r="G23" s="6"/>
      <c r="H23" s="6"/>
    </row>
    <row r="24" spans="1:8">
      <c r="A24" s="9" t="s">
        <v>216</v>
      </c>
      <c r="B24" s="10">
        <v>68</v>
      </c>
      <c r="C24" s="6"/>
      <c r="D24" s="38">
        <v>2</v>
      </c>
      <c r="E24" s="6"/>
      <c r="F24" s="38">
        <v>2</v>
      </c>
      <c r="G24" s="6"/>
      <c r="H24" s="6"/>
    </row>
    <row r="25" spans="1:8">
      <c r="A25" s="9" t="s">
        <v>217</v>
      </c>
      <c r="B25" s="10">
        <v>34</v>
      </c>
      <c r="C25" s="6"/>
      <c r="D25" s="38">
        <v>3</v>
      </c>
      <c r="E25" s="6"/>
      <c r="F25" s="38">
        <v>3</v>
      </c>
      <c r="G25" s="6"/>
      <c r="H25" s="6"/>
    </row>
    <row r="26" spans="1:8">
      <c r="A26" s="9" t="s">
        <v>218</v>
      </c>
      <c r="B26" s="10">
        <v>34</v>
      </c>
      <c r="C26" s="6"/>
      <c r="D26" s="38">
        <v>4</v>
      </c>
      <c r="E26" s="6"/>
      <c r="F26" s="38">
        <v>4</v>
      </c>
      <c r="G26" s="6"/>
      <c r="H26" s="6"/>
    </row>
    <row r="27" spans="1:8">
      <c r="A27" s="7" t="s">
        <v>219</v>
      </c>
      <c r="B27" s="10"/>
      <c r="C27" s="6"/>
      <c r="D27" s="38">
        <v>5</v>
      </c>
      <c r="E27" s="6"/>
      <c r="F27" s="38">
        <v>5</v>
      </c>
      <c r="G27" s="6"/>
      <c r="H27" s="6"/>
    </row>
    <row r="28" spans="1:8">
      <c r="A28" s="9" t="s">
        <v>220</v>
      </c>
      <c r="B28" s="10">
        <v>29</v>
      </c>
      <c r="C28" s="6"/>
      <c r="D28" s="6"/>
      <c r="E28" s="6"/>
      <c r="F28" s="6"/>
      <c r="G28" s="6"/>
      <c r="H28" s="6"/>
    </row>
    <row r="29" spans="1:8">
      <c r="A29" s="9" t="s">
        <v>221</v>
      </c>
      <c r="B29" s="10">
        <v>175</v>
      </c>
      <c r="C29" s="6"/>
      <c r="D29" s="6"/>
      <c r="E29" s="6"/>
      <c r="F29" s="6"/>
      <c r="G29" s="6"/>
      <c r="H29" s="6"/>
    </row>
    <row r="30" spans="1:8">
      <c r="A30" s="9" t="s">
        <v>222</v>
      </c>
      <c r="B30" s="10">
        <v>250</v>
      </c>
      <c r="C30" s="6"/>
      <c r="D30" s="6"/>
      <c r="E30" s="6"/>
      <c r="F30" s="6"/>
      <c r="G30" s="6"/>
      <c r="H30" s="6"/>
    </row>
    <row r="31" spans="1:8">
      <c r="A31" s="9" t="s">
        <v>223</v>
      </c>
      <c r="B31" s="10">
        <v>375</v>
      </c>
      <c r="C31" s="6" t="s">
        <v>224</v>
      </c>
      <c r="D31" s="6"/>
      <c r="E31" s="6"/>
      <c r="F31" s="6"/>
      <c r="G31" s="6"/>
      <c r="H31" s="6"/>
    </row>
    <row r="32" spans="1:8">
      <c r="A32" s="9" t="s">
        <v>225</v>
      </c>
      <c r="B32" s="10">
        <v>324</v>
      </c>
      <c r="C32" s="6"/>
      <c r="D32" s="6"/>
      <c r="E32" s="6"/>
      <c r="F32" s="6"/>
      <c r="G32" s="6"/>
      <c r="H32" s="6"/>
    </row>
    <row r="33" spans="1:8">
      <c r="A33" s="9" t="s">
        <v>226</v>
      </c>
      <c r="B33" s="10">
        <v>473</v>
      </c>
      <c r="C33" s="6"/>
      <c r="D33" s="6"/>
      <c r="E33" s="6"/>
      <c r="F33" s="6"/>
      <c r="G33" s="6"/>
      <c r="H33" s="6"/>
    </row>
    <row r="34" spans="1:8">
      <c r="A34" s="9" t="s">
        <v>227</v>
      </c>
      <c r="B34" s="10">
        <v>710</v>
      </c>
      <c r="C34" s="6" t="s">
        <v>224</v>
      </c>
      <c r="D34" s="6"/>
      <c r="E34" s="6"/>
      <c r="F34" s="6"/>
      <c r="G34" s="6"/>
      <c r="H34" s="6"/>
    </row>
    <row r="35" spans="1:8">
      <c r="A35" s="9" t="s">
        <v>228</v>
      </c>
      <c r="B35" s="10">
        <v>613</v>
      </c>
      <c r="C35" s="6"/>
      <c r="D35" s="6"/>
      <c r="E35" s="6"/>
      <c r="F35" s="6"/>
      <c r="G35" s="6"/>
      <c r="H35" s="6"/>
    </row>
    <row r="36" spans="1:8">
      <c r="A36" s="9" t="s">
        <v>229</v>
      </c>
      <c r="B36" s="10">
        <v>920</v>
      </c>
      <c r="C36" s="6" t="s">
        <v>224</v>
      </c>
      <c r="D36" s="6"/>
      <c r="E36" s="6"/>
      <c r="F36" s="6"/>
      <c r="G36" s="6"/>
      <c r="H36" s="6"/>
    </row>
    <row r="37" spans="1:8">
      <c r="A37" s="9" t="s">
        <v>230</v>
      </c>
      <c r="B37" s="10">
        <v>840</v>
      </c>
      <c r="C37" s="6"/>
      <c r="D37" s="6"/>
      <c r="E37" s="6"/>
      <c r="F37" s="6"/>
      <c r="G37" s="6"/>
      <c r="H37" s="6"/>
    </row>
    <row r="38" spans="1:8">
      <c r="A38" s="9" t="s">
        <v>231</v>
      </c>
      <c r="B38" s="10">
        <v>1260</v>
      </c>
      <c r="C38" s="6" t="s">
        <v>224</v>
      </c>
      <c r="D38" s="6"/>
      <c r="E38" s="6"/>
      <c r="F38" s="6"/>
      <c r="G38" s="6"/>
      <c r="H38" s="6"/>
    </row>
    <row r="39" spans="1:8">
      <c r="A39" s="9" t="s">
        <v>232</v>
      </c>
      <c r="B39" s="10">
        <v>980</v>
      </c>
      <c r="C39" s="6"/>
      <c r="D39" s="6"/>
      <c r="E39" s="6"/>
      <c r="F39" s="6"/>
      <c r="G39" s="6"/>
      <c r="H39" s="6"/>
    </row>
    <row r="40" spans="1:8">
      <c r="A40" s="9" t="s">
        <v>233</v>
      </c>
      <c r="B40" s="10">
        <v>482</v>
      </c>
      <c r="C40" s="6" t="s">
        <v>224</v>
      </c>
      <c r="D40" s="6"/>
      <c r="E40" s="6"/>
      <c r="F40" s="6"/>
      <c r="G40" s="6"/>
      <c r="H40" s="6"/>
    </row>
    <row r="41" spans="1:8">
      <c r="A41" s="9" t="s">
        <v>234</v>
      </c>
      <c r="B41" s="10">
        <v>689</v>
      </c>
      <c r="C41" s="6" t="s">
        <v>224</v>
      </c>
      <c r="D41" s="6"/>
      <c r="E41" s="6"/>
      <c r="F41" s="6"/>
      <c r="G41" s="6"/>
      <c r="H41" s="6"/>
    </row>
    <row r="42" spans="1:8">
      <c r="A42" s="9" t="s">
        <v>235</v>
      </c>
      <c r="B42" s="10">
        <v>892</v>
      </c>
      <c r="C42" s="6" t="s">
        <v>224</v>
      </c>
      <c r="D42" s="6"/>
      <c r="E42" s="6"/>
      <c r="F42" s="6"/>
      <c r="G42" s="6"/>
      <c r="H42" s="6"/>
    </row>
    <row r="43" spans="1:8">
      <c r="A43" s="9" t="s">
        <v>236</v>
      </c>
      <c r="B43" s="10">
        <v>1301</v>
      </c>
      <c r="C43" s="6"/>
      <c r="D43" s="6"/>
      <c r="E43" s="6"/>
      <c r="F43" s="6"/>
      <c r="G43" s="6"/>
      <c r="H43" s="6"/>
    </row>
    <row r="44" spans="1:8">
      <c r="A44" s="9" t="s">
        <v>237</v>
      </c>
      <c r="B44" s="10">
        <v>1686</v>
      </c>
      <c r="C44" s="6"/>
      <c r="D44" s="6"/>
      <c r="E44" s="6"/>
      <c r="F44" s="6"/>
      <c r="G44" s="6"/>
      <c r="H44" s="6"/>
    </row>
    <row r="45" spans="1:8">
      <c r="A45" s="9" t="s">
        <v>238</v>
      </c>
      <c r="B45" s="10">
        <v>2046</v>
      </c>
      <c r="C45" s="6"/>
      <c r="D45" s="6"/>
      <c r="E45" s="6"/>
      <c r="F45" s="6"/>
      <c r="G45" s="6"/>
      <c r="H45" s="6"/>
    </row>
    <row r="46" spans="1:8">
      <c r="A46" s="9" t="s">
        <v>239</v>
      </c>
      <c r="B46" s="10">
        <v>2310</v>
      </c>
      <c r="C46" s="6"/>
      <c r="D46" s="6"/>
      <c r="E46" s="6"/>
      <c r="F46" s="6"/>
      <c r="G46" s="6"/>
      <c r="H46" s="6"/>
    </row>
    <row r="47" spans="1:8">
      <c r="A47" s="9" t="s">
        <v>240</v>
      </c>
      <c r="B47" s="10">
        <v>2800</v>
      </c>
      <c r="C47" s="6" t="s">
        <v>224</v>
      </c>
      <c r="D47" s="6"/>
      <c r="E47" s="6"/>
      <c r="F47" s="6"/>
      <c r="G47" s="6"/>
      <c r="H47" s="6"/>
    </row>
    <row r="48" spans="1:8">
      <c r="A48" s="9" t="s">
        <v>241</v>
      </c>
      <c r="B48" s="10">
        <v>125</v>
      </c>
      <c r="C48" s="6"/>
      <c r="D48" s="6"/>
      <c r="E48" s="6"/>
      <c r="F48" s="6"/>
      <c r="G48" s="6"/>
      <c r="H48" s="6"/>
    </row>
    <row r="49" spans="1:12">
      <c r="B49" s="263" t="s">
        <v>242</v>
      </c>
      <c r="C49" s="263"/>
    </row>
    <row r="50" spans="1:12">
      <c r="A50" s="9" t="s">
        <v>264</v>
      </c>
      <c r="B50" s="22">
        <v>12</v>
      </c>
    </row>
    <row r="52" spans="1:12">
      <c r="A52" s="65" t="s">
        <v>265</v>
      </c>
      <c r="B52" s="14" t="s">
        <v>243</v>
      </c>
      <c r="C52" s="14" t="s">
        <v>244</v>
      </c>
      <c r="F52" s="264" t="s">
        <v>245</v>
      </c>
      <c r="G52" s="264"/>
    </row>
    <row r="53" spans="1:12">
      <c r="A53" s="53" t="s">
        <v>246</v>
      </c>
      <c r="B53" s="167">
        <v>110</v>
      </c>
      <c r="C53" s="168">
        <f>B53/2000</f>
        <v>5.5E-2</v>
      </c>
      <c r="F53" s="1" t="s">
        <v>247</v>
      </c>
      <c r="G53" s="16">
        <f>0.0175</f>
        <v>1.7500000000000002E-2</v>
      </c>
      <c r="I53" s="24"/>
      <c r="J53" s="27"/>
      <c r="K53" s="25"/>
      <c r="L53" s="25"/>
    </row>
    <row r="54" spans="1:12">
      <c r="A54" s="53" t="s">
        <v>248</v>
      </c>
      <c r="B54" s="169">
        <v>114</v>
      </c>
      <c r="C54" s="170">
        <f>B54/2000</f>
        <v>5.7000000000000002E-2</v>
      </c>
      <c r="F54" s="1" t="s">
        <v>249</v>
      </c>
      <c r="G54" s="17">
        <v>5.1000000000000004E-3</v>
      </c>
      <c r="I54" s="24"/>
      <c r="J54" s="27"/>
      <c r="K54" s="25"/>
      <c r="L54" s="25"/>
    </row>
    <row r="55" spans="1:12">
      <c r="A55" s="9" t="s">
        <v>250</v>
      </c>
      <c r="B55" s="167">
        <f>B54-B53</f>
        <v>4</v>
      </c>
      <c r="C55" s="171">
        <f>C54-C53</f>
        <v>2.0000000000000018E-3</v>
      </c>
      <c r="D55" s="59">
        <f>B55/B53</f>
        <v>3.6363636363636362E-2</v>
      </c>
      <c r="F55" s="1" t="s">
        <v>251</v>
      </c>
      <c r="G55" s="18"/>
      <c r="I55" s="24"/>
      <c r="J55" s="28"/>
      <c r="K55" s="25"/>
      <c r="L55" s="25"/>
    </row>
    <row r="56" spans="1:12">
      <c r="A56" s="23"/>
      <c r="B56" s="24"/>
      <c r="C56" s="27"/>
      <c r="F56" s="1" t="s">
        <v>0</v>
      </c>
      <c r="G56" s="19">
        <f>SUM(G53:G55)</f>
        <v>2.2600000000000002E-2</v>
      </c>
      <c r="I56" s="24"/>
      <c r="J56" s="27"/>
      <c r="K56" s="25"/>
      <c r="L56" s="25"/>
    </row>
    <row r="57" spans="1:12">
      <c r="A57" s="67"/>
      <c r="B57" s="68" t="s">
        <v>396</v>
      </c>
      <c r="C57" s="27"/>
      <c r="I57" s="24"/>
      <c r="J57" s="27"/>
      <c r="K57" s="25"/>
      <c r="L57" s="25"/>
    </row>
    <row r="58" spans="1:12">
      <c r="A58" s="25" t="s">
        <v>266</v>
      </c>
      <c r="B58" s="24">
        <f>B55</f>
        <v>4</v>
      </c>
      <c r="C58" s="27"/>
      <c r="F58" s="1" t="s">
        <v>252</v>
      </c>
      <c r="G58" s="20">
        <f>1-G56</f>
        <v>0.97740000000000005</v>
      </c>
      <c r="I58" s="24"/>
      <c r="J58" s="27"/>
      <c r="K58" s="25"/>
      <c r="L58" s="25"/>
    </row>
    <row r="59" spans="1:12">
      <c r="A59" s="69" t="s">
        <v>405</v>
      </c>
      <c r="B59" s="24">
        <f>B58/G58</f>
        <v>4.0924902803355838</v>
      </c>
      <c r="C59" s="31"/>
      <c r="I59" s="24"/>
      <c r="J59" s="28"/>
      <c r="K59" s="25"/>
      <c r="L59" s="25"/>
    </row>
    <row r="60" spans="1:12">
      <c r="A60" s="70" t="s">
        <v>406</v>
      </c>
      <c r="B60" s="31">
        <f>'Disposal Schedule'!D22*'Disposal Schedule'!C28</f>
        <v>6064.5400623769829</v>
      </c>
      <c r="I60" s="25"/>
      <c r="J60" s="25"/>
      <c r="K60" s="25"/>
      <c r="L60" s="25"/>
    </row>
    <row r="61" spans="1:12">
      <c r="A61" s="73" t="s">
        <v>407</v>
      </c>
      <c r="B61" s="61">
        <f>B60*B59</f>
        <v>24819.071259983557</v>
      </c>
      <c r="C61" s="25"/>
      <c r="D61" s="25"/>
      <c r="E61" s="25"/>
      <c r="I61" s="25"/>
      <c r="J61" s="25"/>
      <c r="K61" s="25"/>
      <c r="L61" s="25"/>
    </row>
    <row r="62" spans="1:12" s="70" customFormat="1">
      <c r="B62" s="72"/>
      <c r="C62" s="71"/>
      <c r="D62" s="71"/>
      <c r="E62" s="71"/>
      <c r="I62" s="71"/>
      <c r="J62" s="71"/>
      <c r="K62" s="71"/>
      <c r="L62" s="71"/>
    </row>
    <row r="63" spans="1:12" s="70" customFormat="1">
      <c r="B63" s="72"/>
      <c r="C63" s="71"/>
      <c r="D63" s="71"/>
      <c r="E63" s="71"/>
      <c r="I63" s="71"/>
      <c r="J63" s="71"/>
      <c r="K63" s="71"/>
      <c r="L63" s="71"/>
    </row>
    <row r="64" spans="1:12" s="70" customFormat="1" ht="15.75" thickBot="1">
      <c r="B64" s="72"/>
      <c r="C64" s="71"/>
      <c r="D64" s="71"/>
      <c r="E64" s="71"/>
      <c r="I64" s="71"/>
      <c r="J64" s="71"/>
      <c r="K64" s="71"/>
      <c r="L64" s="71"/>
    </row>
    <row r="65" spans="1:12" s="70" customFormat="1">
      <c r="A65" s="153" t="s">
        <v>408</v>
      </c>
      <c r="B65" s="158" t="s">
        <v>409</v>
      </c>
      <c r="C65" s="71"/>
      <c r="D65" s="71"/>
      <c r="E65" s="71"/>
      <c r="I65" s="71"/>
      <c r="J65" s="71"/>
      <c r="K65" s="71"/>
      <c r="L65" s="71"/>
    </row>
    <row r="66" spans="1:12" s="70" customFormat="1">
      <c r="A66" s="154" t="s">
        <v>410</v>
      </c>
      <c r="B66" s="138">
        <f>'Whitman DF Calc'!R82</f>
        <v>24818.291752600908</v>
      </c>
      <c r="C66" s="71"/>
      <c r="D66" s="71"/>
      <c r="E66" s="71"/>
      <c r="I66" s="71"/>
      <c r="J66" s="71"/>
      <c r="K66" s="71"/>
      <c r="L66" s="71"/>
    </row>
    <row r="67" spans="1:12" s="70" customFormat="1">
      <c r="A67" s="154" t="s">
        <v>411</v>
      </c>
      <c r="B67" s="138">
        <f>B66-B61</f>
        <v>-0.77950738264917163</v>
      </c>
      <c r="C67" s="174"/>
      <c r="D67" s="71"/>
      <c r="E67" s="71"/>
      <c r="I67" s="71"/>
      <c r="J67" s="71"/>
      <c r="K67" s="71"/>
      <c r="L67" s="71"/>
    </row>
    <row r="68" spans="1:12" s="70" customFormat="1" ht="15.75" thickBot="1">
      <c r="A68" s="156"/>
      <c r="B68" s="157"/>
      <c r="C68" s="71"/>
      <c r="D68" s="71"/>
      <c r="E68" s="71"/>
      <c r="I68" s="71"/>
      <c r="J68" s="71"/>
      <c r="K68" s="71"/>
      <c r="L68" s="71"/>
    </row>
    <row r="69" spans="1:12">
      <c r="A69" s="25"/>
      <c r="B69" s="36"/>
      <c r="C69" s="22"/>
      <c r="D69" s="25"/>
      <c r="E69" s="25"/>
      <c r="I69" s="22"/>
      <c r="J69" s="22"/>
      <c r="K69" s="25"/>
      <c r="L69" s="25"/>
    </row>
    <row r="70" spans="1:12">
      <c r="A70" s="25"/>
      <c r="B70" s="22"/>
      <c r="C70" s="30"/>
      <c r="D70" s="29"/>
      <c r="E70" s="25"/>
      <c r="I70" s="30"/>
      <c r="J70" s="30"/>
      <c r="K70" s="29"/>
      <c r="L70" s="25"/>
    </row>
    <row r="71" spans="1:12">
      <c r="A71" s="23"/>
      <c r="B71" s="30"/>
      <c r="C71" s="29"/>
      <c r="D71" s="29"/>
      <c r="E71" s="25"/>
      <c r="I71" s="25"/>
      <c r="J71" s="25"/>
      <c r="K71" s="25"/>
      <c r="L71" s="25"/>
    </row>
    <row r="72" spans="1:12">
      <c r="A72" s="25"/>
      <c r="B72" s="25"/>
      <c r="C72" s="25"/>
      <c r="D72" s="25"/>
      <c r="E72" s="25"/>
    </row>
    <row r="73" spans="1:12">
      <c r="A73" s="25"/>
      <c r="B73" s="25"/>
      <c r="C73" s="25"/>
      <c r="D73" s="25"/>
      <c r="E73" s="25"/>
    </row>
    <row r="74" spans="1:12">
      <c r="A74" s="25"/>
      <c r="B74" s="25"/>
      <c r="C74" s="25"/>
      <c r="D74" s="25"/>
      <c r="E74" s="25"/>
    </row>
    <row r="75" spans="1:12">
      <c r="A75" s="23"/>
      <c r="B75" s="32"/>
      <c r="C75" s="25"/>
      <c r="D75" s="25"/>
      <c r="E75" s="25"/>
    </row>
    <row r="76" spans="1:12">
      <c r="A76" s="25"/>
      <c r="B76" s="24"/>
      <c r="C76" s="25"/>
      <c r="D76" s="25"/>
      <c r="E76" s="25"/>
    </row>
    <row r="77" spans="1:12">
      <c r="A77" s="25"/>
      <c r="B77" s="24"/>
      <c r="C77" s="25"/>
      <c r="D77" s="25"/>
      <c r="E77" s="25"/>
    </row>
    <row r="78" spans="1:12">
      <c r="A78" s="25"/>
      <c r="B78" s="25"/>
      <c r="C78" s="25"/>
      <c r="D78" s="25"/>
      <c r="E78" s="25"/>
    </row>
    <row r="79" spans="1:12">
      <c r="A79" s="23"/>
      <c r="B79" s="32"/>
      <c r="C79" s="25"/>
      <c r="D79" s="25"/>
      <c r="E79" s="25"/>
    </row>
    <row r="80" spans="1:12">
      <c r="A80" s="25"/>
      <c r="B80" s="24"/>
      <c r="C80" s="25"/>
      <c r="D80" s="25"/>
      <c r="E80" s="25"/>
    </row>
    <row r="81" spans="1:5">
      <c r="A81" s="26"/>
      <c r="B81" s="24"/>
      <c r="C81" s="25"/>
      <c r="D81" s="25"/>
      <c r="E81" s="25"/>
    </row>
    <row r="82" spans="1:5">
      <c r="A82" s="25"/>
      <c r="B82" s="25"/>
      <c r="C82" s="25"/>
      <c r="D82" s="25"/>
      <c r="E82" s="25"/>
    </row>
    <row r="83" spans="1:5">
      <c r="A83" s="25"/>
      <c r="B83" s="25"/>
      <c r="C83" s="25"/>
      <c r="D83" s="25"/>
      <c r="E83" s="25"/>
    </row>
    <row r="84" spans="1:5">
      <c r="A84" s="25"/>
      <c r="B84" s="25"/>
      <c r="C84" s="25"/>
      <c r="D84" s="25"/>
      <c r="E84" s="25"/>
    </row>
    <row r="85" spans="1:5">
      <c r="A85" s="25"/>
      <c r="B85" s="25"/>
      <c r="C85" s="25"/>
      <c r="D85" s="25"/>
      <c r="E85" s="25"/>
    </row>
    <row r="86" spans="1:5">
      <c r="A86" s="25"/>
      <c r="B86" s="25"/>
      <c r="C86" s="25"/>
      <c r="D86" s="25"/>
      <c r="E86" s="25"/>
    </row>
    <row r="87" spans="1:5">
      <c r="A87" s="25"/>
      <c r="B87" s="25"/>
      <c r="C87" s="25"/>
      <c r="D87" s="25"/>
      <c r="E87" s="25"/>
    </row>
    <row r="88" spans="1:5">
      <c r="A88" s="25"/>
      <c r="B88" s="25"/>
      <c r="C88" s="25"/>
      <c r="D88" s="25"/>
      <c r="E88" s="25"/>
    </row>
    <row r="89" spans="1:5">
      <c r="A89" s="25"/>
      <c r="B89" s="25"/>
      <c r="C89" s="25"/>
      <c r="D89" s="25"/>
      <c r="E89" s="25"/>
    </row>
    <row r="90" spans="1:5">
      <c r="A90" s="25"/>
      <c r="B90" s="25"/>
      <c r="C90" s="25"/>
      <c r="D90" s="25"/>
      <c r="E90" s="25"/>
    </row>
    <row r="91" spans="1:5">
      <c r="A91" s="25"/>
      <c r="B91" s="25"/>
      <c r="C91" s="25"/>
      <c r="D91" s="25"/>
      <c r="E91" s="25"/>
    </row>
    <row r="92" spans="1:5">
      <c r="A92" s="25"/>
      <c r="B92" s="25"/>
      <c r="C92" s="25"/>
      <c r="D92" s="25"/>
      <c r="E92" s="25"/>
    </row>
    <row r="93" spans="1:5">
      <c r="A93" s="25"/>
      <c r="B93" s="25"/>
      <c r="C93" s="25"/>
      <c r="D93" s="25"/>
      <c r="E93" s="25"/>
    </row>
    <row r="94" spans="1:5">
      <c r="A94" s="25"/>
      <c r="B94" s="25"/>
      <c r="C94" s="25"/>
      <c r="D94" s="25"/>
      <c r="E94" s="25"/>
    </row>
    <row r="95" spans="1:5">
      <c r="A95" s="25"/>
      <c r="B95" s="25"/>
      <c r="C95" s="25"/>
      <c r="D95" s="25"/>
      <c r="E95" s="25"/>
    </row>
    <row r="96" spans="1:5">
      <c r="A96" s="25"/>
      <c r="B96" s="25"/>
      <c r="C96" s="25"/>
      <c r="D96" s="25"/>
      <c r="E96" s="25"/>
    </row>
    <row r="97" spans="1:5">
      <c r="A97" s="25"/>
      <c r="B97" s="25"/>
      <c r="C97" s="25"/>
      <c r="D97" s="25"/>
      <c r="E97" s="25"/>
    </row>
    <row r="98" spans="1:5">
      <c r="A98" s="25"/>
      <c r="B98" s="25"/>
      <c r="C98" s="25"/>
      <c r="D98" s="25"/>
      <c r="E98" s="25"/>
    </row>
    <row r="99" spans="1:5">
      <c r="A99" s="25"/>
      <c r="B99" s="25"/>
      <c r="C99" s="25"/>
      <c r="D99" s="25"/>
      <c r="E99" s="25"/>
    </row>
    <row r="100" spans="1:5">
      <c r="A100" s="25"/>
      <c r="B100" s="25"/>
      <c r="C100" s="25"/>
      <c r="D100" s="25"/>
      <c r="E100" s="25"/>
    </row>
    <row r="101" spans="1:5">
      <c r="A101" s="25"/>
      <c r="B101" s="25"/>
      <c r="C101" s="25"/>
      <c r="D101" s="25"/>
      <c r="E101" s="25"/>
    </row>
    <row r="102" spans="1:5">
      <c r="A102" s="25"/>
      <c r="B102" s="25"/>
      <c r="C102" s="25"/>
      <c r="D102" s="25"/>
      <c r="E102" s="25"/>
    </row>
    <row r="103" spans="1:5">
      <c r="A103" s="25"/>
      <c r="B103" s="25"/>
      <c r="C103" s="25"/>
      <c r="D103" s="25"/>
      <c r="E103" s="25"/>
    </row>
    <row r="104" spans="1:5">
      <c r="A104" s="25"/>
      <c r="B104" s="25"/>
      <c r="C104" s="25"/>
      <c r="D104" s="25"/>
      <c r="E104" s="25"/>
    </row>
    <row r="105" spans="1:5">
      <c r="A105" s="25"/>
      <c r="B105" s="25"/>
      <c r="C105" s="25"/>
      <c r="D105" s="25"/>
      <c r="E105" s="25"/>
    </row>
    <row r="106" spans="1:5">
      <c r="A106" s="25"/>
      <c r="B106" s="25"/>
      <c r="C106" s="25"/>
      <c r="D106" s="25"/>
      <c r="E106" s="25"/>
    </row>
    <row r="107" spans="1:5">
      <c r="A107" s="25"/>
      <c r="B107" s="25"/>
      <c r="C107" s="25"/>
      <c r="D107" s="25"/>
      <c r="E107" s="25"/>
    </row>
    <row r="108" spans="1:5">
      <c r="A108" s="25"/>
      <c r="B108" s="25"/>
      <c r="C108" s="25"/>
      <c r="D108" s="25"/>
      <c r="E108" s="25"/>
    </row>
    <row r="109" spans="1:5">
      <c r="A109" s="25"/>
      <c r="B109" s="25"/>
      <c r="C109" s="25"/>
      <c r="D109" s="25"/>
      <c r="E109" s="25"/>
    </row>
    <row r="110" spans="1:5">
      <c r="A110" s="25"/>
      <c r="B110" s="25"/>
      <c r="C110" s="25"/>
      <c r="D110" s="25"/>
      <c r="E110" s="25"/>
    </row>
    <row r="111" spans="1:5">
      <c r="A111" s="25"/>
      <c r="B111" s="25"/>
      <c r="C111" s="25"/>
      <c r="D111" s="25"/>
      <c r="E111" s="25"/>
    </row>
    <row r="112" spans="1:5">
      <c r="A112" s="25"/>
      <c r="B112" s="25"/>
      <c r="C112" s="25"/>
      <c r="D112" s="25"/>
      <c r="E112" s="25"/>
    </row>
    <row r="113" spans="1:5">
      <c r="A113" s="25"/>
      <c r="B113" s="25"/>
      <c r="C113" s="25"/>
      <c r="D113" s="25"/>
      <c r="E113" s="25"/>
    </row>
    <row r="114" spans="1:5">
      <c r="A114" s="25"/>
      <c r="B114" s="25"/>
      <c r="C114" s="25"/>
      <c r="D114" s="25"/>
      <c r="E114" s="25"/>
    </row>
    <row r="115" spans="1:5">
      <c r="A115" s="25"/>
      <c r="B115" s="25"/>
      <c r="C115" s="25"/>
      <c r="D115" s="25"/>
      <c r="E115" s="25"/>
    </row>
    <row r="116" spans="1:5">
      <c r="A116" s="25"/>
      <c r="B116" s="25"/>
      <c r="C116" s="25"/>
      <c r="D116" s="25"/>
      <c r="E116" s="25"/>
    </row>
    <row r="117" spans="1:5">
      <c r="A117" s="25"/>
      <c r="B117" s="25"/>
      <c r="C117" s="25"/>
      <c r="D117" s="25"/>
      <c r="E117" s="25"/>
    </row>
    <row r="118" spans="1:5">
      <c r="A118" s="25"/>
      <c r="B118" s="25"/>
      <c r="C118" s="25"/>
      <c r="D118" s="25"/>
      <c r="E118" s="25"/>
    </row>
    <row r="119" spans="1:5">
      <c r="A119" s="25"/>
      <c r="B119" s="25"/>
      <c r="C119" s="25"/>
      <c r="D119" s="25"/>
      <c r="E119" s="25"/>
    </row>
    <row r="120" spans="1:5">
      <c r="A120" s="25"/>
      <c r="B120" s="25"/>
      <c r="C120" s="25"/>
      <c r="D120" s="25"/>
      <c r="E120" s="25"/>
    </row>
    <row r="121" spans="1:5">
      <c r="A121" s="25"/>
      <c r="B121" s="25"/>
      <c r="C121" s="25"/>
      <c r="D121" s="25"/>
      <c r="E121" s="25"/>
    </row>
    <row r="122" spans="1:5">
      <c r="A122" s="25"/>
      <c r="B122" s="25"/>
      <c r="C122" s="25"/>
      <c r="D122" s="25"/>
      <c r="E122" s="25"/>
    </row>
    <row r="123" spans="1:5">
      <c r="A123" s="25"/>
      <c r="B123" s="25"/>
      <c r="C123" s="25"/>
      <c r="D123" s="25"/>
      <c r="E123" s="25"/>
    </row>
    <row r="124" spans="1:5">
      <c r="A124" s="25"/>
      <c r="B124" s="25"/>
      <c r="C124" s="25"/>
      <c r="D124" s="25"/>
      <c r="E124" s="25"/>
    </row>
    <row r="125" spans="1:5">
      <c r="A125" s="25"/>
      <c r="B125" s="25"/>
      <c r="C125" s="25"/>
      <c r="D125" s="25"/>
      <c r="E125" s="25"/>
    </row>
    <row r="126" spans="1:5">
      <c r="A126" s="25"/>
      <c r="B126" s="25"/>
      <c r="C126" s="25"/>
      <c r="D126" s="25"/>
      <c r="E126" s="25"/>
    </row>
    <row r="127" spans="1:5">
      <c r="A127" s="25"/>
      <c r="B127" s="25"/>
      <c r="C127" s="25"/>
      <c r="D127" s="25"/>
      <c r="E127" s="25"/>
    </row>
    <row r="128" spans="1:5">
      <c r="A128" s="25"/>
      <c r="B128" s="25"/>
      <c r="C128" s="25"/>
      <c r="D128" s="25"/>
      <c r="E128" s="25"/>
    </row>
    <row r="129" spans="1:5">
      <c r="A129" s="25"/>
      <c r="B129" s="25"/>
      <c r="C129" s="25"/>
      <c r="D129" s="25"/>
      <c r="E129" s="25"/>
    </row>
    <row r="130" spans="1:5">
      <c r="A130" s="25"/>
      <c r="B130" s="25"/>
      <c r="C130" s="25"/>
      <c r="D130" s="25"/>
      <c r="E130" s="25"/>
    </row>
    <row r="131" spans="1:5">
      <c r="A131" s="25"/>
      <c r="B131" s="25"/>
      <c r="C131" s="25"/>
      <c r="D131" s="25"/>
      <c r="E131" s="25"/>
    </row>
    <row r="132" spans="1:5">
      <c r="A132" s="25"/>
      <c r="B132" s="25"/>
      <c r="C132" s="25"/>
      <c r="D132" s="25"/>
      <c r="E132" s="25"/>
    </row>
    <row r="133" spans="1:5">
      <c r="A133" s="25"/>
      <c r="B133" s="25"/>
      <c r="C133" s="25"/>
      <c r="D133" s="25"/>
      <c r="E133" s="25"/>
    </row>
    <row r="134" spans="1:5">
      <c r="A134" s="25"/>
      <c r="B134" s="25"/>
      <c r="C134" s="25"/>
      <c r="D134" s="25"/>
      <c r="E134" s="25"/>
    </row>
    <row r="135" spans="1:5">
      <c r="A135" s="25"/>
      <c r="B135" s="25"/>
      <c r="C135" s="25"/>
      <c r="D135" s="25"/>
      <c r="E135" s="25"/>
    </row>
    <row r="136" spans="1:5">
      <c r="A136" s="25"/>
      <c r="B136" s="25"/>
      <c r="C136" s="25"/>
      <c r="D136" s="25"/>
      <c r="E136" s="25"/>
    </row>
    <row r="137" spans="1:5">
      <c r="A137" s="25"/>
      <c r="B137" s="25"/>
      <c r="C137" s="25"/>
      <c r="D137" s="25"/>
      <c r="E137" s="25"/>
    </row>
    <row r="138" spans="1:5">
      <c r="A138" s="25"/>
      <c r="B138" s="25"/>
      <c r="C138" s="25"/>
      <c r="D138" s="25"/>
      <c r="E138" s="25"/>
    </row>
    <row r="139" spans="1:5">
      <c r="A139" s="25"/>
      <c r="B139" s="25"/>
      <c r="C139" s="25"/>
      <c r="D139" s="25"/>
      <c r="E139" s="25"/>
    </row>
    <row r="140" spans="1:5">
      <c r="A140" s="25"/>
      <c r="B140" s="25"/>
      <c r="C140" s="25"/>
      <c r="D140" s="25"/>
      <c r="E140" s="25"/>
    </row>
    <row r="141" spans="1:5">
      <c r="A141" s="25"/>
      <c r="B141" s="25"/>
      <c r="C141" s="25"/>
      <c r="D141" s="25"/>
      <c r="E141" s="25"/>
    </row>
    <row r="142" spans="1:5">
      <c r="A142" s="25"/>
      <c r="B142" s="25"/>
      <c r="C142" s="25"/>
      <c r="D142" s="25"/>
      <c r="E142" s="25"/>
    </row>
    <row r="143" spans="1:5">
      <c r="A143" s="25"/>
      <c r="B143" s="25"/>
      <c r="C143" s="25"/>
      <c r="D143" s="25"/>
      <c r="E143" s="25"/>
    </row>
    <row r="144" spans="1:5">
      <c r="A144" s="25"/>
      <c r="B144" s="25"/>
      <c r="C144" s="25"/>
      <c r="D144" s="25"/>
      <c r="E144" s="25"/>
    </row>
    <row r="145" spans="1:5">
      <c r="A145" s="25"/>
      <c r="B145" s="25"/>
      <c r="C145" s="25"/>
      <c r="D145" s="25"/>
      <c r="E145" s="25"/>
    </row>
    <row r="146" spans="1:5">
      <c r="A146" s="25"/>
      <c r="B146" s="25"/>
      <c r="C146" s="25"/>
      <c r="D146" s="25"/>
      <c r="E146" s="25"/>
    </row>
    <row r="147" spans="1:5">
      <c r="A147" s="25"/>
      <c r="B147" s="25"/>
      <c r="C147" s="25"/>
      <c r="D147" s="25"/>
      <c r="E147" s="25"/>
    </row>
    <row r="148" spans="1:5">
      <c r="A148" s="25"/>
      <c r="B148" s="25"/>
    </row>
  </sheetData>
  <mergeCells count="4">
    <mergeCell ref="A4:H4"/>
    <mergeCell ref="A14:B14"/>
    <mergeCell ref="B49:C49"/>
    <mergeCell ref="F52:G52"/>
  </mergeCells>
  <printOptions horizontalCentered="1" verticalCentered="1"/>
  <pageMargins left="0.7" right="0.7" top="0.75" bottom="0.75" header="0.3" footer="0.3"/>
  <pageSetup scale="69" orientation="portrait" r:id="rId1"/>
  <headerFooter>
    <oddFooter>&amp;L&amp;F - &amp;A&amp;R&amp;P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101"/>
  <sheetViews>
    <sheetView showGridLines="0" tabSelected="1" view="pageBreakPreview" zoomScale="85" zoomScaleNormal="85" zoomScaleSheetLayoutView="85" workbookViewId="0">
      <pane xSplit="3" ySplit="5" topLeftCell="D60" activePane="bottomRight" state="frozen"/>
      <selection pane="topRight" activeCell="D1" sqref="D1"/>
      <selection pane="bottomLeft" activeCell="A6" sqref="A6"/>
      <selection pane="bottomRight" activeCell="L80" sqref="L80"/>
    </sheetView>
  </sheetViews>
  <sheetFormatPr defaultRowHeight="15"/>
  <cols>
    <col min="1" max="1" width="4.140625" style="1" customWidth="1"/>
    <col min="2" max="2" width="8.140625" style="57" customWidth="1"/>
    <col min="3" max="3" width="26.140625" style="1" customWidth="1"/>
    <col min="4" max="4" width="12.42578125" style="79" customWidth="1"/>
    <col min="5" max="5" width="13" style="88" customWidth="1"/>
    <col min="6" max="6" width="13" style="79" customWidth="1"/>
    <col min="7" max="7" width="9.42578125" style="79" customWidth="1"/>
    <col min="8" max="8" width="14.140625" style="79" customWidth="1"/>
    <col min="9" max="9" width="13" style="79" customWidth="1"/>
    <col min="10" max="15" width="12.85546875" style="96" customWidth="1"/>
    <col min="16" max="19" width="14" style="96" customWidth="1"/>
    <col min="20" max="21" width="12.85546875" style="96" customWidth="1"/>
    <col min="22" max="23" width="14" style="96" customWidth="1"/>
    <col min="24" max="24" width="12.140625" style="1" bestFit="1" customWidth="1"/>
    <col min="25" max="25" width="11.7109375" style="1" customWidth="1"/>
    <col min="26" max="26" width="9.140625" style="1"/>
    <col min="32" max="16384" width="9.140625" style="1"/>
  </cols>
  <sheetData>
    <row r="1" spans="1:31" s="74" customFormat="1">
      <c r="A1" s="77" t="s">
        <v>404</v>
      </c>
      <c r="B1" s="57"/>
      <c r="D1" s="79"/>
      <c r="E1" s="88"/>
      <c r="F1" s="79"/>
      <c r="G1" s="79"/>
      <c r="H1" s="79"/>
      <c r="I1" s="79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AA1"/>
      <c r="AB1"/>
      <c r="AC1"/>
      <c r="AD1"/>
      <c r="AE1"/>
    </row>
    <row r="2" spans="1:31" s="74" customFormat="1">
      <c r="A2" s="75" t="s">
        <v>412</v>
      </c>
      <c r="B2" s="57"/>
      <c r="D2" s="79"/>
      <c r="E2" s="88"/>
      <c r="F2" s="79"/>
      <c r="G2" s="79"/>
      <c r="H2" s="79"/>
      <c r="I2" s="79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AA2"/>
      <c r="AB2"/>
      <c r="AC2"/>
      <c r="AD2"/>
      <c r="AE2"/>
    </row>
    <row r="3" spans="1:31" s="74" customFormat="1">
      <c r="A3" s="75" t="s">
        <v>491</v>
      </c>
      <c r="B3" s="57"/>
      <c r="D3" s="79"/>
      <c r="E3" s="88"/>
      <c r="F3" s="79"/>
      <c r="G3" s="79"/>
      <c r="H3" s="79"/>
      <c r="I3" s="79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AA3"/>
      <c r="AB3"/>
      <c r="AC3"/>
      <c r="AD3"/>
      <c r="AE3"/>
    </row>
    <row r="4" spans="1:31" s="74" customFormat="1">
      <c r="A4" s="143" t="s">
        <v>486</v>
      </c>
      <c r="B4" s="57"/>
      <c r="D4" s="79"/>
      <c r="E4" s="88"/>
      <c r="F4" s="79"/>
      <c r="G4" s="79"/>
      <c r="H4" s="79"/>
      <c r="I4" s="79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AA4"/>
      <c r="AB4"/>
      <c r="AC4"/>
      <c r="AD4"/>
      <c r="AE4"/>
    </row>
    <row r="5" spans="1:31" ht="45" customHeight="1">
      <c r="A5" s="76"/>
      <c r="B5" s="76" t="s">
        <v>413</v>
      </c>
      <c r="C5" s="76" t="s">
        <v>414</v>
      </c>
      <c r="D5" s="76" t="s">
        <v>255</v>
      </c>
      <c r="E5" s="76" t="s">
        <v>256</v>
      </c>
      <c r="F5" s="76" t="s">
        <v>257</v>
      </c>
      <c r="G5" s="76" t="s">
        <v>202</v>
      </c>
      <c r="H5" s="76" t="s">
        <v>258</v>
      </c>
      <c r="I5" s="76" t="s">
        <v>259</v>
      </c>
      <c r="J5" s="76" t="s">
        <v>250</v>
      </c>
      <c r="K5" s="76" t="s">
        <v>260</v>
      </c>
      <c r="L5" s="76" t="s">
        <v>415</v>
      </c>
      <c r="M5" s="76" t="s">
        <v>261</v>
      </c>
      <c r="N5" s="76" t="s">
        <v>416</v>
      </c>
      <c r="O5" s="76" t="s">
        <v>262</v>
      </c>
      <c r="P5" s="76" t="s">
        <v>263</v>
      </c>
      <c r="Q5" s="76" t="s">
        <v>326</v>
      </c>
      <c r="R5" s="76" t="s">
        <v>417</v>
      </c>
      <c r="S5" s="76" t="s">
        <v>418</v>
      </c>
      <c r="T5" s="76" t="s">
        <v>422</v>
      </c>
      <c r="U5" s="76" t="s">
        <v>419</v>
      </c>
      <c r="V5" s="76" t="s">
        <v>420</v>
      </c>
      <c r="W5" s="76" t="s">
        <v>421</v>
      </c>
    </row>
    <row r="6" spans="1:31" ht="15" customHeight="1">
      <c r="A6" s="268" t="s">
        <v>253</v>
      </c>
      <c r="B6" s="132">
        <v>26</v>
      </c>
      <c r="C6" s="1" t="s">
        <v>9</v>
      </c>
      <c r="D6" s="79">
        <f>+VLOOKUP(C6,'Whitman Reg - Price Out'!B:G,6,FALSE)</f>
        <v>21.564733707077789</v>
      </c>
      <c r="E6" s="88">
        <f>+References!B10</f>
        <v>4.333333333333333</v>
      </c>
      <c r="F6" s="79">
        <f>D6*E6*References!$B$50</f>
        <v>1121.3661527680449</v>
      </c>
      <c r="G6" s="79">
        <f>+References!B16</f>
        <v>20</v>
      </c>
      <c r="H6" s="79">
        <f>F6*G6</f>
        <v>22427.323055360899</v>
      </c>
      <c r="I6" s="79">
        <f>H6*$D$101</f>
        <v>14781.284367298842</v>
      </c>
      <c r="J6" s="96">
        <f>I6*References!$C$55</f>
        <v>29.562568734597711</v>
      </c>
      <c r="K6" s="96">
        <f>J6/References!$G$58</f>
        <v>30.246131302023439</v>
      </c>
      <c r="L6" s="96">
        <f>K6/F6*E6</f>
        <v>0.11688115309339649</v>
      </c>
      <c r="M6" s="96">
        <f>+'Proposed Rates'!B10</f>
        <v>16.41</v>
      </c>
      <c r="N6" s="96">
        <f>L6+M6</f>
        <v>16.526881153093395</v>
      </c>
      <c r="O6" s="96">
        <f>+'Proposed Rates'!D10</f>
        <v>16.526881153093395</v>
      </c>
      <c r="P6" s="96">
        <f>D6*M6*References!$B$50</f>
        <v>4246.5273615977585</v>
      </c>
      <c r="Q6" s="96">
        <f>D6*O6*References!$B$50</f>
        <v>4276.7734928997816</v>
      </c>
      <c r="R6" s="96">
        <f>Q6-P6</f>
        <v>30.246131302023059</v>
      </c>
      <c r="S6" s="96">
        <f>D6*N6*References!$B$50</f>
        <v>4276.7734928997816</v>
      </c>
      <c r="T6" s="96">
        <f>Q6-S6</f>
        <v>0</v>
      </c>
      <c r="U6" s="111">
        <f>N6</f>
        <v>16.526881153093395</v>
      </c>
      <c r="V6" s="111">
        <f>D6*U6*References!$B$50</f>
        <v>4276.7734928997816</v>
      </c>
      <c r="W6" s="111">
        <f>V6-P6</f>
        <v>30.246131302023059</v>
      </c>
      <c r="X6" s="175">
        <f>I6*(References!$C$55/References!$G$58)</f>
        <v>30.246131302023439</v>
      </c>
      <c r="Y6" s="96">
        <f>W6-X6</f>
        <v>-3.801403636316536E-13</v>
      </c>
      <c r="AA6" s="281">
        <f>(G6*$D$101*References!$C$55*'Whitman DF Calc'!E6)/References!$G$58</f>
        <v>0.11688115309339647</v>
      </c>
      <c r="AB6" s="110">
        <f>L6-AA6</f>
        <v>0</v>
      </c>
    </row>
    <row r="7" spans="1:31">
      <c r="A7" s="269"/>
      <c r="B7" s="132">
        <v>26</v>
      </c>
      <c r="C7" s="1" t="s">
        <v>11</v>
      </c>
      <c r="D7" s="79">
        <f>+VLOOKUP(C7,'Whitman Reg - Price Out'!B:G,6,FALSE)</f>
        <v>42.868746364165212</v>
      </c>
      <c r="E7" s="88">
        <f>+References!B12</f>
        <v>1</v>
      </c>
      <c r="F7" s="79">
        <f>D7*E7*References!$B$50</f>
        <v>514.42495636998251</v>
      </c>
      <c r="G7" s="79">
        <f>+References!B17</f>
        <v>34</v>
      </c>
      <c r="H7" s="79">
        <f t="shared" ref="H7:H23" si="0">F7*G7</f>
        <v>17490.448516579407</v>
      </c>
      <c r="I7" s="79">
        <f>H7*$D$101</f>
        <v>11527.514567698821</v>
      </c>
      <c r="J7" s="96">
        <f>I7*References!$C$55</f>
        <v>23.055029135397664</v>
      </c>
      <c r="K7" s="96">
        <f>J7/References!$G$58</f>
        <v>23.58812066236716</v>
      </c>
      <c r="L7" s="96">
        <f t="shared" ref="L7:L23" si="1">K7/F7*E7</f>
        <v>4.5853375444332475E-2</v>
      </c>
      <c r="M7" s="96">
        <f>+'Proposed Rates'!B19</f>
        <v>13.14</v>
      </c>
      <c r="N7" s="96">
        <f t="shared" ref="N7:N23" si="2">L7+M7</f>
        <v>13.185853375444333</v>
      </c>
      <c r="O7" s="96">
        <f>+'Proposed Rates'!D19</f>
        <v>13.185853375444333</v>
      </c>
      <c r="P7" s="96">
        <f>D7*M7*References!$B$50</f>
        <v>6759.5439267015709</v>
      </c>
      <c r="Q7" s="96">
        <f>D7*O7*References!$B$50</f>
        <v>6783.132047363938</v>
      </c>
      <c r="R7" s="96">
        <f t="shared" ref="R7:R23" si="3">Q7-P7</f>
        <v>23.588120662367146</v>
      </c>
      <c r="S7" s="96">
        <f>D7*N7*References!$B$50</f>
        <v>6783.132047363938</v>
      </c>
      <c r="T7" s="96">
        <f t="shared" ref="T7:T24" si="4">Q7-S7</f>
        <v>0</v>
      </c>
      <c r="U7" s="111">
        <f t="shared" ref="U7:U23" si="5">N7</f>
        <v>13.185853375444333</v>
      </c>
      <c r="V7" s="111">
        <f>D7*U7*References!$B$50</f>
        <v>6783.132047363938</v>
      </c>
      <c r="W7" s="111">
        <f t="shared" ref="W7:W23" si="6">V7-P7</f>
        <v>23.588120662367146</v>
      </c>
      <c r="X7" s="175">
        <f>I7*(References!$C$55/References!$G$58)</f>
        <v>23.58812066236716</v>
      </c>
      <c r="Y7" s="96">
        <f t="shared" ref="Y7:Y23" si="7">W7-X7</f>
        <v>0</v>
      </c>
      <c r="AA7" s="281">
        <f>(G7*$D$101*References!$C$55*'Whitman DF Calc'!E7)/References!$G$58</f>
        <v>4.5853375444332468E-2</v>
      </c>
      <c r="AB7" s="110">
        <f t="shared" ref="AB7:AB23" si="8">L7-AA7</f>
        <v>0</v>
      </c>
    </row>
    <row r="8" spans="1:31">
      <c r="A8" s="269"/>
      <c r="B8" s="132">
        <v>26</v>
      </c>
      <c r="C8" s="1" t="s">
        <v>13</v>
      </c>
      <c r="D8" s="79">
        <f>+VLOOKUP(C8,'Whitman Reg - Price Out'!B:G,6,FALSE)</f>
        <v>969.38484432234429</v>
      </c>
      <c r="E8" s="88">
        <f>+References!B10</f>
        <v>4.333333333333333</v>
      </c>
      <c r="F8" s="79">
        <f>D8*E8*References!$B$50</f>
        <v>50408.011904761894</v>
      </c>
      <c r="G8" s="79">
        <f>+References!B17</f>
        <v>34</v>
      </c>
      <c r="H8" s="79">
        <f t="shared" si="0"/>
        <v>1713872.4047619044</v>
      </c>
      <c r="I8" s="79">
        <f>H8*$D$101</f>
        <v>1129570.1819391458</v>
      </c>
      <c r="J8" s="96">
        <f>I8*References!$C$55</f>
        <v>2259.1403638782936</v>
      </c>
      <c r="K8" s="96">
        <f>J8/References!$G$58</f>
        <v>2311.3774952714275</v>
      </c>
      <c r="L8" s="96">
        <f t="shared" si="1"/>
        <v>0.19869796025877398</v>
      </c>
      <c r="M8" s="96">
        <f>+'Proposed Rates'!B11</f>
        <v>20.98</v>
      </c>
      <c r="N8" s="96">
        <f t="shared" si="2"/>
        <v>21.178697960258773</v>
      </c>
      <c r="O8" s="96">
        <f>+'Proposed Rates'!D11</f>
        <v>21.178697960258773</v>
      </c>
      <c r="P8" s="96">
        <f>D8*M8*References!$B$50</f>
        <v>244052.32840659341</v>
      </c>
      <c r="Q8" s="96">
        <f>D8*O8*References!$B$50</f>
        <v>246363.7059018648</v>
      </c>
      <c r="R8" s="96">
        <f t="shared" si="3"/>
        <v>2311.3774952713866</v>
      </c>
      <c r="S8" s="96">
        <f>D8*N8*References!$B$50</f>
        <v>246363.7059018648</v>
      </c>
      <c r="T8" s="96">
        <f t="shared" si="4"/>
        <v>0</v>
      </c>
      <c r="U8" s="111">
        <f t="shared" si="5"/>
        <v>21.178697960258773</v>
      </c>
      <c r="V8" s="111">
        <f>D8*U8*References!$B$50</f>
        <v>246363.7059018648</v>
      </c>
      <c r="W8" s="111">
        <f t="shared" si="6"/>
        <v>2311.3774952713866</v>
      </c>
      <c r="X8" s="175">
        <f>I8*(References!$C$55/References!$G$58)</f>
        <v>2311.377495271428</v>
      </c>
      <c r="Y8" s="96">
        <f t="shared" si="7"/>
        <v>-4.1382008930668235E-11</v>
      </c>
      <c r="AA8" s="281">
        <f>(G8*$D$101*References!$C$55*'Whitman DF Calc'!E8)/References!$G$58</f>
        <v>0.19869796025877404</v>
      </c>
      <c r="AB8" s="110">
        <f t="shared" si="8"/>
        <v>0</v>
      </c>
    </row>
    <row r="9" spans="1:31">
      <c r="A9" s="269"/>
      <c r="B9" s="132">
        <v>26</v>
      </c>
      <c r="C9" s="1" t="s">
        <v>15</v>
      </c>
      <c r="D9" s="79">
        <f>+VLOOKUP(C9,'Whitman Reg - Price Out'!B:G,6,FALSE)</f>
        <v>166.39654816039686</v>
      </c>
      <c r="E9" s="88">
        <f>+References!B10</f>
        <v>4.333333333333333</v>
      </c>
      <c r="F9" s="79">
        <f>D9*E9*References!$B$50</f>
        <v>8652.6205043406353</v>
      </c>
      <c r="G9" s="79">
        <f>+References!B18</f>
        <v>51</v>
      </c>
      <c r="H9" s="79">
        <f t="shared" si="0"/>
        <v>441283.64572137239</v>
      </c>
      <c r="I9" s="79">
        <f>H9*$D$101</f>
        <v>290838.94845340465</v>
      </c>
      <c r="J9" s="96">
        <f>I9*References!$C$55</f>
        <v>581.67789690680979</v>
      </c>
      <c r="K9" s="96">
        <f>J9/References!$G$58</f>
        <v>595.12778484429077</v>
      </c>
      <c r="L9" s="96">
        <f t="shared" si="1"/>
        <v>0.29804694038816104</v>
      </c>
      <c r="M9" s="96">
        <f>+'Proposed Rates'!B12</f>
        <v>27.92</v>
      </c>
      <c r="N9" s="96">
        <f t="shared" si="2"/>
        <v>28.218046940388163</v>
      </c>
      <c r="O9" s="96">
        <f>+'Proposed Rates'!D12</f>
        <v>28.218046940388163</v>
      </c>
      <c r="P9" s="96">
        <f>D9*M9*References!$B$50</f>
        <v>55749.499495659373</v>
      </c>
      <c r="Q9" s="96">
        <f>D9*O9*References!$B$50</f>
        <v>56344.627280503657</v>
      </c>
      <c r="R9" s="96">
        <f t="shared" si="3"/>
        <v>595.12778484428418</v>
      </c>
      <c r="S9" s="96">
        <f>D9*N9*References!$B$50</f>
        <v>56344.627280503657</v>
      </c>
      <c r="T9" s="96">
        <f t="shared" si="4"/>
        <v>0</v>
      </c>
      <c r="U9" s="111">
        <f t="shared" si="5"/>
        <v>28.218046940388163</v>
      </c>
      <c r="V9" s="111">
        <f>D9*U9*References!$B$50</f>
        <v>56344.627280503657</v>
      </c>
      <c r="W9" s="111">
        <f t="shared" si="6"/>
        <v>595.12778484428418</v>
      </c>
      <c r="X9" s="175">
        <f>I9*(References!$C$55/References!$G$58)</f>
        <v>595.12778484429077</v>
      </c>
      <c r="Y9" s="96">
        <f t="shared" si="7"/>
        <v>-6.5938365878537297E-12</v>
      </c>
      <c r="AA9" s="281">
        <f>(G9*$D$101*References!$C$55*'Whitman DF Calc'!E9)/References!$G$58</f>
        <v>0.2980469403881611</v>
      </c>
      <c r="AB9" s="110">
        <f t="shared" si="8"/>
        <v>0</v>
      </c>
    </row>
    <row r="10" spans="1:31">
      <c r="A10" s="269"/>
      <c r="B10" s="132">
        <v>26</v>
      </c>
      <c r="C10" s="1" t="s">
        <v>17</v>
      </c>
      <c r="D10" s="79">
        <f>+VLOOKUP(C10,'Whitman Reg - Price Out'!B:G,6,FALSE)</f>
        <v>11.144113983182811</v>
      </c>
      <c r="E10" s="88">
        <f>+References!B10</f>
        <v>4.333333333333333</v>
      </c>
      <c r="F10" s="79">
        <f>D10*E10*References!$B$50</f>
        <v>579.49392712550616</v>
      </c>
      <c r="G10" s="79">
        <f>+References!B19</f>
        <v>77</v>
      </c>
      <c r="H10" s="79">
        <f t="shared" si="0"/>
        <v>44621.032388663974</v>
      </c>
      <c r="I10" s="79">
        <f>H10*$D$101</f>
        <v>29408.599807975635</v>
      </c>
      <c r="J10" s="96">
        <f>I10*References!$C$55</f>
        <v>58.817199615951324</v>
      </c>
      <c r="K10" s="96">
        <f>J10/References!$G$58</f>
        <v>60.177204436209657</v>
      </c>
      <c r="L10" s="96">
        <f t="shared" si="1"/>
        <v>0.44999243940957639</v>
      </c>
      <c r="M10" s="96">
        <f>+'Proposed Rates'!B13</f>
        <v>37.1</v>
      </c>
      <c r="N10" s="96">
        <f t="shared" si="2"/>
        <v>37.549992439409579</v>
      </c>
      <c r="O10" s="96">
        <f>+'Proposed Rates'!D13</f>
        <v>37.549992439409579</v>
      </c>
      <c r="P10" s="96">
        <f>D10*M10*References!$B$50</f>
        <v>4961.3595453129874</v>
      </c>
      <c r="Q10" s="96">
        <f>D10*O10*References!$B$50</f>
        <v>5021.536749749197</v>
      </c>
      <c r="R10" s="96">
        <f t="shared" si="3"/>
        <v>60.177204436209649</v>
      </c>
      <c r="S10" s="96">
        <f>D10*N10*References!$B$50</f>
        <v>5021.536749749197</v>
      </c>
      <c r="T10" s="96">
        <f t="shared" si="4"/>
        <v>0</v>
      </c>
      <c r="U10" s="111">
        <f t="shared" si="5"/>
        <v>37.549992439409579</v>
      </c>
      <c r="V10" s="111">
        <f>D10*U10*References!$B$50</f>
        <v>5021.536749749197</v>
      </c>
      <c r="W10" s="111">
        <f t="shared" si="6"/>
        <v>60.177204436209649</v>
      </c>
      <c r="X10" s="175">
        <f>I10*(References!$C$55/References!$G$58)</f>
        <v>60.177204436209664</v>
      </c>
      <c r="Y10" s="96">
        <f t="shared" si="7"/>
        <v>0</v>
      </c>
      <c r="AA10" s="281">
        <f>(G10*$D$101*References!$C$55*'Whitman DF Calc'!E10)/References!$G$58</f>
        <v>0.44999243940957639</v>
      </c>
      <c r="AB10" s="110">
        <f t="shared" si="8"/>
        <v>0</v>
      </c>
    </row>
    <row r="11" spans="1:31">
      <c r="A11" s="269"/>
      <c r="B11" s="132">
        <v>26</v>
      </c>
      <c r="C11" s="1" t="s">
        <v>19</v>
      </c>
      <c r="D11" s="79">
        <f>+VLOOKUP(C11,'Whitman Reg - Price Out'!B:G,6,FALSE)</f>
        <v>0.99945345416964793</v>
      </c>
      <c r="E11" s="88">
        <f>+References!B10</f>
        <v>4.333333333333333</v>
      </c>
      <c r="F11" s="79">
        <f>D11*E11*References!$B$50</f>
        <v>51.971579616821685</v>
      </c>
      <c r="G11" s="79">
        <f>+References!B20</f>
        <v>97</v>
      </c>
      <c r="H11" s="79">
        <f t="shared" si="0"/>
        <v>5041.2432228317039</v>
      </c>
      <c r="I11" s="79">
        <f>H11*$D$101</f>
        <v>3322.5565734017287</v>
      </c>
      <c r="J11" s="96">
        <f>I11*References!$C$55</f>
        <v>6.645113146803463</v>
      </c>
      <c r="K11" s="96">
        <f>J11/References!$G$58</f>
        <v>6.798765241255845</v>
      </c>
      <c r="L11" s="96">
        <f t="shared" si="1"/>
        <v>0.56687359250297298</v>
      </c>
      <c r="M11" s="96">
        <f>+'Proposed Rates'!B14</f>
        <v>48.44</v>
      </c>
      <c r="N11" s="96">
        <f t="shared" si="2"/>
        <v>49.00687359250297</v>
      </c>
      <c r="O11" s="96">
        <f>+'Proposed Rates'!D14</f>
        <v>49.00687359250297</v>
      </c>
      <c r="P11" s="96">
        <f>D11*M11*References!$B$50</f>
        <v>580.96230383973295</v>
      </c>
      <c r="Q11" s="96">
        <f>D11*O11*References!$B$50</f>
        <v>587.7610690809887</v>
      </c>
      <c r="R11" s="96">
        <f t="shared" si="3"/>
        <v>6.7987652412557509</v>
      </c>
      <c r="S11" s="96">
        <f>D11*N11*References!$B$50</f>
        <v>587.7610690809887</v>
      </c>
      <c r="T11" s="96">
        <f t="shared" si="4"/>
        <v>0</v>
      </c>
      <c r="U11" s="111">
        <f t="shared" si="5"/>
        <v>49.00687359250297</v>
      </c>
      <c r="V11" s="111">
        <f>D11*U11*References!$B$50</f>
        <v>587.7610690809887</v>
      </c>
      <c r="W11" s="111">
        <f t="shared" si="6"/>
        <v>6.7987652412557509</v>
      </c>
      <c r="X11" s="175">
        <f>I11*(References!$C$55/References!$G$58)</f>
        <v>6.798765241255845</v>
      </c>
      <c r="Y11" s="96">
        <f t="shared" si="7"/>
        <v>-9.4146912488213275E-14</v>
      </c>
      <c r="AA11" s="281">
        <f>(G11*$D$101*References!$C$55*'Whitman DF Calc'!E11)/References!$G$58</f>
        <v>0.56687359250297298</v>
      </c>
      <c r="AB11" s="110">
        <f t="shared" si="8"/>
        <v>0</v>
      </c>
    </row>
    <row r="12" spans="1:31">
      <c r="A12" s="269"/>
      <c r="B12" s="132">
        <v>26</v>
      </c>
      <c r="C12" s="1" t="s">
        <v>21</v>
      </c>
      <c r="D12" s="79">
        <f>+VLOOKUP(C12,'Whitman Reg - Price Out'!B:G,6,FALSE)</f>
        <v>869.90060144088523</v>
      </c>
      <c r="E12" s="88">
        <f>+References!$B$10</f>
        <v>4.333333333333333</v>
      </c>
      <c r="F12" s="79">
        <f>D12*E12*References!$B$50</f>
        <v>45234.831274926029</v>
      </c>
      <c r="G12" s="79">
        <f>+References!B23</f>
        <v>47</v>
      </c>
      <c r="H12" s="79">
        <f t="shared" si="0"/>
        <v>2126037.0699215233</v>
      </c>
      <c r="I12" s="79">
        <f>H12*$D$101</f>
        <v>1401217.5429210248</v>
      </c>
      <c r="J12" s="96">
        <f>I12*References!$C$55</f>
        <v>2802.4350858420521</v>
      </c>
      <c r="K12" s="96">
        <f>J12/References!$G$58</f>
        <v>2867.234587520004</v>
      </c>
      <c r="L12" s="96">
        <f t="shared" si="1"/>
        <v>0.27467070976948171</v>
      </c>
      <c r="M12" s="96">
        <f>+'Proposed Rates'!B17</f>
        <v>29.84</v>
      </c>
      <c r="N12" s="96">
        <f t="shared" si="2"/>
        <v>30.114670709769481</v>
      </c>
      <c r="O12" s="96">
        <f>+'Proposed Rates'!D17</f>
        <v>30.114670709769481</v>
      </c>
      <c r="P12" s="96">
        <f>D12*M12*References!$B$50</f>
        <v>311494.00736395217</v>
      </c>
      <c r="Q12" s="96">
        <f>D12*O12*References!$B$50</f>
        <v>314361.24195147218</v>
      </c>
      <c r="R12" s="96">
        <f t="shared" si="3"/>
        <v>2867.2345875200117</v>
      </c>
      <c r="S12" s="96">
        <f>D12*N12*References!$B$50</f>
        <v>314361.24195147218</v>
      </c>
      <c r="T12" s="96">
        <f t="shared" si="4"/>
        <v>0</v>
      </c>
      <c r="U12" s="111">
        <f t="shared" si="5"/>
        <v>30.114670709769481</v>
      </c>
      <c r="V12" s="111">
        <f>D12*U12*References!$B$50</f>
        <v>314361.24195147218</v>
      </c>
      <c r="W12" s="111">
        <f t="shared" si="6"/>
        <v>2867.2345875200117</v>
      </c>
      <c r="X12" s="175">
        <f>I12*(References!$C$55/References!$G$58)</f>
        <v>2867.2345875200044</v>
      </c>
      <c r="Y12" s="96">
        <f t="shared" si="7"/>
        <v>7.2759576141834259E-12</v>
      </c>
      <c r="AA12" s="281">
        <f>(G12*$D$101*References!$C$55*'Whitman DF Calc'!E12)/References!$G$58</f>
        <v>0.27467070976948171</v>
      </c>
      <c r="AB12" s="110">
        <f t="shared" si="8"/>
        <v>0</v>
      </c>
    </row>
    <row r="13" spans="1:31" s="74" customFormat="1">
      <c r="A13" s="269"/>
      <c r="B13" s="132">
        <v>26</v>
      </c>
      <c r="C13" s="74" t="s">
        <v>333</v>
      </c>
      <c r="D13" s="79">
        <f>+VLOOKUP(C13,'Whitman Reg - Price Out'!B:G,6,FALSE)</f>
        <v>4.9532194776791458</v>
      </c>
      <c r="E13" s="172">
        <f>+References!$B$10</f>
        <v>4.333333333333333</v>
      </c>
      <c r="F13" s="82">
        <f>D13*E13*References!$B$50</f>
        <v>257.56741283931558</v>
      </c>
      <c r="G13" s="82">
        <f>+References!B23*2</f>
        <v>94</v>
      </c>
      <c r="H13" s="79">
        <f t="shared" ref="H13" si="9">F13*G13</f>
        <v>24211.336806895666</v>
      </c>
      <c r="I13" s="79">
        <f>H13*$D$101</f>
        <v>15957.082946180224</v>
      </c>
      <c r="J13" s="96">
        <f>I13*References!$C$55</f>
        <v>31.914165892360476</v>
      </c>
      <c r="K13" s="96">
        <f>J13/References!$G$58</f>
        <v>32.652103429875666</v>
      </c>
      <c r="L13" s="96">
        <f t="shared" si="1"/>
        <v>0.54934141953896343</v>
      </c>
      <c r="M13" s="96">
        <f>+'Proposed Rates'!B17*2</f>
        <v>59.68</v>
      </c>
      <c r="N13" s="96">
        <f>L13+M13</f>
        <v>60.229341419538962</v>
      </c>
      <c r="O13" s="96">
        <f>+'Proposed Rates'!D17*2</f>
        <v>60.229341419538962</v>
      </c>
      <c r="P13" s="96">
        <f>D13*M13*References!$B$50</f>
        <v>3547.2976611346976</v>
      </c>
      <c r="Q13" s="96">
        <f>D13*O13*References!$B$50</f>
        <v>3579.9497645645729</v>
      </c>
      <c r="R13" s="96">
        <f t="shared" si="3"/>
        <v>32.652103429875297</v>
      </c>
      <c r="S13" s="96">
        <f>D13*N13*References!$B$50</f>
        <v>3579.9497645645729</v>
      </c>
      <c r="T13" s="96">
        <f t="shared" si="4"/>
        <v>0</v>
      </c>
      <c r="U13" s="111">
        <f t="shared" si="5"/>
        <v>60.229341419538962</v>
      </c>
      <c r="V13" s="111">
        <f>D13*U13*References!$B$50</f>
        <v>3579.9497645645729</v>
      </c>
      <c r="W13" s="111">
        <f t="shared" si="6"/>
        <v>32.652103429875297</v>
      </c>
      <c r="X13" s="175">
        <f>I13*(References!$C$55/References!$G$58)</f>
        <v>32.652103429875666</v>
      </c>
      <c r="Y13" s="96">
        <f t="shared" si="7"/>
        <v>-3.694822225952521E-13</v>
      </c>
      <c r="AA13" s="281">
        <f>(G13*$D$101*References!$C$55*'Whitman DF Calc'!E13)/References!$G$58</f>
        <v>0.54934141953896343</v>
      </c>
      <c r="AB13" s="110">
        <f t="shared" si="8"/>
        <v>0</v>
      </c>
      <c r="AC13"/>
      <c r="AD13"/>
      <c r="AE13"/>
    </row>
    <row r="14" spans="1:31">
      <c r="A14" s="269"/>
      <c r="B14" s="132">
        <v>26</v>
      </c>
      <c r="C14" s="1" t="s">
        <v>23</v>
      </c>
      <c r="D14" s="79">
        <f>+VLOOKUP(C14,'Whitman Reg - Price Out'!B:G,6,FALSE)</f>
        <v>1.9948861443458126</v>
      </c>
      <c r="E14" s="172">
        <f>+References!$B$10</f>
        <v>4.333333333333333</v>
      </c>
      <c r="F14" s="82">
        <f>D14*E14*References!$B$50</f>
        <v>103.73407950598224</v>
      </c>
      <c r="G14" s="82">
        <f>+References!B23*3</f>
        <v>141</v>
      </c>
      <c r="H14" s="79">
        <f t="shared" si="0"/>
        <v>14626.505210343495</v>
      </c>
      <c r="I14" s="79">
        <f>H14*$D$101</f>
        <v>9639.9615897175263</v>
      </c>
      <c r="J14" s="96">
        <f>I14*References!$C$55</f>
        <v>19.27992317943507</v>
      </c>
      <c r="K14" s="96">
        <f>J14/References!$G$58</f>
        <v>19.725724554363687</v>
      </c>
      <c r="L14" s="96">
        <f t="shared" si="1"/>
        <v>0.82401212930844525</v>
      </c>
      <c r="M14" s="96">
        <f>+'Proposed Rates'!B17*3</f>
        <v>89.52</v>
      </c>
      <c r="N14" s="96">
        <f t="shared" si="2"/>
        <v>90.344012129308439</v>
      </c>
      <c r="O14" s="96">
        <f>+'Proposed Rates'!D17*3</f>
        <v>90.344012129308439</v>
      </c>
      <c r="P14" s="96">
        <f>D14*M14*References!$B$50</f>
        <v>2142.9864917020454</v>
      </c>
      <c r="Q14" s="96">
        <f>D14*O14*References!$B$50</f>
        <v>2162.7122162564092</v>
      </c>
      <c r="R14" s="96">
        <f t="shared" si="3"/>
        <v>19.725724554363751</v>
      </c>
      <c r="S14" s="96">
        <f>D14*N14*References!$B$50</f>
        <v>2162.7122162564092</v>
      </c>
      <c r="T14" s="96">
        <f t="shared" si="4"/>
        <v>0</v>
      </c>
      <c r="U14" s="111">
        <f t="shared" si="5"/>
        <v>90.344012129308439</v>
      </c>
      <c r="V14" s="111">
        <f>D14*U14*References!$B$50</f>
        <v>2162.7122162564092</v>
      </c>
      <c r="W14" s="111">
        <f t="shared" si="6"/>
        <v>19.725724554363751</v>
      </c>
      <c r="X14" s="175">
        <f>I14*(References!$C$55/References!$G$58)</f>
        <v>19.725724554363691</v>
      </c>
      <c r="Y14" s="96">
        <f t="shared" si="7"/>
        <v>6.0396132539608516E-14</v>
      </c>
      <c r="AA14" s="281">
        <f>(G14*$D$101*References!$C$55*'Whitman DF Calc'!E14)/References!$G$58</f>
        <v>0.82401212930844525</v>
      </c>
      <c r="AB14" s="110">
        <f t="shared" si="8"/>
        <v>0</v>
      </c>
    </row>
    <row r="15" spans="1:31">
      <c r="A15" s="269"/>
      <c r="B15" s="132">
        <v>26</v>
      </c>
      <c r="C15" s="1" t="s">
        <v>25</v>
      </c>
      <c r="D15" s="79">
        <f>+VLOOKUP(C15,'Whitman Reg - Price Out'!B:G,6,FALSE)</f>
        <v>1248.3961842378872</v>
      </c>
      <c r="E15" s="88">
        <f>+References!B10</f>
        <v>4.333333333333333</v>
      </c>
      <c r="F15" s="79">
        <f>D15*E15*References!$B$50</f>
        <v>64916.60158037013</v>
      </c>
      <c r="G15" s="79">
        <f>+References!B24</f>
        <v>68</v>
      </c>
      <c r="H15" s="79">
        <f t="shared" si="0"/>
        <v>4414328.9074651692</v>
      </c>
      <c r="I15" s="79">
        <f>H15*$D$101</f>
        <v>2909373.1209455882</v>
      </c>
      <c r="J15" s="96">
        <f>I15*References!$C$55</f>
        <v>5818.7462418911819</v>
      </c>
      <c r="K15" s="96">
        <f>J15/References!$G$58</f>
        <v>5953.290609669717</v>
      </c>
      <c r="L15" s="96">
        <f t="shared" si="1"/>
        <v>0.39739592051754807</v>
      </c>
      <c r="M15" s="96">
        <f>+'Proposed Rates'!B18</f>
        <v>36.99</v>
      </c>
      <c r="N15" s="96">
        <f t="shared" si="2"/>
        <v>37.387395920517548</v>
      </c>
      <c r="O15" s="96">
        <f>+'Proposed Rates'!D18</f>
        <v>37.387395920517548</v>
      </c>
      <c r="P15" s="96">
        <f>D15*M15*References!$B$50</f>
        <v>554138.09825951338</v>
      </c>
      <c r="Q15" s="96">
        <f>D15*O15*References!$B$50</f>
        <v>560091.38886918302</v>
      </c>
      <c r="R15" s="96">
        <f t="shared" si="3"/>
        <v>5953.2906096696388</v>
      </c>
      <c r="S15" s="96">
        <f>D15*N15*References!$B$50</f>
        <v>560091.38886918302</v>
      </c>
      <c r="T15" s="96">
        <f t="shared" si="4"/>
        <v>0</v>
      </c>
      <c r="U15" s="111">
        <f t="shared" si="5"/>
        <v>37.387395920517548</v>
      </c>
      <c r="V15" s="111">
        <f>D15*U15*References!$B$50</f>
        <v>560091.38886918302</v>
      </c>
      <c r="W15" s="111">
        <f t="shared" si="6"/>
        <v>5953.2906096696388</v>
      </c>
      <c r="X15" s="175">
        <f>I15*(References!$C$55/References!$G$58)</f>
        <v>5953.290609669717</v>
      </c>
      <c r="Y15" s="96">
        <f t="shared" si="7"/>
        <v>-7.8216544352471828E-11</v>
      </c>
      <c r="AA15" s="281">
        <f>(G15*$D$101*References!$C$55*'Whitman DF Calc'!E15)/References!$G$58</f>
        <v>0.39739592051754807</v>
      </c>
      <c r="AB15" s="110">
        <f t="shared" si="8"/>
        <v>0</v>
      </c>
    </row>
    <row r="16" spans="1:31">
      <c r="A16" s="269"/>
      <c r="B16" s="132">
        <v>26</v>
      </c>
      <c r="C16" s="1" t="s">
        <v>27</v>
      </c>
      <c r="D16" s="79">
        <f>+VLOOKUP(C16,'Whitman Reg - Price Out'!B:G,6,FALSE)</f>
        <v>12.561486275732998</v>
      </c>
      <c r="E16" s="172">
        <f>+References!$B$10</f>
        <v>4.333333333333333</v>
      </c>
      <c r="F16" s="79">
        <f>D16*E16*References!$B$50</f>
        <v>653.19728633811587</v>
      </c>
      <c r="G16" s="82">
        <f>+References!B24*2</f>
        <v>136</v>
      </c>
      <c r="H16" s="79">
        <f t="shared" si="0"/>
        <v>88834.830941983761</v>
      </c>
      <c r="I16" s="79">
        <f>H16*$D$101</f>
        <v>58548.802040843919</v>
      </c>
      <c r="J16" s="96">
        <f>I16*References!$C$55</f>
        <v>117.09760408168795</v>
      </c>
      <c r="K16" s="96">
        <f>J16/References!$G$58</f>
        <v>119.80520163872309</v>
      </c>
      <c r="L16" s="96">
        <f t="shared" si="1"/>
        <v>0.79479184103509615</v>
      </c>
      <c r="M16" s="96">
        <f>+'Proposed Rates'!B18*2</f>
        <v>73.98</v>
      </c>
      <c r="N16" s="96">
        <f t="shared" si="2"/>
        <v>74.774791841035096</v>
      </c>
      <c r="O16" s="96">
        <f>+'Proposed Rates'!D18*2</f>
        <v>74.774791841035096</v>
      </c>
      <c r="P16" s="96">
        <f>D16*M16*References!$B$50</f>
        <v>11151.585056144726</v>
      </c>
      <c r="Q16" s="96">
        <f>D16*O16*References!$B$50</f>
        <v>11271.390257783449</v>
      </c>
      <c r="R16" s="96">
        <f t="shared" si="3"/>
        <v>119.80520163872279</v>
      </c>
      <c r="S16" s="96">
        <f>D16*N16*References!$B$50</f>
        <v>11271.390257783449</v>
      </c>
      <c r="T16" s="96">
        <f>Q16-S16</f>
        <v>0</v>
      </c>
      <c r="U16" s="111">
        <f t="shared" si="5"/>
        <v>74.774791841035096</v>
      </c>
      <c r="V16" s="111">
        <f>D16*U16*References!$B$50</f>
        <v>11271.390257783449</v>
      </c>
      <c r="W16" s="111">
        <f t="shared" si="6"/>
        <v>119.80520163872279</v>
      </c>
      <c r="X16" s="175">
        <f>I16*(References!$C$55/References!$G$58)</f>
        <v>119.80520163872309</v>
      </c>
      <c r="Y16" s="96">
        <f t="shared" si="7"/>
        <v>-2.9842794901924208E-13</v>
      </c>
      <c r="AA16" s="281">
        <f>(G16*$D$101*References!$C$55*'Whitman DF Calc'!E16)/References!$G$58</f>
        <v>0.79479184103509615</v>
      </c>
      <c r="AB16" s="110">
        <f t="shared" si="8"/>
        <v>0</v>
      </c>
    </row>
    <row r="17" spans="1:31">
      <c r="A17" s="269"/>
      <c r="B17" s="132">
        <v>27</v>
      </c>
      <c r="C17" s="1" t="s">
        <v>29</v>
      </c>
      <c r="D17" s="79">
        <f>+VLOOKUP(C17,'Whitman Reg - Price Out'!B:G,6,FALSE)</f>
        <v>1.1666666666666667</v>
      </c>
      <c r="E17" s="88">
        <f>+References!$B$12</f>
        <v>1</v>
      </c>
      <c r="F17" s="79">
        <f>D17*E17*References!$B$50</f>
        <v>14</v>
      </c>
      <c r="G17" s="79">
        <f>+References!B17</f>
        <v>34</v>
      </c>
      <c r="H17" s="79">
        <f t="shared" si="0"/>
        <v>476</v>
      </c>
      <c r="I17" s="79">
        <f>H17*$D$101</f>
        <v>313.71962411503364</v>
      </c>
      <c r="J17" s="96">
        <f>I17*References!$C$55</f>
        <v>0.6274392482300678</v>
      </c>
      <c r="K17" s="96">
        <f>J17/References!$G$58</f>
        <v>0.64194725622065452</v>
      </c>
      <c r="L17" s="96">
        <f t="shared" si="1"/>
        <v>4.5853375444332468E-2</v>
      </c>
      <c r="M17" s="96">
        <f>+'Proposed Rates'!B24</f>
        <v>14.44</v>
      </c>
      <c r="N17" s="96">
        <f t="shared" si="2"/>
        <v>14.485853375444332</v>
      </c>
      <c r="O17" s="96">
        <f>+'Proposed Rates'!D24</f>
        <v>14.485853375444332</v>
      </c>
      <c r="P17" s="96">
        <f>F17*M17</f>
        <v>202.16</v>
      </c>
      <c r="Q17" s="96">
        <f>F17*O17</f>
        <v>202.80194725622064</v>
      </c>
      <c r="R17" s="96">
        <f t="shared" si="3"/>
        <v>0.64194725622064652</v>
      </c>
      <c r="S17" s="96">
        <f>F17*N17</f>
        <v>202.80194725622064</v>
      </c>
      <c r="T17" s="96">
        <f t="shared" si="4"/>
        <v>0</v>
      </c>
      <c r="U17" s="111">
        <f t="shared" si="5"/>
        <v>14.485853375444332</v>
      </c>
      <c r="V17" s="111">
        <f>F17*U17</f>
        <v>202.80194725622064</v>
      </c>
      <c r="W17" s="111">
        <f t="shared" si="6"/>
        <v>0.64194725622064652</v>
      </c>
      <c r="X17" s="175">
        <f>I17*(References!$C$55/References!$G$58)</f>
        <v>0.64194725622065463</v>
      </c>
      <c r="Y17" s="96">
        <f t="shared" si="7"/>
        <v>-8.1046280797636427E-15</v>
      </c>
      <c r="AA17" s="281">
        <f>(G17*$D$101*References!$C$55*'Whitman DF Calc'!E17)/References!$G$58</f>
        <v>4.5853375444332468E-2</v>
      </c>
      <c r="AB17" s="110">
        <f t="shared" si="8"/>
        <v>0</v>
      </c>
    </row>
    <row r="18" spans="1:31" s="159" customFormat="1">
      <c r="A18" s="269"/>
      <c r="B18" s="132">
        <v>27</v>
      </c>
      <c r="C18" s="159" t="s">
        <v>31</v>
      </c>
      <c r="D18" s="79">
        <f>+VLOOKUP(C18,'Whitman Reg - Price Out'!B:G,6,FALSE)</f>
        <v>1.4166666666666667</v>
      </c>
      <c r="E18" s="172">
        <f>+References!$B$12</f>
        <v>1</v>
      </c>
      <c r="F18" s="82">
        <f>D18*E18*References!$B$50</f>
        <v>17</v>
      </c>
      <c r="G18" s="82">
        <f>+References!B24</f>
        <v>68</v>
      </c>
      <c r="H18" s="82">
        <f t="shared" si="0"/>
        <v>1156</v>
      </c>
      <c r="I18" s="82">
        <f>H18*$D$101</f>
        <v>761.89051570793879</v>
      </c>
      <c r="J18" s="97">
        <f>I18*References!$C$55</f>
        <v>1.5237810314158788</v>
      </c>
      <c r="K18" s="97">
        <f>J18/References!$G$58</f>
        <v>1.5590147651073039</v>
      </c>
      <c r="L18" s="97">
        <f t="shared" si="1"/>
        <v>9.1706750888664937E-2</v>
      </c>
      <c r="M18" s="97">
        <f>+'Proposed Rates'!B24</f>
        <v>14.44</v>
      </c>
      <c r="N18" s="97">
        <f t="shared" si="2"/>
        <v>14.531706750888665</v>
      </c>
      <c r="O18" s="97">
        <f>+'Proposed Rates'!D24</f>
        <v>14.485853375444332</v>
      </c>
      <c r="P18" s="97">
        <f t="shared" ref="P18:P23" si="10">F18*M18</f>
        <v>245.48</v>
      </c>
      <c r="Q18" s="97">
        <f t="shared" ref="Q18:Q23" si="11">F18*O18</f>
        <v>246.25950738255364</v>
      </c>
      <c r="R18" s="97">
        <f t="shared" si="3"/>
        <v>0.77950738255364627</v>
      </c>
      <c r="S18" s="97">
        <f>F18*O18</f>
        <v>246.25950738255364</v>
      </c>
      <c r="T18" s="97">
        <f t="shared" si="4"/>
        <v>0</v>
      </c>
      <c r="U18" s="111">
        <f t="shared" si="5"/>
        <v>14.531706750888665</v>
      </c>
      <c r="V18" s="111">
        <f t="shared" ref="V18:V23" si="12">F18*U18</f>
        <v>247.03901476510731</v>
      </c>
      <c r="W18" s="111">
        <f t="shared" si="6"/>
        <v>1.559014765107321</v>
      </c>
      <c r="X18" s="175">
        <f>I18*(References!$C$55/References!$G$58)</f>
        <v>1.5590147651073041</v>
      </c>
      <c r="Y18" s="96">
        <f t="shared" si="7"/>
        <v>1.6875389974302379E-14</v>
      </c>
      <c r="AA18" s="281">
        <f>(G18*$D$101*References!$C$55*'Whitman DF Calc'!E18)/References!$G$58</f>
        <v>9.1706750888664937E-2</v>
      </c>
      <c r="AB18" s="110">
        <f t="shared" si="8"/>
        <v>0</v>
      </c>
      <c r="AC18" s="173"/>
      <c r="AD18" s="173"/>
      <c r="AE18" s="173"/>
    </row>
    <row r="19" spans="1:31">
      <c r="A19" s="269"/>
      <c r="B19" s="132">
        <v>27</v>
      </c>
      <c r="C19" s="1" t="s">
        <v>33</v>
      </c>
      <c r="D19" s="79">
        <f>+VLOOKUP(C19,'Whitman Reg - Price Out'!B:G,6,FALSE)</f>
        <v>339.52724358974359</v>
      </c>
      <c r="E19" s="88">
        <f>+References!$B$12</f>
        <v>1</v>
      </c>
      <c r="F19" s="79">
        <f>D19*E19*References!$B$50</f>
        <v>4074.3269230769229</v>
      </c>
      <c r="G19" s="79">
        <f>+References!B26</f>
        <v>34</v>
      </c>
      <c r="H19" s="79">
        <f t="shared" si="0"/>
        <v>138527.11538461538</v>
      </c>
      <c r="I19" s="79">
        <f>H19*$D$101</f>
        <v>91299.736487818125</v>
      </c>
      <c r="J19" s="96">
        <f>I19*References!$C$55</f>
        <v>182.59947297563642</v>
      </c>
      <c r="K19" s="96">
        <f>J19/References!$G$58</f>
        <v>186.82164208679805</v>
      </c>
      <c r="L19" s="96">
        <f t="shared" si="1"/>
        <v>4.5853375444332468E-2</v>
      </c>
      <c r="M19" s="96">
        <f>+'Proposed Rates'!B22</f>
        <v>4.8</v>
      </c>
      <c r="N19" s="96">
        <f t="shared" si="2"/>
        <v>4.8458533754443325</v>
      </c>
      <c r="O19" s="96">
        <f>+'Proposed Rates'!D22</f>
        <v>4.8458533754443325</v>
      </c>
      <c r="P19" s="96">
        <f t="shared" si="10"/>
        <v>19556.76923076923</v>
      </c>
      <c r="Q19" s="96">
        <f t="shared" si="11"/>
        <v>19743.590872856028</v>
      </c>
      <c r="R19" s="96">
        <f t="shared" si="3"/>
        <v>186.82164208679751</v>
      </c>
      <c r="S19" s="96">
        <f t="shared" ref="S19:S23" si="13">F19*N19</f>
        <v>19743.590872856028</v>
      </c>
      <c r="T19" s="96">
        <f t="shared" si="4"/>
        <v>0</v>
      </c>
      <c r="U19" s="111">
        <f t="shared" si="5"/>
        <v>4.8458533754443325</v>
      </c>
      <c r="V19" s="111">
        <f t="shared" si="12"/>
        <v>19743.590872856028</v>
      </c>
      <c r="W19" s="111">
        <f t="shared" si="6"/>
        <v>186.82164208679751</v>
      </c>
      <c r="X19" s="175">
        <f>I19*(References!$C$55/References!$G$58)</f>
        <v>186.82164208679805</v>
      </c>
      <c r="Y19" s="96">
        <f t="shared" si="7"/>
        <v>-5.4001247917767614E-13</v>
      </c>
      <c r="AA19" s="281">
        <f>(G19*$D$101*References!$C$55*'Whitman DF Calc'!E19)/References!$G$58</f>
        <v>4.5853375444332468E-2</v>
      </c>
      <c r="AB19" s="110">
        <f t="shared" si="8"/>
        <v>0</v>
      </c>
    </row>
    <row r="20" spans="1:31">
      <c r="A20" s="269"/>
      <c r="B20" s="132">
        <v>30</v>
      </c>
      <c r="C20" s="1" t="s">
        <v>35</v>
      </c>
      <c r="D20" s="79">
        <f>+VLOOKUP(C20,'Whitman Reg - Price Out'!B:G,6,FALSE)</f>
        <v>5.2484359961501452</v>
      </c>
      <c r="E20" s="88">
        <f>+References!$B$12</f>
        <v>1</v>
      </c>
      <c r="F20" s="79">
        <f>D20*E20*References!$B$50</f>
        <v>62.981231953801739</v>
      </c>
      <c r="G20" s="79">
        <f>+References!B48</f>
        <v>125</v>
      </c>
      <c r="H20" s="79">
        <f t="shared" si="0"/>
        <v>7872.6539942252175</v>
      </c>
      <c r="I20" s="79">
        <f>H20*$D$101</f>
        <v>5188.6681761681793</v>
      </c>
      <c r="J20" s="96">
        <f>I20*References!$C$55</f>
        <v>10.377336352336368</v>
      </c>
      <c r="K20" s="96">
        <f>J20/References!$G$58</f>
        <v>10.617287039427428</v>
      </c>
      <c r="L20" s="96">
        <f t="shared" si="1"/>
        <v>0.16857858619239879</v>
      </c>
      <c r="M20" s="97">
        <f>+'Proposed Rates'!B27</f>
        <v>23.89</v>
      </c>
      <c r="N20" s="96">
        <f t="shared" si="2"/>
        <v>24.0585785861924</v>
      </c>
      <c r="O20" s="97">
        <f>+'Proposed Rates'!D27</f>
        <v>24.0585785861924</v>
      </c>
      <c r="P20" s="96">
        <f t="shared" si="10"/>
        <v>1504.6216313763236</v>
      </c>
      <c r="Q20" s="96">
        <f t="shared" si="11"/>
        <v>1515.238918415751</v>
      </c>
      <c r="R20" s="96">
        <f t="shared" si="3"/>
        <v>10.61728703942731</v>
      </c>
      <c r="S20" s="96">
        <f t="shared" si="13"/>
        <v>1515.238918415751</v>
      </c>
      <c r="T20" s="96">
        <f t="shared" si="4"/>
        <v>0</v>
      </c>
      <c r="U20" s="111">
        <f t="shared" si="5"/>
        <v>24.0585785861924</v>
      </c>
      <c r="V20" s="111">
        <f t="shared" si="12"/>
        <v>1515.238918415751</v>
      </c>
      <c r="W20" s="111">
        <f t="shared" si="6"/>
        <v>10.61728703942731</v>
      </c>
      <c r="X20" s="175">
        <f>I20*(References!$C$55/References!$G$58)</f>
        <v>10.617287039427428</v>
      </c>
      <c r="Y20" s="96">
        <f t="shared" si="7"/>
        <v>-1.1723955140041653E-13</v>
      </c>
      <c r="AA20" s="281">
        <f>(G20*$D$101*References!$C$55*'Whitman DF Calc'!E20)/References!$G$58</f>
        <v>0.16857858619239877</v>
      </c>
      <c r="AB20" s="110">
        <f t="shared" si="8"/>
        <v>0</v>
      </c>
    </row>
    <row r="21" spans="1:31">
      <c r="A21" s="269"/>
      <c r="B21" s="132">
        <v>21</v>
      </c>
      <c r="C21" s="1" t="s">
        <v>37</v>
      </c>
      <c r="D21" s="79">
        <f>+VLOOKUP(C21,'Whitman Reg - Price Out'!B:G,6,FALSE)</f>
        <v>3.333733974358974</v>
      </c>
      <c r="E21" s="88">
        <f>+References!$B$12</f>
        <v>1</v>
      </c>
      <c r="F21" s="79">
        <f>D21*E21*References!$B$50</f>
        <v>40.004807692307686</v>
      </c>
      <c r="G21" s="79">
        <f>+References!B26</f>
        <v>34</v>
      </c>
      <c r="H21" s="79">
        <f t="shared" si="0"/>
        <v>1360.1634615384614</v>
      </c>
      <c r="I21" s="79">
        <f>H21*$D$101</f>
        <v>896.44951657321246</v>
      </c>
      <c r="J21" s="96">
        <f>I21*References!$C$55</f>
        <v>1.7928990331464265</v>
      </c>
      <c r="K21" s="96">
        <f>J21/References!$G$58</f>
        <v>1.8343554666937041</v>
      </c>
      <c r="L21" s="96">
        <f t="shared" si="1"/>
        <v>4.5853375444332475E-2</v>
      </c>
      <c r="M21" s="96">
        <f>+'Proposed Rates'!B7</f>
        <v>4.8</v>
      </c>
      <c r="N21" s="96">
        <f t="shared" si="2"/>
        <v>4.8458533754443325</v>
      </c>
      <c r="O21" s="96">
        <f>+'Proposed Rates'!D7</f>
        <v>4.8458533754443325</v>
      </c>
      <c r="P21" s="96">
        <f t="shared" si="10"/>
        <v>192.0230769230769</v>
      </c>
      <c r="Q21" s="96">
        <f t="shared" si="11"/>
        <v>193.85743238977059</v>
      </c>
      <c r="R21" s="96">
        <f t="shared" si="3"/>
        <v>1.8343554666936939</v>
      </c>
      <c r="S21" s="96">
        <f t="shared" si="13"/>
        <v>193.85743238977059</v>
      </c>
      <c r="T21" s="96">
        <f t="shared" si="4"/>
        <v>0</v>
      </c>
      <c r="U21" s="111">
        <f t="shared" si="5"/>
        <v>4.8458533754443325</v>
      </c>
      <c r="V21" s="111">
        <f t="shared" si="12"/>
        <v>193.85743238977059</v>
      </c>
      <c r="W21" s="111">
        <f t="shared" si="6"/>
        <v>1.8343554666936939</v>
      </c>
      <c r="X21" s="175">
        <f>I21*(References!$C$55/References!$G$58)</f>
        <v>1.8343554666937043</v>
      </c>
      <c r="Y21" s="96">
        <f t="shared" si="7"/>
        <v>-1.0436096431476471E-14</v>
      </c>
      <c r="AA21" s="281">
        <f>(G21*$D$101*References!$C$55*'Whitman DF Calc'!E21)/References!$G$58</f>
        <v>4.5853375444332468E-2</v>
      </c>
      <c r="AB21" s="110">
        <f t="shared" si="8"/>
        <v>0</v>
      </c>
    </row>
    <row r="22" spans="1:31">
      <c r="A22" s="269"/>
      <c r="B22" s="132">
        <v>21</v>
      </c>
      <c r="C22" s="1" t="s">
        <v>39</v>
      </c>
      <c r="D22" s="79">
        <f>+VLOOKUP(C22,'Whitman Reg - Price Out'!B:G,6,FALSE)</f>
        <v>1.9158653846153844</v>
      </c>
      <c r="E22" s="88">
        <f>+References!$B$12</f>
        <v>1</v>
      </c>
      <c r="F22" s="79">
        <f>D22*E22*References!$B$50</f>
        <v>22.990384615384613</v>
      </c>
      <c r="G22" s="79">
        <f>+References!B26</f>
        <v>34</v>
      </c>
      <c r="H22" s="79">
        <f t="shared" si="0"/>
        <v>781.67307692307691</v>
      </c>
      <c r="I22" s="79">
        <f>H22*$D$101</f>
        <v>515.18105855703664</v>
      </c>
      <c r="J22" s="96">
        <f>I22*References!$C$55</f>
        <v>1.0303621171140742</v>
      </c>
      <c r="K22" s="96">
        <f>J22/References!$G$58</f>
        <v>1.0541867373788358</v>
      </c>
      <c r="L22" s="96">
        <f t="shared" si="1"/>
        <v>4.5853375444332468E-2</v>
      </c>
      <c r="M22" s="96">
        <f>+'Proposed Rates'!B7</f>
        <v>4.8</v>
      </c>
      <c r="N22" s="96">
        <f t="shared" si="2"/>
        <v>4.8458533754443325</v>
      </c>
      <c r="O22" s="96">
        <f>+'Proposed Rates'!D7</f>
        <v>4.8458533754443325</v>
      </c>
      <c r="P22" s="96">
        <f t="shared" si="10"/>
        <v>110.35384615384613</v>
      </c>
      <c r="Q22" s="96">
        <f t="shared" si="11"/>
        <v>111.40803289122498</v>
      </c>
      <c r="R22" s="96">
        <f t="shared" si="3"/>
        <v>1.0541867373788421</v>
      </c>
      <c r="S22" s="96">
        <f t="shared" si="13"/>
        <v>111.40803289122498</v>
      </c>
      <c r="T22" s="96">
        <f t="shared" si="4"/>
        <v>0</v>
      </c>
      <c r="U22" s="111">
        <f t="shared" si="5"/>
        <v>4.8458533754443325</v>
      </c>
      <c r="V22" s="111">
        <f t="shared" si="12"/>
        <v>111.40803289122498</v>
      </c>
      <c r="W22" s="111">
        <f t="shared" si="6"/>
        <v>1.0541867373788421</v>
      </c>
      <c r="X22" s="175">
        <f>I22*(References!$C$55/References!$G$58)</f>
        <v>1.0541867373788358</v>
      </c>
      <c r="Y22" s="96">
        <f t="shared" si="7"/>
        <v>6.2172489379008766E-15</v>
      </c>
      <c r="AA22" s="281">
        <f>(G22*$D$101*References!$C$55*'Whitman DF Calc'!E22)/References!$G$58</f>
        <v>4.5853375444332468E-2</v>
      </c>
      <c r="AB22" s="110">
        <f t="shared" si="8"/>
        <v>0</v>
      </c>
    </row>
    <row r="23" spans="1:31">
      <c r="A23" s="269"/>
      <c r="B23" s="132">
        <v>30</v>
      </c>
      <c r="C23" s="1" t="s">
        <v>41</v>
      </c>
      <c r="D23" s="79">
        <f>+VLOOKUP(C23,'Whitman Reg - Price Out'!B:G,6,FALSE)</f>
        <v>1.0410250240615977</v>
      </c>
      <c r="E23" s="88">
        <f>+References!$B$12</f>
        <v>1</v>
      </c>
      <c r="F23" s="79">
        <f>D23*E23*References!$B$50</f>
        <v>12.492300288739173</v>
      </c>
      <c r="G23" s="79">
        <f>+References!B48</f>
        <v>125</v>
      </c>
      <c r="H23" s="79">
        <f t="shared" si="0"/>
        <v>1561.5375360923967</v>
      </c>
      <c r="I23" s="79">
        <f>H23*$D$101</f>
        <v>1029.1701026563496</v>
      </c>
      <c r="J23" s="96">
        <f>I23*References!$C$55</f>
        <v>2.0583402053127009</v>
      </c>
      <c r="K23" s="96">
        <f>J23/References!$G$58</f>
        <v>2.1059343209665449</v>
      </c>
      <c r="L23" s="96">
        <f t="shared" si="1"/>
        <v>0.16857858619239877</v>
      </c>
      <c r="M23" s="97">
        <f>+'Proposed Rates'!B27</f>
        <v>23.89</v>
      </c>
      <c r="N23" s="96">
        <f t="shared" si="2"/>
        <v>24.0585785861924</v>
      </c>
      <c r="O23" s="97">
        <f>+'Proposed Rates'!D27</f>
        <v>24.0585785861924</v>
      </c>
      <c r="P23" s="96">
        <f t="shared" si="10"/>
        <v>298.44105389797886</v>
      </c>
      <c r="Q23" s="96">
        <f t="shared" si="11"/>
        <v>300.54698821894539</v>
      </c>
      <c r="R23" s="96">
        <f t="shared" si="3"/>
        <v>2.1059343209665258</v>
      </c>
      <c r="S23" s="96">
        <f t="shared" si="13"/>
        <v>300.54698821894539</v>
      </c>
      <c r="T23" s="96">
        <f t="shared" si="4"/>
        <v>0</v>
      </c>
      <c r="U23" s="111">
        <f t="shared" si="5"/>
        <v>24.0585785861924</v>
      </c>
      <c r="V23" s="111">
        <f t="shared" si="12"/>
        <v>300.54698821894539</v>
      </c>
      <c r="W23" s="111">
        <f t="shared" si="6"/>
        <v>2.1059343209665258</v>
      </c>
      <c r="X23" s="175">
        <f>I23*(References!$C$55/References!$G$58)</f>
        <v>2.1059343209665449</v>
      </c>
      <c r="Y23" s="96">
        <f t="shared" si="7"/>
        <v>-1.9095836023552692E-14</v>
      </c>
      <c r="AA23" s="281">
        <f>(G23*$D$101*References!$C$55*'Whitman DF Calc'!E23)/References!$G$58</f>
        <v>0.16857858619239877</v>
      </c>
      <c r="AB23" s="110">
        <f t="shared" si="8"/>
        <v>0</v>
      </c>
    </row>
    <row r="24" spans="1:31">
      <c r="A24" s="64"/>
      <c r="B24" s="62"/>
      <c r="C24" s="256" t="s">
        <v>0</v>
      </c>
      <c r="D24" s="257">
        <f>SUM(D6:D23)</f>
        <v>3703.8144548701293</v>
      </c>
      <c r="E24" s="258"/>
      <c r="F24" s="257">
        <f>SUM(F6:F23)</f>
        <v>176737.61630658963</v>
      </c>
      <c r="G24" s="259"/>
      <c r="H24" s="257">
        <f>SUM(H6:H23)</f>
        <v>9064509.8914660234</v>
      </c>
      <c r="I24" s="257">
        <f>SUM(I6:I23)</f>
        <v>5974190.4116338762</v>
      </c>
      <c r="J24" s="260"/>
      <c r="K24" s="260"/>
      <c r="L24" s="261"/>
      <c r="M24" s="261"/>
      <c r="N24" s="261"/>
      <c r="O24" s="261"/>
      <c r="P24" s="260">
        <f>SUM(P6:P23)</f>
        <v>1220934.0447112722</v>
      </c>
      <c r="Q24" s="260">
        <f>SUM(Q6:Q23)</f>
        <v>1233157.9233001329</v>
      </c>
      <c r="R24" s="260">
        <f>SUM(R6:R23)</f>
        <v>12223.878588860178</v>
      </c>
      <c r="S24" s="260">
        <f>SUM(S6:S23)</f>
        <v>1233157.9233001329</v>
      </c>
      <c r="T24" s="260">
        <f t="shared" si="4"/>
        <v>0</v>
      </c>
      <c r="U24" s="260"/>
      <c r="V24" s="260">
        <f>SUM(V6:V23)</f>
        <v>1233158.7028075154</v>
      </c>
      <c r="W24" s="260">
        <f>SUM(W6:W23)</f>
        <v>12224.658096242732</v>
      </c>
    </row>
    <row r="25" spans="1:31" ht="15" customHeight="1">
      <c r="A25" s="270" t="s">
        <v>254</v>
      </c>
      <c r="B25" s="132">
        <v>37</v>
      </c>
      <c r="C25" s="1" t="s">
        <v>52</v>
      </c>
      <c r="D25" s="79">
        <f>+VLOOKUP(C25,'Whitman Reg - Price Out'!B:G,6,FALSE)</f>
        <v>255.90043956043959</v>
      </c>
      <c r="E25" s="88">
        <f>+References!B10</f>
        <v>4.333333333333333</v>
      </c>
      <c r="F25" s="79">
        <f>D25*E25*References!$B$50</f>
        <v>13306.822857142859</v>
      </c>
      <c r="G25" s="79">
        <f>+References!B29</f>
        <v>175</v>
      </c>
      <c r="H25" s="79">
        <f t="shared" ref="H25:H80" si="14">F25*G25</f>
        <v>2328694.0000000005</v>
      </c>
      <c r="I25" s="79">
        <f>H25*$D$101</f>
        <v>1534783.6268044838</v>
      </c>
      <c r="J25" s="96">
        <f>I25*References!$C$55</f>
        <v>3069.5672536089705</v>
      </c>
      <c r="K25" s="96">
        <f>J25/References!$G$58</f>
        <v>3140.5435375577763</v>
      </c>
      <c r="L25" s="96">
        <f>K25/F25</f>
        <v>0.23601002066935836</v>
      </c>
      <c r="M25" s="96">
        <f>+'Proposed Rates'!B35</f>
        <v>18.22</v>
      </c>
      <c r="N25" s="96">
        <f t="shared" ref="N25:N80" si="15">L25+M25</f>
        <v>18.456010020669357</v>
      </c>
      <c r="O25" s="96">
        <f>+'Proposed Rates'!D35</f>
        <v>18.456010020669357</v>
      </c>
      <c r="P25" s="96">
        <f>F25*M25</f>
        <v>242450.31245714286</v>
      </c>
      <c r="Q25" s="96">
        <f>F25*O25</f>
        <v>245590.85599470066</v>
      </c>
      <c r="R25" s="96">
        <f>Q25-P25</f>
        <v>3140.5435375577945</v>
      </c>
      <c r="S25" s="96">
        <f>F25*N25</f>
        <v>245590.85599470066</v>
      </c>
      <c r="T25" s="96">
        <f>Q25-S25</f>
        <v>0</v>
      </c>
      <c r="U25" s="111">
        <f>N25</f>
        <v>18.456010020669357</v>
      </c>
      <c r="V25" s="111">
        <f>F25*U25</f>
        <v>245590.85599470066</v>
      </c>
      <c r="W25" s="111">
        <f>V25-P25</f>
        <v>3140.5435375577945</v>
      </c>
      <c r="X25" s="175">
        <f>I25*(References!$C$55/References!$G$58)</f>
        <v>3140.5435375577763</v>
      </c>
      <c r="Y25" s="96">
        <f t="shared" ref="Y25:Y80" si="16">W25-X25</f>
        <v>1.8189894035458565E-11</v>
      </c>
      <c r="AA25" s="281">
        <f>(G25*$D$101*References!$C$55)/References!$G$58</f>
        <v>0.23601002066935831</v>
      </c>
      <c r="AB25" s="110">
        <f t="shared" ref="AB25" si="17">L25-AA25</f>
        <v>0</v>
      </c>
    </row>
    <row r="26" spans="1:31" s="146" customFormat="1" ht="15" customHeight="1">
      <c r="A26" s="266"/>
      <c r="B26" s="132">
        <v>37</v>
      </c>
      <c r="C26" s="146" t="s">
        <v>459</v>
      </c>
      <c r="D26" s="79">
        <f>+VLOOKUP(C26,'Whitman Reg - Price Out'!B:G,6,FALSE)</f>
        <v>0.83333333333333337</v>
      </c>
      <c r="E26" s="88">
        <f>+References!B10</f>
        <v>4.333333333333333</v>
      </c>
      <c r="F26" s="79">
        <f>D26*E26*References!$B$50</f>
        <v>43.333333333333336</v>
      </c>
      <c r="G26" s="79">
        <f>+References!B29*2</f>
        <v>350</v>
      </c>
      <c r="H26" s="79">
        <f t="shared" ref="H26" si="18">F26*G26</f>
        <v>15166.666666666668</v>
      </c>
      <c r="I26" s="79">
        <f>H26*$D$101</f>
        <v>9995.9684154299939</v>
      </c>
      <c r="J26" s="96">
        <f>I26*References!$C$55</f>
        <v>19.991936830860006</v>
      </c>
      <c r="K26" s="96">
        <f>J26/References!$G$58</f>
        <v>20.454201791344389</v>
      </c>
      <c r="L26" s="96">
        <f>K26/(F26*2)</f>
        <v>0.23601002066935831</v>
      </c>
      <c r="M26" s="96">
        <f>+'Proposed Rates'!B35</f>
        <v>18.22</v>
      </c>
      <c r="N26" s="96">
        <f t="shared" si="15"/>
        <v>18.456010020669357</v>
      </c>
      <c r="O26" s="96">
        <f>+'Proposed Rates'!D35</f>
        <v>18.456010020669357</v>
      </c>
      <c r="P26" s="96">
        <f>F26*M26*2</f>
        <v>1579.0666666666666</v>
      </c>
      <c r="Q26" s="96">
        <f>F26*O26*2</f>
        <v>1599.5208684580109</v>
      </c>
      <c r="R26" s="96">
        <f>Q26-P26</f>
        <v>20.454201791344303</v>
      </c>
      <c r="S26" s="96">
        <f>F26*N26*2</f>
        <v>1599.5208684580109</v>
      </c>
      <c r="T26" s="96">
        <f>Q26-S26</f>
        <v>0</v>
      </c>
      <c r="U26" s="111">
        <f>N26</f>
        <v>18.456010020669357</v>
      </c>
      <c r="V26" s="111">
        <f>F26*U26*2</f>
        <v>1599.5208684580109</v>
      </c>
      <c r="W26" s="111">
        <f>V26-P26</f>
        <v>20.454201791344303</v>
      </c>
      <c r="X26" s="175">
        <f>I26*(References!$C$55/References!$G$58)</f>
        <v>20.454201791344389</v>
      </c>
      <c r="Y26" s="96">
        <f t="shared" ref="Y26" si="19">W26-X26</f>
        <v>-8.5265128291212022E-14</v>
      </c>
      <c r="AA26" s="281">
        <f>(G26*$D$101*References!$C$55)/2/References!$G$58</f>
        <v>0.23601002066935831</v>
      </c>
      <c r="AB26" s="110">
        <f t="shared" ref="AB26:AB80" si="20">L26-AA26</f>
        <v>0</v>
      </c>
      <c r="AC26"/>
      <c r="AD26"/>
      <c r="AE26"/>
    </row>
    <row r="27" spans="1:31" s="74" customFormat="1" ht="15" customHeight="1">
      <c r="A27" s="266"/>
      <c r="B27" s="132">
        <v>37</v>
      </c>
      <c r="C27" s="74" t="s">
        <v>345</v>
      </c>
      <c r="D27" s="79">
        <f>+VLOOKUP(C27,'Whitman Reg - Price Out'!B:G,6,FALSE)</f>
        <v>1</v>
      </c>
      <c r="E27" s="88">
        <f>+References!B12</f>
        <v>1</v>
      </c>
      <c r="F27" s="79">
        <f>D27*E27*References!$B$50</f>
        <v>12</v>
      </c>
      <c r="G27" s="79">
        <f>+References!B29</f>
        <v>175</v>
      </c>
      <c r="H27" s="79">
        <f t="shared" ref="H27" si="21">F27*G27</f>
        <v>2100</v>
      </c>
      <c r="I27" s="79">
        <f>H27*$D$101</f>
        <v>1384.0571652133838</v>
      </c>
      <c r="J27" s="96">
        <f>I27*References!$C$55</f>
        <v>2.7681143304267701</v>
      </c>
      <c r="K27" s="96">
        <f>J27/References!$G$58</f>
        <v>2.8321202480322998</v>
      </c>
      <c r="L27" s="96">
        <f t="shared" ref="L27:L55" si="22">K27/F27</f>
        <v>0.23601002066935831</v>
      </c>
      <c r="M27" s="97">
        <f>+'Proposed Rates'!B35</f>
        <v>18.22</v>
      </c>
      <c r="N27" s="97">
        <f t="shared" si="15"/>
        <v>18.456010020669357</v>
      </c>
      <c r="O27" s="97">
        <f>+'Proposed Rates'!D35</f>
        <v>18.456010020669357</v>
      </c>
      <c r="P27" s="96">
        <f t="shared" ref="P27:P80" si="23">F27*M27</f>
        <v>218.64</v>
      </c>
      <c r="Q27" s="96">
        <f t="shared" ref="Q27:Q80" si="24">F27*O27</f>
        <v>221.4721202480323</v>
      </c>
      <c r="R27" s="96">
        <f t="shared" ref="R27:R80" si="25">Q27-P27</f>
        <v>2.8321202480323109</v>
      </c>
      <c r="S27" s="96">
        <f t="shared" ref="S27:S80" si="26">F27*N27</f>
        <v>221.4721202480323</v>
      </c>
      <c r="T27" s="96">
        <f t="shared" ref="T27:T80" si="27">Q27-S27</f>
        <v>0</v>
      </c>
      <c r="U27" s="111">
        <f t="shared" ref="U27:U80" si="28">N27</f>
        <v>18.456010020669357</v>
      </c>
      <c r="V27" s="111">
        <f t="shared" ref="V27:V80" si="29">F27*U27</f>
        <v>221.4721202480323</v>
      </c>
      <c r="W27" s="111">
        <f t="shared" ref="W27:W80" si="30">V27-P27</f>
        <v>2.8321202480323109</v>
      </c>
      <c r="X27" s="175">
        <f>I27*(References!$C$55/References!$G$58)</f>
        <v>2.8321202480323002</v>
      </c>
      <c r="Y27" s="96">
        <f t="shared" si="16"/>
        <v>1.0658141036401503E-14</v>
      </c>
      <c r="AA27" s="281">
        <f>(G27*$D$101*References!$C$55)/References!$G$58</f>
        <v>0.23601002066935831</v>
      </c>
      <c r="AB27" s="110">
        <f t="shared" si="20"/>
        <v>0</v>
      </c>
      <c r="AC27"/>
      <c r="AD27"/>
      <c r="AE27"/>
    </row>
    <row r="28" spans="1:31">
      <c r="A28" s="266"/>
      <c r="B28" s="132">
        <v>37</v>
      </c>
      <c r="C28" s="1" t="s">
        <v>54</v>
      </c>
      <c r="D28" s="79">
        <f>+VLOOKUP(C28,'Whitman Reg - Price Out'!B:G,6,FALSE)</f>
        <v>1</v>
      </c>
      <c r="E28" s="88">
        <f>+References!B8</f>
        <v>13</v>
      </c>
      <c r="F28" s="79">
        <f>D28*E28*References!$B$50</f>
        <v>156</v>
      </c>
      <c r="G28" s="79">
        <f>+References!B29</f>
        <v>175</v>
      </c>
      <c r="H28" s="79">
        <f t="shared" si="14"/>
        <v>27300</v>
      </c>
      <c r="I28" s="79">
        <f>H28*$D$101</f>
        <v>17992.743147773988</v>
      </c>
      <c r="J28" s="96">
        <f>I28*References!$C$55</f>
        <v>35.985486295548007</v>
      </c>
      <c r="K28" s="96">
        <f>J28/References!$G$58</f>
        <v>36.817563224419892</v>
      </c>
      <c r="L28" s="96">
        <f t="shared" si="22"/>
        <v>0.23601002066935828</v>
      </c>
      <c r="M28" s="97">
        <f>+'Proposed Rates'!B35</f>
        <v>18.22</v>
      </c>
      <c r="N28" s="97">
        <f t="shared" si="15"/>
        <v>18.456010020669357</v>
      </c>
      <c r="O28" s="97">
        <f>+'Proposed Rates'!D35</f>
        <v>18.456010020669357</v>
      </c>
      <c r="P28" s="96">
        <f t="shared" si="23"/>
        <v>2842.3199999999997</v>
      </c>
      <c r="Q28" s="96">
        <f t="shared" si="24"/>
        <v>2879.1375632244199</v>
      </c>
      <c r="R28" s="96">
        <f t="shared" si="25"/>
        <v>36.817563224420155</v>
      </c>
      <c r="S28" s="96">
        <f t="shared" si="26"/>
        <v>2879.1375632244199</v>
      </c>
      <c r="T28" s="96">
        <f t="shared" si="27"/>
        <v>0</v>
      </c>
      <c r="U28" s="111">
        <f t="shared" si="28"/>
        <v>18.456010020669357</v>
      </c>
      <c r="V28" s="111">
        <f t="shared" si="29"/>
        <v>2879.1375632244199</v>
      </c>
      <c r="W28" s="111">
        <f t="shared" si="30"/>
        <v>36.817563224420155</v>
      </c>
      <c r="X28" s="175">
        <f>I28*(References!$C$55/References!$G$58)</f>
        <v>36.817563224419899</v>
      </c>
      <c r="Y28" s="96">
        <f t="shared" si="16"/>
        <v>2.5579538487363607E-13</v>
      </c>
      <c r="AA28" s="281">
        <f>(G28*$D$101*References!$C$55)/References!$G$58</f>
        <v>0.23601002066935831</v>
      </c>
      <c r="AB28" s="110">
        <f t="shared" si="20"/>
        <v>0</v>
      </c>
    </row>
    <row r="29" spans="1:31">
      <c r="A29" s="266"/>
      <c r="B29" s="132">
        <v>37</v>
      </c>
      <c r="C29" s="1" t="s">
        <v>56</v>
      </c>
      <c r="D29" s="79">
        <f>+VLOOKUP(C29,'Whitman Reg - Price Out'!B:G,6,FALSE)</f>
        <v>5.0000000000000009</v>
      </c>
      <c r="E29" s="88">
        <f>+References!B12</f>
        <v>1</v>
      </c>
      <c r="F29" s="79">
        <f>D29*E29*References!$B$50</f>
        <v>60.000000000000014</v>
      </c>
      <c r="G29" s="79">
        <f>+References!B30</f>
        <v>250</v>
      </c>
      <c r="H29" s="79">
        <f t="shared" si="14"/>
        <v>15000.000000000004</v>
      </c>
      <c r="I29" s="79">
        <f>H29*$D$101</f>
        <v>9886.1226086670285</v>
      </c>
      <c r="J29" s="96">
        <f>I29*References!$C$55</f>
        <v>19.772245217334074</v>
      </c>
      <c r="K29" s="96">
        <f>J29/References!$G$58</f>
        <v>20.229430343087859</v>
      </c>
      <c r="L29" s="96">
        <f t="shared" si="22"/>
        <v>0.33715717238479759</v>
      </c>
      <c r="M29" s="96">
        <f>+'Proposed Rates'!B36</f>
        <v>27.44</v>
      </c>
      <c r="N29" s="96">
        <f t="shared" si="15"/>
        <v>27.777157172384801</v>
      </c>
      <c r="O29" s="96">
        <f>+'Proposed Rates'!D36</f>
        <v>27.777157172384801</v>
      </c>
      <c r="P29" s="96">
        <f t="shared" si="23"/>
        <v>1646.4000000000005</v>
      </c>
      <c r="Q29" s="96">
        <f t="shared" si="24"/>
        <v>1666.6294303430884</v>
      </c>
      <c r="R29" s="96">
        <f t="shared" si="25"/>
        <v>20.22943034308787</v>
      </c>
      <c r="S29" s="96">
        <f t="shared" si="26"/>
        <v>1666.6294303430884</v>
      </c>
      <c r="T29" s="96">
        <f t="shared" si="27"/>
        <v>0</v>
      </c>
      <c r="U29" s="111">
        <f t="shared" si="28"/>
        <v>27.777157172384801</v>
      </c>
      <c r="V29" s="111">
        <f t="shared" si="29"/>
        <v>1666.6294303430884</v>
      </c>
      <c r="W29" s="111">
        <f t="shared" si="30"/>
        <v>20.22943034308787</v>
      </c>
      <c r="X29" s="175">
        <f>I29*(References!$C$55/References!$G$58)</f>
        <v>20.229430343087859</v>
      </c>
      <c r="Y29" s="96">
        <f t="shared" si="16"/>
        <v>0</v>
      </c>
      <c r="AA29" s="281">
        <f>(G29*$D$101*References!$C$55)/References!$G$58</f>
        <v>0.33715717238479753</v>
      </c>
      <c r="AB29" s="110">
        <f t="shared" si="20"/>
        <v>0</v>
      </c>
    </row>
    <row r="30" spans="1:31">
      <c r="A30" s="266"/>
      <c r="B30" s="132">
        <v>37</v>
      </c>
      <c r="C30" s="1" t="s">
        <v>58</v>
      </c>
      <c r="D30" s="79">
        <f>+VLOOKUP(C30,'Whitman Reg - Price Out'!B:G,6,FALSE)</f>
        <v>89.815307213688513</v>
      </c>
      <c r="E30" s="88">
        <f>+References!$B$10</f>
        <v>4.333333333333333</v>
      </c>
      <c r="F30" s="79">
        <f>D30*E30*References!$B$50</f>
        <v>4670.3959751118027</v>
      </c>
      <c r="G30" s="79">
        <f>+References!B30</f>
        <v>250</v>
      </c>
      <c r="H30" s="79">
        <f t="shared" si="14"/>
        <v>1167598.9937779508</v>
      </c>
      <c r="I30" s="79">
        <f>H30*$D$101</f>
        <v>769535.12068300461</v>
      </c>
      <c r="J30" s="96">
        <f>I30*References!$C$55</f>
        <v>1539.0702413660106</v>
      </c>
      <c r="K30" s="96">
        <f>J30/References!$G$58</f>
        <v>1574.657500886035</v>
      </c>
      <c r="L30" s="96">
        <f t="shared" si="22"/>
        <v>0.33715717238479759</v>
      </c>
      <c r="M30" s="96">
        <f>+'Proposed Rates'!B36</f>
        <v>27.44</v>
      </c>
      <c r="N30" s="96">
        <f t="shared" si="15"/>
        <v>27.777157172384801</v>
      </c>
      <c r="O30" s="96">
        <f>+'Proposed Rates'!D36</f>
        <v>27.777157172384801</v>
      </c>
      <c r="P30" s="96">
        <f t="shared" si="23"/>
        <v>128155.66555706787</v>
      </c>
      <c r="Q30" s="96">
        <f t="shared" si="24"/>
        <v>129730.32305795391</v>
      </c>
      <c r="R30" s="96">
        <f t="shared" si="25"/>
        <v>1574.6575008860382</v>
      </c>
      <c r="S30" s="96">
        <f t="shared" si="26"/>
        <v>129730.32305795391</v>
      </c>
      <c r="T30" s="96">
        <f t="shared" si="27"/>
        <v>0</v>
      </c>
      <c r="U30" s="111">
        <f t="shared" si="28"/>
        <v>27.777157172384801</v>
      </c>
      <c r="V30" s="111">
        <f t="shared" si="29"/>
        <v>129730.32305795391</v>
      </c>
      <c r="W30" s="111">
        <f t="shared" si="30"/>
        <v>1574.6575008860382</v>
      </c>
      <c r="X30" s="175">
        <f>I30*(References!$C$55/References!$G$58)</f>
        <v>1574.657500886035</v>
      </c>
      <c r="Y30" s="96">
        <f t="shared" si="16"/>
        <v>3.1832314562052488E-12</v>
      </c>
      <c r="AA30" s="281">
        <f>(G30*$D$101*References!$C$55)/References!$G$58</f>
        <v>0.33715717238479753</v>
      </c>
      <c r="AB30" s="110">
        <f t="shared" si="20"/>
        <v>0</v>
      </c>
    </row>
    <row r="31" spans="1:31">
      <c r="A31" s="266"/>
      <c r="B31" s="132">
        <v>37</v>
      </c>
      <c r="C31" s="1" t="s">
        <v>60</v>
      </c>
      <c r="D31" s="79">
        <f>+VLOOKUP(C31,'Whitman Reg - Price Out'!B:G,6,FALSE)</f>
        <v>1.3750020253082518</v>
      </c>
      <c r="E31" s="172">
        <f>+References!$B$10</f>
        <v>4.333333333333333</v>
      </c>
      <c r="F31" s="82">
        <f>D31*E31*References!$B$50</f>
        <v>71.500105316029092</v>
      </c>
      <c r="G31" s="82">
        <f>+References!B30*2</f>
        <v>500</v>
      </c>
      <c r="H31" s="79">
        <f t="shared" si="14"/>
        <v>35750.052658014545</v>
      </c>
      <c r="I31" s="79">
        <f>H31*$D$101</f>
        <v>23561.960256228955</v>
      </c>
      <c r="J31" s="96">
        <f>I31*References!$C$55</f>
        <v>47.12392051245795</v>
      </c>
      <c r="K31" s="96">
        <f>J31/References!$G$58</f>
        <v>48.213546667135205</v>
      </c>
      <c r="L31" s="96">
        <f>K31/(F31*2)</f>
        <v>0.33715717238479759</v>
      </c>
      <c r="M31" s="96">
        <f>+'Proposed Rates'!B36</f>
        <v>27.44</v>
      </c>
      <c r="N31" s="96">
        <f>L31+M31</f>
        <v>27.777157172384801</v>
      </c>
      <c r="O31" s="96">
        <f>+'Proposed Rates'!D36</f>
        <v>27.777157172384801</v>
      </c>
      <c r="P31" s="96">
        <f>F31*2*M31</f>
        <v>3923.9257797436767</v>
      </c>
      <c r="Q31" s="96">
        <f>F31*2*O31</f>
        <v>3972.1393264108124</v>
      </c>
      <c r="R31" s="96">
        <f t="shared" si="25"/>
        <v>48.213546667135688</v>
      </c>
      <c r="S31" s="96">
        <f>F31*2*N31</f>
        <v>3972.1393264108124</v>
      </c>
      <c r="T31" s="96">
        <f t="shared" si="27"/>
        <v>0</v>
      </c>
      <c r="U31" s="111">
        <f t="shared" si="28"/>
        <v>27.777157172384801</v>
      </c>
      <c r="V31" s="111">
        <f>F31*2*U31</f>
        <v>3972.1393264108124</v>
      </c>
      <c r="W31" s="111">
        <f t="shared" si="30"/>
        <v>48.213546667135688</v>
      </c>
      <c r="X31" s="175">
        <f>I31*(References!$C$55/References!$G$58)</f>
        <v>48.213546667135205</v>
      </c>
      <c r="Y31" s="96">
        <f t="shared" si="16"/>
        <v>4.8316906031686813E-13</v>
      </c>
      <c r="AA31" s="281">
        <f>(G31*$D$101*References!$C$55)/2/References!$G$58</f>
        <v>0.33715717238479753</v>
      </c>
      <c r="AB31" s="110">
        <f t="shared" si="20"/>
        <v>0</v>
      </c>
    </row>
    <row r="32" spans="1:31">
      <c r="A32" s="266"/>
      <c r="B32" s="132">
        <v>37</v>
      </c>
      <c r="C32" s="1" t="s">
        <v>62</v>
      </c>
      <c r="D32" s="79">
        <f>+VLOOKUP(C32,'Whitman Reg - Price Out'!B:G,6,FALSE)</f>
        <v>0.83333333333333348</v>
      </c>
      <c r="E32" s="172">
        <f>+References!$B$10</f>
        <v>4.333333333333333</v>
      </c>
      <c r="F32" s="82">
        <f>D32*E32*References!$B$50</f>
        <v>43.333333333333343</v>
      </c>
      <c r="G32" s="82">
        <f>+References!B30*3</f>
        <v>750</v>
      </c>
      <c r="H32" s="79">
        <f t="shared" si="14"/>
        <v>32500.000000000007</v>
      </c>
      <c r="I32" s="79">
        <f>H32*$D$101</f>
        <v>21419.932318778563</v>
      </c>
      <c r="J32" s="96">
        <f>I32*References!$C$55</f>
        <v>42.839864637557163</v>
      </c>
      <c r="K32" s="96">
        <f>J32/References!$G$58</f>
        <v>43.830432410023697</v>
      </c>
      <c r="L32" s="96">
        <f>K32/(F32*3)</f>
        <v>0.33715717238479759</v>
      </c>
      <c r="M32" s="96">
        <f>+'Proposed Rates'!B36</f>
        <v>27.44</v>
      </c>
      <c r="N32" s="96">
        <f t="shared" si="15"/>
        <v>27.777157172384801</v>
      </c>
      <c r="O32" s="96">
        <f>+'Proposed Rates'!D36</f>
        <v>27.777157172384801</v>
      </c>
      <c r="P32" s="96">
        <f>F32*3*M32</f>
        <v>3567.2000000000007</v>
      </c>
      <c r="Q32" s="96">
        <f>F32*3*O32</f>
        <v>3611.0304324100248</v>
      </c>
      <c r="R32" s="96">
        <f t="shared" si="25"/>
        <v>43.830432410024059</v>
      </c>
      <c r="S32" s="96">
        <f>F32*3*N32</f>
        <v>3611.0304324100248</v>
      </c>
      <c r="T32" s="96">
        <f t="shared" si="27"/>
        <v>0</v>
      </c>
      <c r="U32" s="111">
        <f t="shared" si="28"/>
        <v>27.777157172384801</v>
      </c>
      <c r="V32" s="111">
        <f>F32*3*U32</f>
        <v>3611.0304324100248</v>
      </c>
      <c r="W32" s="111">
        <f t="shared" si="30"/>
        <v>43.830432410024059</v>
      </c>
      <c r="X32" s="175">
        <f>I32*(References!$C$55/References!$G$58)</f>
        <v>43.830432410023704</v>
      </c>
      <c r="Y32" s="96">
        <f t="shared" si="16"/>
        <v>3.5527136788005009E-13</v>
      </c>
      <c r="AA32" s="281">
        <f>(G32*$D$101*References!$C$55)/3/References!$G$58</f>
        <v>0.33715717238479753</v>
      </c>
      <c r="AB32" s="110">
        <f t="shared" si="20"/>
        <v>0</v>
      </c>
    </row>
    <row r="33" spans="1:31">
      <c r="A33" s="266"/>
      <c r="B33" s="132">
        <v>37</v>
      </c>
      <c r="C33" s="1" t="s">
        <v>64</v>
      </c>
      <c r="D33" s="79">
        <f>+VLOOKUP(C33,'Whitman Reg - Price Out'!B:G,6,FALSE)</f>
        <v>6.6666666666666687</v>
      </c>
      <c r="E33" s="88">
        <f>+References!B9</f>
        <v>8.6666666666666661</v>
      </c>
      <c r="F33" s="79">
        <f>D33*E33*References!$B$50</f>
        <v>693.33333333333348</v>
      </c>
      <c r="G33" s="79">
        <f>+References!B30</f>
        <v>250</v>
      </c>
      <c r="H33" s="79">
        <f t="shared" si="14"/>
        <v>173333.33333333337</v>
      </c>
      <c r="I33" s="79">
        <f>H33*$D$101</f>
        <v>114239.63903348566</v>
      </c>
      <c r="J33" s="96">
        <f>I33*References!$C$55</f>
        <v>228.47927806697152</v>
      </c>
      <c r="K33" s="96">
        <f>J33/References!$G$58</f>
        <v>233.76230618679304</v>
      </c>
      <c r="L33" s="96">
        <f t="shared" si="22"/>
        <v>0.33715717238479759</v>
      </c>
      <c r="M33" s="96">
        <f>+'Proposed Rates'!B36</f>
        <v>27.44</v>
      </c>
      <c r="N33" s="96">
        <f t="shared" si="15"/>
        <v>27.777157172384801</v>
      </c>
      <c r="O33" s="96">
        <f>+'Proposed Rates'!D36</f>
        <v>27.777157172384801</v>
      </c>
      <c r="P33" s="96">
        <f t="shared" si="23"/>
        <v>19025.066666666673</v>
      </c>
      <c r="Q33" s="96">
        <f t="shared" si="24"/>
        <v>19258.828972853466</v>
      </c>
      <c r="R33" s="96">
        <f t="shared" si="25"/>
        <v>233.76230618679256</v>
      </c>
      <c r="S33" s="96">
        <f t="shared" si="26"/>
        <v>19258.828972853466</v>
      </c>
      <c r="T33" s="96">
        <f t="shared" si="27"/>
        <v>0</v>
      </c>
      <c r="U33" s="111">
        <f t="shared" si="28"/>
        <v>27.777157172384801</v>
      </c>
      <c r="V33" s="111">
        <f t="shared" si="29"/>
        <v>19258.828972853466</v>
      </c>
      <c r="W33" s="111">
        <f t="shared" si="30"/>
        <v>233.76230618679256</v>
      </c>
      <c r="X33" s="175">
        <f>I33*(References!$C$55/References!$G$58)</f>
        <v>233.76230618679304</v>
      </c>
      <c r="Y33" s="96">
        <f t="shared" si="16"/>
        <v>-4.8316906031686813E-13</v>
      </c>
      <c r="AA33" s="281">
        <f>(G33*$D$101*References!$C$55)/References!$G$58</f>
        <v>0.33715717238479753</v>
      </c>
      <c r="AB33" s="110">
        <f t="shared" si="20"/>
        <v>0</v>
      </c>
    </row>
    <row r="34" spans="1:31">
      <c r="A34" s="266"/>
      <c r="B34" s="132">
        <v>37</v>
      </c>
      <c r="C34" s="1" t="s">
        <v>66</v>
      </c>
      <c r="D34" s="79">
        <f>+VLOOKUP(C34,'Whitman Reg - Price Out'!B:G,6,FALSE)</f>
        <v>2.0000000000000004</v>
      </c>
      <c r="E34" s="88">
        <f>+References!B8</f>
        <v>13</v>
      </c>
      <c r="F34" s="79">
        <f>D34*E34*References!$B$50</f>
        <v>312.00000000000011</v>
      </c>
      <c r="G34" s="79">
        <f>+References!B30</f>
        <v>250</v>
      </c>
      <c r="H34" s="79">
        <f t="shared" si="14"/>
        <v>78000.000000000029</v>
      </c>
      <c r="I34" s="79">
        <f>H34*$D$101</f>
        <v>51407.837565068556</v>
      </c>
      <c r="J34" s="96">
        <f>I34*References!$C$55</f>
        <v>102.81567513013721</v>
      </c>
      <c r="K34" s="96">
        <f>J34/References!$G$58</f>
        <v>105.19303778405688</v>
      </c>
      <c r="L34" s="96">
        <f t="shared" si="22"/>
        <v>0.33715717238479759</v>
      </c>
      <c r="M34" s="96">
        <f>+'Proposed Rates'!B36</f>
        <v>27.44</v>
      </c>
      <c r="N34" s="96">
        <f t="shared" si="15"/>
        <v>27.777157172384801</v>
      </c>
      <c r="O34" s="96">
        <f>+'Proposed Rates'!D36</f>
        <v>27.777157172384801</v>
      </c>
      <c r="P34" s="96">
        <f t="shared" si="23"/>
        <v>8561.2800000000043</v>
      </c>
      <c r="Q34" s="96">
        <f t="shared" si="24"/>
        <v>8666.4730377840606</v>
      </c>
      <c r="R34" s="96">
        <f t="shared" si="25"/>
        <v>105.19303778405629</v>
      </c>
      <c r="S34" s="96">
        <f t="shared" si="26"/>
        <v>8666.4730377840606</v>
      </c>
      <c r="T34" s="96">
        <f t="shared" si="27"/>
        <v>0</v>
      </c>
      <c r="U34" s="111">
        <f t="shared" si="28"/>
        <v>27.777157172384801</v>
      </c>
      <c r="V34" s="111">
        <f t="shared" si="29"/>
        <v>8666.4730377840606</v>
      </c>
      <c r="W34" s="111">
        <f t="shared" si="30"/>
        <v>105.19303778405629</v>
      </c>
      <c r="X34" s="175">
        <f>I34*(References!$C$55/References!$G$58)</f>
        <v>105.19303778405688</v>
      </c>
      <c r="Y34" s="96">
        <f t="shared" si="16"/>
        <v>-5.9685589803848416E-13</v>
      </c>
      <c r="AA34" s="281">
        <f>(G34*$D$101*References!$C$55)/References!$G$58</f>
        <v>0.33715717238479753</v>
      </c>
      <c r="AB34" s="110">
        <f t="shared" si="20"/>
        <v>0</v>
      </c>
    </row>
    <row r="35" spans="1:31">
      <c r="A35" s="266"/>
      <c r="B35" s="132">
        <v>37</v>
      </c>
      <c r="C35" s="1" t="s">
        <v>68</v>
      </c>
      <c r="D35" s="79">
        <f>+VLOOKUP(C35,'Whitman Reg - Price Out'!B:G,6,FALSE)</f>
        <v>3</v>
      </c>
      <c r="E35" s="88">
        <f>+References!B12</f>
        <v>1</v>
      </c>
      <c r="F35" s="79">
        <f>D35*E35*References!$B$50</f>
        <v>36</v>
      </c>
      <c r="G35" s="79">
        <f>+References!B32</f>
        <v>324</v>
      </c>
      <c r="H35" s="79">
        <f t="shared" si="14"/>
        <v>11664</v>
      </c>
      <c r="I35" s="79">
        <f>H35*$D$101</f>
        <v>7687.4489404994792</v>
      </c>
      <c r="J35" s="96">
        <f>I35*References!$C$55</f>
        <v>15.374897880998972</v>
      </c>
      <c r="K35" s="96">
        <f>J35/References!$G$58</f>
        <v>15.730405034785115</v>
      </c>
      <c r="L35" s="96">
        <f t="shared" si="22"/>
        <v>0.43695569541069762</v>
      </c>
      <c r="M35" s="96">
        <f>+'Proposed Rates'!B37</f>
        <v>36.56</v>
      </c>
      <c r="N35" s="96">
        <f t="shared" si="15"/>
        <v>36.996955695410698</v>
      </c>
      <c r="O35" s="96">
        <f>+'Proposed Rates'!D37</f>
        <v>36.996955695410698</v>
      </c>
      <c r="P35" s="96">
        <f t="shared" si="23"/>
        <v>1316.16</v>
      </c>
      <c r="Q35" s="96">
        <f t="shared" si="24"/>
        <v>1331.8904050347851</v>
      </c>
      <c r="R35" s="96">
        <f t="shared" si="25"/>
        <v>15.730405034785008</v>
      </c>
      <c r="S35" s="96">
        <f t="shared" si="26"/>
        <v>1331.8904050347851</v>
      </c>
      <c r="T35" s="96">
        <f t="shared" si="27"/>
        <v>0</v>
      </c>
      <c r="U35" s="111">
        <f t="shared" si="28"/>
        <v>36.996955695410698</v>
      </c>
      <c r="V35" s="111">
        <f t="shared" si="29"/>
        <v>1331.8904050347851</v>
      </c>
      <c r="W35" s="111">
        <f t="shared" si="30"/>
        <v>15.730405034785008</v>
      </c>
      <c r="X35" s="175">
        <f>I35*(References!$C$55/References!$G$58)</f>
        <v>15.730405034785116</v>
      </c>
      <c r="Y35" s="96">
        <f t="shared" si="16"/>
        <v>-1.0835776720341528E-13</v>
      </c>
      <c r="AA35" s="281">
        <f>(G35*$D$101*References!$C$55)/References!$G$58</f>
        <v>0.43695569541069768</v>
      </c>
      <c r="AB35" s="110">
        <f t="shared" si="20"/>
        <v>0</v>
      </c>
    </row>
    <row r="36" spans="1:31">
      <c r="A36" s="266"/>
      <c r="B36" s="132">
        <v>37</v>
      </c>
      <c r="C36" s="1" t="s">
        <v>70</v>
      </c>
      <c r="D36" s="79">
        <f>+VLOOKUP(C36,'Whitman Reg - Price Out'!B:G,6,FALSE)</f>
        <v>55.268279491480108</v>
      </c>
      <c r="E36" s="88">
        <f>+References!B10</f>
        <v>4.333333333333333</v>
      </c>
      <c r="F36" s="79">
        <f>D36*E36*References!$B$50</f>
        <v>2873.9505335569656</v>
      </c>
      <c r="G36" s="79">
        <f>+References!B32</f>
        <v>324</v>
      </c>
      <c r="H36" s="79">
        <f t="shared" si="14"/>
        <v>931159.97287245688</v>
      </c>
      <c r="I36" s="79">
        <f>H36*$D$101</f>
        <v>613704.11067334469</v>
      </c>
      <c r="J36" s="96">
        <f>I36*References!$C$55</f>
        <v>1227.4082213466904</v>
      </c>
      <c r="K36" s="96">
        <f>J36/References!$G$58</f>
        <v>1255.7890539663294</v>
      </c>
      <c r="L36" s="96">
        <f t="shared" si="22"/>
        <v>0.43695569541069762</v>
      </c>
      <c r="M36" s="96">
        <f>+'Proposed Rates'!B37</f>
        <v>36.56</v>
      </c>
      <c r="N36" s="96">
        <f t="shared" si="15"/>
        <v>36.996955695410698</v>
      </c>
      <c r="O36" s="96">
        <f>+'Proposed Rates'!D37</f>
        <v>36.996955695410698</v>
      </c>
      <c r="P36" s="96">
        <f t="shared" si="23"/>
        <v>105071.63150684268</v>
      </c>
      <c r="Q36" s="96">
        <f t="shared" si="24"/>
        <v>106327.420560809</v>
      </c>
      <c r="R36" s="96">
        <f t="shared" si="25"/>
        <v>1255.7890539663204</v>
      </c>
      <c r="S36" s="96">
        <f t="shared" si="26"/>
        <v>106327.420560809</v>
      </c>
      <c r="T36" s="96">
        <f t="shared" si="27"/>
        <v>0</v>
      </c>
      <c r="U36" s="111">
        <f t="shared" si="28"/>
        <v>36.996955695410698</v>
      </c>
      <c r="V36" s="111">
        <f t="shared" si="29"/>
        <v>106327.420560809</v>
      </c>
      <c r="W36" s="111">
        <f t="shared" si="30"/>
        <v>1255.7890539663204</v>
      </c>
      <c r="X36" s="175">
        <f>I36*(References!$C$55/References!$G$58)</f>
        <v>1255.7890539663294</v>
      </c>
      <c r="Y36" s="96">
        <f t="shared" si="16"/>
        <v>-9.0949470177292824E-12</v>
      </c>
      <c r="AA36" s="281">
        <f>(G36*$D$101*References!$C$55)/References!$G$58</f>
        <v>0.43695569541069768</v>
      </c>
      <c r="AB36" s="110">
        <f t="shared" si="20"/>
        <v>0</v>
      </c>
    </row>
    <row r="37" spans="1:31">
      <c r="A37" s="266"/>
      <c r="B37" s="132">
        <v>37</v>
      </c>
      <c r="C37" s="1" t="s">
        <v>72</v>
      </c>
      <c r="D37" s="79">
        <f>+VLOOKUP(C37,'Whitman Reg - Price Out'!B:G,6,FALSE)</f>
        <v>2</v>
      </c>
      <c r="E37" s="88">
        <f>+References!B9</f>
        <v>8.6666666666666661</v>
      </c>
      <c r="F37" s="79">
        <f>D37*E37*References!$B$50</f>
        <v>208</v>
      </c>
      <c r="G37" s="79">
        <f>+References!B32</f>
        <v>324</v>
      </c>
      <c r="H37" s="79">
        <f t="shared" si="14"/>
        <v>67392</v>
      </c>
      <c r="I37" s="79">
        <f>H37*$D$101</f>
        <v>44416.371656219213</v>
      </c>
      <c r="J37" s="96">
        <f>I37*References!$C$55</f>
        <v>88.83274331243851</v>
      </c>
      <c r="K37" s="96">
        <f>J37/References!$G$58</f>
        <v>90.886784645425109</v>
      </c>
      <c r="L37" s="96">
        <f t="shared" si="22"/>
        <v>0.43695569541069762</v>
      </c>
      <c r="M37" s="96">
        <f>+'Proposed Rates'!B37</f>
        <v>36.56</v>
      </c>
      <c r="N37" s="96">
        <f t="shared" si="15"/>
        <v>36.996955695410698</v>
      </c>
      <c r="O37" s="96">
        <f>+'Proposed Rates'!D37</f>
        <v>36.996955695410698</v>
      </c>
      <c r="P37" s="96">
        <f t="shared" si="23"/>
        <v>7604.4800000000005</v>
      </c>
      <c r="Q37" s="96">
        <f t="shared" si="24"/>
        <v>7695.3667846454255</v>
      </c>
      <c r="R37" s="96">
        <f t="shared" si="25"/>
        <v>90.886784645424996</v>
      </c>
      <c r="S37" s="96">
        <f t="shared" si="26"/>
        <v>7695.3667846454255</v>
      </c>
      <c r="T37" s="96">
        <f t="shared" si="27"/>
        <v>0</v>
      </c>
      <c r="U37" s="111">
        <f t="shared" si="28"/>
        <v>36.996955695410698</v>
      </c>
      <c r="V37" s="111">
        <f t="shared" si="29"/>
        <v>7695.3667846454255</v>
      </c>
      <c r="W37" s="111">
        <f t="shared" si="30"/>
        <v>90.886784645424996</v>
      </c>
      <c r="X37" s="175">
        <f>I37*(References!$C$55/References!$G$58)</f>
        <v>90.886784645425109</v>
      </c>
      <c r="Y37" s="96">
        <f t="shared" si="16"/>
        <v>-1.1368683772161603E-13</v>
      </c>
      <c r="AA37" s="281">
        <f>(G37*$D$101*References!$C$55)/References!$G$58</f>
        <v>0.43695569541069768</v>
      </c>
      <c r="AB37" s="110">
        <f t="shared" si="20"/>
        <v>0</v>
      </c>
    </row>
    <row r="38" spans="1:31">
      <c r="A38" s="266"/>
      <c r="B38" s="132">
        <v>37</v>
      </c>
      <c r="C38" s="1" t="s">
        <v>74</v>
      </c>
      <c r="D38" s="79">
        <f>+VLOOKUP(C38,'Whitman Reg - Price Out'!B:G,6,FALSE)</f>
        <v>2.0000000000000004</v>
      </c>
      <c r="E38" s="88">
        <f>+References!B8</f>
        <v>13</v>
      </c>
      <c r="F38" s="79">
        <f>D38*E38*References!$B$50</f>
        <v>312.00000000000011</v>
      </c>
      <c r="G38" s="79">
        <f>+References!B32</f>
        <v>324</v>
      </c>
      <c r="H38" s="79">
        <f t="shared" si="14"/>
        <v>101088.00000000004</v>
      </c>
      <c r="I38" s="79">
        <f>H38*$D$101</f>
        <v>66624.557484328849</v>
      </c>
      <c r="J38" s="96">
        <f>I38*References!$C$55</f>
        <v>133.24911496865781</v>
      </c>
      <c r="K38" s="96">
        <f>J38/References!$G$58</f>
        <v>136.33017696813772</v>
      </c>
      <c r="L38" s="96">
        <f t="shared" si="22"/>
        <v>0.43695569541069768</v>
      </c>
      <c r="M38" s="96">
        <f>+'Proposed Rates'!B37</f>
        <v>36.56</v>
      </c>
      <c r="N38" s="96">
        <f t="shared" si="15"/>
        <v>36.996955695410698</v>
      </c>
      <c r="O38" s="96">
        <f>+'Proposed Rates'!D37</f>
        <v>36.996955695410698</v>
      </c>
      <c r="P38" s="96">
        <f t="shared" si="23"/>
        <v>11406.720000000005</v>
      </c>
      <c r="Q38" s="96">
        <f t="shared" si="24"/>
        <v>11543.050176968141</v>
      </c>
      <c r="R38" s="96">
        <f t="shared" si="25"/>
        <v>136.33017696813658</v>
      </c>
      <c r="S38" s="96">
        <f t="shared" si="26"/>
        <v>11543.050176968141</v>
      </c>
      <c r="T38" s="96">
        <f t="shared" si="27"/>
        <v>0</v>
      </c>
      <c r="U38" s="111">
        <f t="shared" si="28"/>
        <v>36.996955695410698</v>
      </c>
      <c r="V38" s="111">
        <f t="shared" si="29"/>
        <v>11543.050176968141</v>
      </c>
      <c r="W38" s="111">
        <f t="shared" si="30"/>
        <v>136.33017696813658</v>
      </c>
      <c r="X38" s="175">
        <f>I38*(References!$C$55/References!$G$58)</f>
        <v>136.33017696813772</v>
      </c>
      <c r="Y38" s="96">
        <f t="shared" si="16"/>
        <v>-1.1368683772161603E-12</v>
      </c>
      <c r="AA38" s="281">
        <f>(G38*$D$101*References!$C$55)/References!$G$58</f>
        <v>0.43695569541069768</v>
      </c>
      <c r="AB38" s="110">
        <f t="shared" si="20"/>
        <v>0</v>
      </c>
    </row>
    <row r="39" spans="1:31">
      <c r="A39" s="266"/>
      <c r="B39" s="132">
        <v>37</v>
      </c>
      <c r="C39" s="1" t="s">
        <v>76</v>
      </c>
      <c r="D39" s="79">
        <f>+VLOOKUP(C39,'Whitman Reg - Price Out'!B:G,6,FALSE)</f>
        <v>29.500000000000004</v>
      </c>
      <c r="E39" s="88">
        <f>+References!B10</f>
        <v>4.333333333333333</v>
      </c>
      <c r="F39" s="79">
        <f>D39*E39*References!$B$50</f>
        <v>1534</v>
      </c>
      <c r="G39" s="79">
        <f>+References!B33</f>
        <v>473</v>
      </c>
      <c r="H39" s="79">
        <f t="shared" si="14"/>
        <v>725582</v>
      </c>
      <c r="I39" s="79">
        <f>H39*$D$101</f>
        <v>478212.84097612253</v>
      </c>
      <c r="J39" s="96">
        <f>I39*References!$C$55</f>
        <v>956.4256819522459</v>
      </c>
      <c r="K39" s="96">
        <f>J39/References!$G$58</f>
        <v>978.5407018132247</v>
      </c>
      <c r="L39" s="96">
        <f t="shared" si="22"/>
        <v>0.63790137015203696</v>
      </c>
      <c r="M39" s="96">
        <f>+'Proposed Rates'!B38</f>
        <v>51.73</v>
      </c>
      <c r="N39" s="96">
        <f t="shared" si="15"/>
        <v>52.367901370152033</v>
      </c>
      <c r="O39" s="96">
        <f>+'Proposed Rates'!D38</f>
        <v>52.367901370152033</v>
      </c>
      <c r="P39" s="96">
        <f t="shared" si="23"/>
        <v>79353.819999999992</v>
      </c>
      <c r="Q39" s="96">
        <f t="shared" si="24"/>
        <v>80332.360701813217</v>
      </c>
      <c r="R39" s="96">
        <f t="shared" si="25"/>
        <v>978.54070181322459</v>
      </c>
      <c r="S39" s="96">
        <f t="shared" si="26"/>
        <v>80332.360701813217</v>
      </c>
      <c r="T39" s="96">
        <f t="shared" si="27"/>
        <v>0</v>
      </c>
      <c r="U39" s="111">
        <f t="shared" si="28"/>
        <v>52.367901370152033</v>
      </c>
      <c r="V39" s="111">
        <f t="shared" si="29"/>
        <v>80332.360701813217</v>
      </c>
      <c r="W39" s="111">
        <f t="shared" si="30"/>
        <v>978.54070181322459</v>
      </c>
      <c r="X39" s="175">
        <f>I39*(References!$C$55/References!$G$58)</f>
        <v>978.54070181322481</v>
      </c>
      <c r="Y39" s="96">
        <f t="shared" si="16"/>
        <v>0</v>
      </c>
      <c r="AA39" s="281">
        <f>(G39*$D$101*References!$C$55)/References!$G$58</f>
        <v>0.63790137015203696</v>
      </c>
      <c r="AB39" s="110">
        <f t="shared" si="20"/>
        <v>0</v>
      </c>
    </row>
    <row r="40" spans="1:31">
      <c r="A40" s="266"/>
      <c r="B40" s="132">
        <v>37</v>
      </c>
      <c r="C40" s="1" t="s">
        <v>78</v>
      </c>
      <c r="D40" s="79">
        <f>+VLOOKUP(C40,'Whitman Reg - Price Out'!B:G,6,FALSE)</f>
        <v>1.4583322589794498</v>
      </c>
      <c r="E40" s="172">
        <f>+References!$B$10</f>
        <v>4.333333333333333</v>
      </c>
      <c r="F40" s="82">
        <f>D40*E40*References!$B$50</f>
        <v>75.833277466931392</v>
      </c>
      <c r="G40" s="82">
        <f>+References!B33*2</f>
        <v>946</v>
      </c>
      <c r="H40" s="79">
        <f t="shared" si="14"/>
        <v>71738.280483717099</v>
      </c>
      <c r="I40" s="79">
        <f>H40*$D$101</f>
        <v>47280.895773131473</v>
      </c>
      <c r="J40" s="96">
        <f>I40*References!$C$55</f>
        <v>94.561791546263024</v>
      </c>
      <c r="K40" s="96">
        <f>J40/References!$G$58</f>
        <v>96.748303198550261</v>
      </c>
      <c r="L40" s="96">
        <f>K40/(F40*2)</f>
        <v>0.63790137015203707</v>
      </c>
      <c r="M40" s="96">
        <f>+'Proposed Rates'!B38</f>
        <v>51.73</v>
      </c>
      <c r="N40" s="96">
        <f t="shared" si="15"/>
        <v>52.367901370152033</v>
      </c>
      <c r="O40" s="96">
        <f>+'Proposed Rates'!D38</f>
        <v>52.367901370152033</v>
      </c>
      <c r="P40" s="96">
        <f>(F40*2)*M40</f>
        <v>7845.7108867287216</v>
      </c>
      <c r="Q40" s="96">
        <f>(F40*2)*O40</f>
        <v>7942.4591899272718</v>
      </c>
      <c r="R40" s="96">
        <f t="shared" si="25"/>
        <v>96.748303198550275</v>
      </c>
      <c r="S40" s="96">
        <f>(F40*2)*N40</f>
        <v>7942.4591899272718</v>
      </c>
      <c r="T40" s="96">
        <f t="shared" si="27"/>
        <v>0</v>
      </c>
      <c r="U40" s="111">
        <f t="shared" si="28"/>
        <v>52.367901370152033</v>
      </c>
      <c r="V40" s="111">
        <f>F40*2*U40</f>
        <v>7942.4591899272718</v>
      </c>
      <c r="W40" s="111">
        <f>V40-P40</f>
        <v>96.748303198550275</v>
      </c>
      <c r="X40" s="175">
        <f>I40*(References!$C$55/References!$G$58)</f>
        <v>96.748303198550275</v>
      </c>
      <c r="Y40" s="96">
        <f t="shared" si="16"/>
        <v>0</v>
      </c>
      <c r="AA40" s="281">
        <f>(G40*$D$101*References!$C$55)/2/References!$G$58</f>
        <v>0.63790137015203696</v>
      </c>
      <c r="AB40" s="110">
        <f t="shared" si="20"/>
        <v>0</v>
      </c>
    </row>
    <row r="41" spans="1:31">
      <c r="A41" s="266"/>
      <c r="B41" s="132">
        <v>37</v>
      </c>
      <c r="C41" s="1" t="s">
        <v>80</v>
      </c>
      <c r="D41" s="79">
        <f>+VLOOKUP(C41,'Whitman Reg - Price Out'!B:G,6,FALSE)</f>
        <v>5.0000000000000009</v>
      </c>
      <c r="E41" s="88">
        <f>+References!$B$9</f>
        <v>8.6666666666666661</v>
      </c>
      <c r="F41" s="79">
        <f>D41*E41*References!$B$50</f>
        <v>520</v>
      </c>
      <c r="G41" s="79">
        <f>+References!B33</f>
        <v>473</v>
      </c>
      <c r="H41" s="79">
        <f t="shared" si="14"/>
        <v>245960</v>
      </c>
      <c r="I41" s="79">
        <f>H41*$D$101</f>
        <v>162106.04778851612</v>
      </c>
      <c r="J41" s="96">
        <f>I41*References!$C$55</f>
        <v>324.21209557703253</v>
      </c>
      <c r="K41" s="96">
        <f>J41/References!$G$58</f>
        <v>331.70871247905927</v>
      </c>
      <c r="L41" s="96">
        <f t="shared" si="22"/>
        <v>0.63790137015203707</v>
      </c>
      <c r="M41" s="96">
        <f>+'Proposed Rates'!B38</f>
        <v>51.73</v>
      </c>
      <c r="N41" s="96">
        <f t="shared" si="15"/>
        <v>52.367901370152033</v>
      </c>
      <c r="O41" s="96">
        <f>+'Proposed Rates'!D38</f>
        <v>52.367901370152033</v>
      </c>
      <c r="P41" s="96">
        <f t="shared" si="23"/>
        <v>26899.599999999999</v>
      </c>
      <c r="Q41" s="96">
        <f t="shared" si="24"/>
        <v>27231.308712479058</v>
      </c>
      <c r="R41" s="96">
        <f t="shared" si="25"/>
        <v>331.70871247905961</v>
      </c>
      <c r="S41" s="96">
        <f t="shared" si="26"/>
        <v>27231.308712479058</v>
      </c>
      <c r="T41" s="96">
        <f t="shared" si="27"/>
        <v>0</v>
      </c>
      <c r="U41" s="111">
        <f t="shared" si="28"/>
        <v>52.367901370152033</v>
      </c>
      <c r="V41" s="111">
        <f t="shared" si="29"/>
        <v>27231.308712479058</v>
      </c>
      <c r="W41" s="111">
        <f t="shared" si="30"/>
        <v>331.70871247905961</v>
      </c>
      <c r="X41" s="175">
        <f>I41*(References!$C$55/References!$G$58)</f>
        <v>331.70871247905927</v>
      </c>
      <c r="Y41" s="96">
        <f t="shared" si="16"/>
        <v>0</v>
      </c>
      <c r="AA41" s="281">
        <f>(G41*$D$101*References!$C$55)/References!$G$58</f>
        <v>0.63790137015203696</v>
      </c>
      <c r="AB41" s="110">
        <f t="shared" si="20"/>
        <v>0</v>
      </c>
    </row>
    <row r="42" spans="1:31">
      <c r="A42" s="266"/>
      <c r="B42" s="132">
        <v>37</v>
      </c>
      <c r="C42" s="1" t="s">
        <v>82</v>
      </c>
      <c r="D42" s="79">
        <f>+VLOOKUP(C42,'Whitman Reg - Price Out'!B:G,6,FALSE)</f>
        <v>1</v>
      </c>
      <c r="E42" s="88">
        <f>+References!B8</f>
        <v>13</v>
      </c>
      <c r="F42" s="79">
        <f>D42*E42*References!$B$50</f>
        <v>156</v>
      </c>
      <c r="G42" s="79">
        <f>+References!B33</f>
        <v>473</v>
      </c>
      <c r="H42" s="79">
        <f t="shared" si="14"/>
        <v>73788</v>
      </c>
      <c r="I42" s="79">
        <f>H42*$D$101</f>
        <v>48631.814336554839</v>
      </c>
      <c r="J42" s="96">
        <f>I42*References!$C$55</f>
        <v>97.263628673109764</v>
      </c>
      <c r="K42" s="96">
        <f>J42/References!$G$58</f>
        <v>99.512613743717779</v>
      </c>
      <c r="L42" s="96">
        <f t="shared" si="22"/>
        <v>0.63790137015203707</v>
      </c>
      <c r="M42" s="96">
        <f>+'Proposed Rates'!B38</f>
        <v>51.73</v>
      </c>
      <c r="N42" s="96">
        <f t="shared" si="15"/>
        <v>52.367901370152033</v>
      </c>
      <c r="O42" s="96">
        <f>+'Proposed Rates'!D38</f>
        <v>52.367901370152033</v>
      </c>
      <c r="P42" s="96">
        <f t="shared" si="23"/>
        <v>8069.8799999999992</v>
      </c>
      <c r="Q42" s="96">
        <f t="shared" si="24"/>
        <v>8169.3926137437174</v>
      </c>
      <c r="R42" s="96">
        <f t="shared" si="25"/>
        <v>99.512613743718248</v>
      </c>
      <c r="S42" s="96">
        <f t="shared" si="26"/>
        <v>8169.3926137437174</v>
      </c>
      <c r="T42" s="96">
        <f t="shared" si="27"/>
        <v>0</v>
      </c>
      <c r="U42" s="111">
        <f t="shared" si="28"/>
        <v>52.367901370152033</v>
      </c>
      <c r="V42" s="111">
        <f t="shared" si="29"/>
        <v>8169.3926137437174</v>
      </c>
      <c r="W42" s="111">
        <f t="shared" si="30"/>
        <v>99.512613743718248</v>
      </c>
      <c r="X42" s="175">
        <f>I42*(References!$C$55/References!$G$58)</f>
        <v>99.512613743717793</v>
      </c>
      <c r="Y42" s="96">
        <f t="shared" si="16"/>
        <v>4.5474735088646412E-13</v>
      </c>
      <c r="AA42" s="281">
        <f>(G42*$D$101*References!$C$55)/References!$G$58</f>
        <v>0.63790137015203696</v>
      </c>
      <c r="AB42" s="110">
        <f t="shared" si="20"/>
        <v>0</v>
      </c>
    </row>
    <row r="43" spans="1:31" s="146" customFormat="1">
      <c r="A43" s="266"/>
      <c r="B43" s="132">
        <v>37</v>
      </c>
      <c r="C43" s="146" t="s">
        <v>461</v>
      </c>
      <c r="D43" s="79">
        <f>+VLOOKUP(C43,'Whitman Reg - Price Out'!B:G,6,FALSE)</f>
        <v>0.79166738289643312</v>
      </c>
      <c r="E43" s="88">
        <f>+References!B8</f>
        <v>13</v>
      </c>
      <c r="F43" s="79">
        <f>D43*E43*References!$B$50</f>
        <v>123.50011173184356</v>
      </c>
      <c r="G43" s="79">
        <f>+References!B33*2</f>
        <v>946</v>
      </c>
      <c r="H43" s="79">
        <f t="shared" ref="H43" si="31">F43*G43</f>
        <v>116831.10569832401</v>
      </c>
      <c r="I43" s="79">
        <f>H43*$D$101</f>
        <v>77000.4423626512</v>
      </c>
      <c r="J43" s="96">
        <f>I43*References!$C$55</f>
        <v>154.00088472530254</v>
      </c>
      <c r="K43" s="96">
        <f>J43/References!$G$58</f>
        <v>157.56178097534533</v>
      </c>
      <c r="L43" s="96">
        <f>K43/(F43*2)</f>
        <v>0.63790137015203696</v>
      </c>
      <c r="M43" s="96">
        <f>+'Proposed Rates'!B38</f>
        <v>51.73</v>
      </c>
      <c r="N43" s="96">
        <f t="shared" si="15"/>
        <v>52.367901370152033</v>
      </c>
      <c r="O43" s="96">
        <f>+'Proposed Rates'!D38</f>
        <v>52.367901370152033</v>
      </c>
      <c r="P43" s="96">
        <f>F43*M43*2</f>
        <v>12777.321559776534</v>
      </c>
      <c r="Q43" s="96">
        <f>F43*O43*2</f>
        <v>12934.88334075188</v>
      </c>
      <c r="R43" s="96">
        <f>Q43-P43</f>
        <v>157.56178097534575</v>
      </c>
      <c r="S43" s="96">
        <f>F43*N43*2</f>
        <v>12934.88334075188</v>
      </c>
      <c r="T43" s="96">
        <f>Q43-S43</f>
        <v>0</v>
      </c>
      <c r="U43" s="111">
        <f t="shared" ref="U43" si="32">N43</f>
        <v>52.367901370152033</v>
      </c>
      <c r="V43" s="111">
        <f>F43*U43*2</f>
        <v>12934.88334075188</v>
      </c>
      <c r="W43" s="111">
        <f t="shared" ref="W43" si="33">V43-P43</f>
        <v>157.56178097534575</v>
      </c>
      <c r="X43" s="175">
        <f>I43*(References!$C$55/References!$G$58)</f>
        <v>157.56178097534536</v>
      </c>
      <c r="Y43" s="96">
        <f>W43-X43</f>
        <v>3.979039320256561E-13</v>
      </c>
      <c r="AA43" s="281">
        <f>(G43*$D$101*References!$C$55)/2/References!$G$58</f>
        <v>0.63790137015203696</v>
      </c>
      <c r="AB43" s="110">
        <f t="shared" si="20"/>
        <v>0</v>
      </c>
      <c r="AC43"/>
      <c r="AD43"/>
      <c r="AE43"/>
    </row>
    <row r="44" spans="1:31">
      <c r="A44" s="266"/>
      <c r="B44" s="132">
        <v>37</v>
      </c>
      <c r="C44" s="1" t="s">
        <v>84</v>
      </c>
      <c r="D44" s="79">
        <f>+VLOOKUP(C44,'Whitman Reg - Price Out'!B:G,6,FALSE)</f>
        <v>13.93752426807486</v>
      </c>
      <c r="E44" s="88">
        <f>+References!B10</f>
        <v>4.333333333333333</v>
      </c>
      <c r="F44" s="79">
        <f>D44*E44*References!$B$50</f>
        <v>724.75126193989263</v>
      </c>
      <c r="G44" s="79">
        <f>+References!B35</f>
        <v>613</v>
      </c>
      <c r="H44" s="79">
        <f t="shared" si="14"/>
        <v>444272.5235691542</v>
      </c>
      <c r="I44" s="79">
        <f>H44*$D$101</f>
        <v>292808.84264443797</v>
      </c>
      <c r="J44" s="96">
        <f>I44*References!$C$55</f>
        <v>585.61768528887649</v>
      </c>
      <c r="K44" s="96">
        <f>J44/References!$G$58</f>
        <v>599.15867125933744</v>
      </c>
      <c r="L44" s="96">
        <f t="shared" si="22"/>
        <v>0.8267093866875237</v>
      </c>
      <c r="M44" s="96">
        <f>+'Proposed Rates'!B39</f>
        <v>68.66</v>
      </c>
      <c r="N44" s="96">
        <f t="shared" si="15"/>
        <v>69.486709386687522</v>
      </c>
      <c r="O44" s="96">
        <f>+'Proposed Rates'!D39</f>
        <v>69.486709386687522</v>
      </c>
      <c r="P44" s="96">
        <f t="shared" si="23"/>
        <v>49761.421644793023</v>
      </c>
      <c r="Q44" s="96">
        <f t="shared" si="24"/>
        <v>50360.580316052365</v>
      </c>
      <c r="R44" s="96">
        <f t="shared" si="25"/>
        <v>599.15867125934165</v>
      </c>
      <c r="S44" s="96">
        <f t="shared" si="26"/>
        <v>50360.580316052365</v>
      </c>
      <c r="T44" s="96">
        <f t="shared" si="27"/>
        <v>0</v>
      </c>
      <c r="U44" s="111">
        <f t="shared" si="28"/>
        <v>69.486709386687522</v>
      </c>
      <c r="V44" s="111">
        <f t="shared" si="29"/>
        <v>50360.580316052365</v>
      </c>
      <c r="W44" s="111">
        <f t="shared" si="30"/>
        <v>599.15867125934165</v>
      </c>
      <c r="X44" s="175">
        <f>I44*(References!$C$55/References!$G$58)</f>
        <v>599.15867125933755</v>
      </c>
      <c r="Y44" s="96">
        <f t="shared" si="16"/>
        <v>4.0927261579781771E-12</v>
      </c>
      <c r="AA44" s="281">
        <f>(G44*$D$101*References!$C$55)/References!$G$58</f>
        <v>0.8267093866875237</v>
      </c>
      <c r="AB44" s="110">
        <f t="shared" si="20"/>
        <v>0</v>
      </c>
    </row>
    <row r="45" spans="1:31">
      <c r="A45" s="266"/>
      <c r="B45" s="132">
        <v>37</v>
      </c>
      <c r="C45" s="1" t="s">
        <v>86</v>
      </c>
      <c r="D45" s="79">
        <f>+VLOOKUP(C45,'Whitman Reg - Price Out'!B:G,6,FALSE)</f>
        <v>3.083334951173581</v>
      </c>
      <c r="E45" s="172">
        <f>+References!$B$10</f>
        <v>4.333333333333333</v>
      </c>
      <c r="F45" s="82">
        <f>D45*E45*References!$B$50</f>
        <v>160.33341746102619</v>
      </c>
      <c r="G45" s="82">
        <f>+References!B35*2</f>
        <v>1226</v>
      </c>
      <c r="H45" s="79">
        <f t="shared" si="14"/>
        <v>196568.76980721811</v>
      </c>
      <c r="I45" s="79">
        <f>H45*$D$101</f>
        <v>129553.53062326688</v>
      </c>
      <c r="J45" s="96">
        <f>I45*References!$C$55</f>
        <v>259.10706124653399</v>
      </c>
      <c r="K45" s="96">
        <f>J45/References!$G$58</f>
        <v>265.09828242943928</v>
      </c>
      <c r="L45" s="96">
        <f>K45/(F45*2)</f>
        <v>0.82670938668752358</v>
      </c>
      <c r="M45" s="96">
        <f>+'Proposed Rates'!B39</f>
        <v>68.66</v>
      </c>
      <c r="N45" s="96">
        <f t="shared" si="15"/>
        <v>69.486709386687522</v>
      </c>
      <c r="O45" s="96">
        <f>+'Proposed Rates'!D39</f>
        <v>69.486709386687522</v>
      </c>
      <c r="P45" s="96">
        <f>F45*2*M45</f>
        <v>22016.984885748116</v>
      </c>
      <c r="Q45" s="96">
        <f>F45*2*O45</f>
        <v>22282.083168177556</v>
      </c>
      <c r="R45" s="96">
        <f t="shared" si="25"/>
        <v>265.09828242944059</v>
      </c>
      <c r="S45" s="96">
        <f>F45*2*N45</f>
        <v>22282.083168177556</v>
      </c>
      <c r="T45" s="96">
        <f t="shared" si="27"/>
        <v>0</v>
      </c>
      <c r="U45" s="111">
        <f t="shared" si="28"/>
        <v>69.486709386687522</v>
      </c>
      <c r="V45" s="111">
        <f>F45*2*U45</f>
        <v>22282.083168177556</v>
      </c>
      <c r="W45" s="111">
        <f t="shared" si="30"/>
        <v>265.09828242944059</v>
      </c>
      <c r="X45" s="175">
        <f>I45*(References!$C$55/References!$G$58)</f>
        <v>265.09828242943934</v>
      </c>
      <c r="Y45" s="96">
        <f t="shared" si="16"/>
        <v>1.2505552149377763E-12</v>
      </c>
      <c r="AA45" s="281">
        <f>(G45*$D$101*References!$C$55)/2/References!$G$58</f>
        <v>0.8267093866875237</v>
      </c>
      <c r="AB45" s="110">
        <f t="shared" si="20"/>
        <v>0</v>
      </c>
    </row>
    <row r="46" spans="1:31" s="146" customFormat="1">
      <c r="A46" s="266"/>
      <c r="B46" s="132">
        <v>37</v>
      </c>
      <c r="C46" s="146" t="s">
        <v>463</v>
      </c>
      <c r="D46" s="79">
        <f>+VLOOKUP(C46,'Whitman Reg - Price Out'!B:G,6,FALSE)</f>
        <v>0.83333333333333337</v>
      </c>
      <c r="E46" s="172">
        <f>+References!$B$9</f>
        <v>8.6666666666666661</v>
      </c>
      <c r="F46" s="82">
        <f>D46*E46*References!$B$50</f>
        <v>86.666666666666671</v>
      </c>
      <c r="G46" s="79">
        <f>+References!B35</f>
        <v>613</v>
      </c>
      <c r="H46" s="79">
        <f t="shared" ref="H46" si="34">F46*G46</f>
        <v>53126.666666666672</v>
      </c>
      <c r="I46" s="79">
        <f>H46*$D$101</f>
        <v>35014.44936376335</v>
      </c>
      <c r="J46" s="96">
        <f>I46*References!$C$55</f>
        <v>70.028898727526766</v>
      </c>
      <c r="K46" s="96">
        <f>J46/References!$G$58</f>
        <v>71.648146846252061</v>
      </c>
      <c r="L46" s="96">
        <f>K46/(F46)</f>
        <v>0.8267093866875237</v>
      </c>
      <c r="M46" s="96">
        <f>+'Proposed Rates'!B39</f>
        <v>68.66</v>
      </c>
      <c r="N46" s="96">
        <f t="shared" si="15"/>
        <v>69.486709386687522</v>
      </c>
      <c r="O46" s="96">
        <f>+'Proposed Rates'!D39</f>
        <v>69.486709386687522</v>
      </c>
      <c r="P46" s="96">
        <f>F46*M46</f>
        <v>5950.5333333333338</v>
      </c>
      <c r="Q46" s="96">
        <f>F46*O46</f>
        <v>6022.1814801795854</v>
      </c>
      <c r="R46" s="96">
        <f>Q46-P46</f>
        <v>71.64814684625162</v>
      </c>
      <c r="S46" s="96">
        <f>F46*N46</f>
        <v>6022.1814801795854</v>
      </c>
      <c r="T46" s="96">
        <f t="shared" ref="T46" si="35">Q46-S46</f>
        <v>0</v>
      </c>
      <c r="U46" s="111">
        <f t="shared" ref="U46" si="36">N46</f>
        <v>69.486709386687522</v>
      </c>
      <c r="V46" s="111">
        <f>F46*U46</f>
        <v>6022.1814801795854</v>
      </c>
      <c r="W46" s="111">
        <f t="shared" ref="W46" si="37">V46-P46</f>
        <v>71.64814684625162</v>
      </c>
      <c r="X46" s="175">
        <f>I46*(References!$C$55/References!$G$58)</f>
        <v>71.648146846252061</v>
      </c>
      <c r="Y46" s="96">
        <f t="shared" ref="Y46" si="38">W46-X46</f>
        <v>-4.4053649617126212E-13</v>
      </c>
      <c r="AA46" s="281">
        <f>(G46*$D$101*References!$C$55)/References!$G$58</f>
        <v>0.8267093866875237</v>
      </c>
      <c r="AB46" s="110">
        <f t="shared" si="20"/>
        <v>0</v>
      </c>
      <c r="AC46"/>
      <c r="AD46"/>
      <c r="AE46"/>
    </row>
    <row r="47" spans="1:31">
      <c r="A47" s="266"/>
      <c r="B47" s="132">
        <v>37</v>
      </c>
      <c r="C47" s="1" t="s">
        <v>88</v>
      </c>
      <c r="D47" s="79">
        <f>+VLOOKUP(C47,'Whitman Reg - Price Out'!B:G,6,FALSE)</f>
        <v>1</v>
      </c>
      <c r="E47" s="88">
        <f>+References!B8</f>
        <v>13</v>
      </c>
      <c r="F47" s="79">
        <f>D47*E47*References!$B$50</f>
        <v>156</v>
      </c>
      <c r="G47" s="79">
        <f>+References!B35</f>
        <v>613</v>
      </c>
      <c r="H47" s="79">
        <f t="shared" si="14"/>
        <v>95628</v>
      </c>
      <c r="I47" s="79">
        <f>H47*$D$101</f>
        <v>63026.008854774023</v>
      </c>
      <c r="J47" s="96">
        <f>I47*References!$C$55</f>
        <v>126.05201770954815</v>
      </c>
      <c r="K47" s="96">
        <f>J47/References!$G$58</f>
        <v>128.96666432325367</v>
      </c>
      <c r="L47" s="96">
        <f t="shared" si="22"/>
        <v>0.82670938668752347</v>
      </c>
      <c r="M47" s="96">
        <f>+'Proposed Rates'!B39</f>
        <v>68.66</v>
      </c>
      <c r="N47" s="96">
        <f t="shared" si="15"/>
        <v>69.486709386687522</v>
      </c>
      <c r="O47" s="96">
        <f>+'Proposed Rates'!D39</f>
        <v>69.486709386687522</v>
      </c>
      <c r="P47" s="96">
        <f t="shared" si="23"/>
        <v>10710.96</v>
      </c>
      <c r="Q47" s="96">
        <f t="shared" si="24"/>
        <v>10839.926664323253</v>
      </c>
      <c r="R47" s="96">
        <f t="shared" si="25"/>
        <v>128.96666432325401</v>
      </c>
      <c r="S47" s="96">
        <f t="shared" si="26"/>
        <v>10839.926664323253</v>
      </c>
      <c r="T47" s="96">
        <f t="shared" si="27"/>
        <v>0</v>
      </c>
      <c r="U47" s="111">
        <f t="shared" si="28"/>
        <v>69.486709386687522</v>
      </c>
      <c r="V47" s="111">
        <f t="shared" si="29"/>
        <v>10839.926664323253</v>
      </c>
      <c r="W47" s="111">
        <f t="shared" si="30"/>
        <v>128.96666432325401</v>
      </c>
      <c r="X47" s="175">
        <f>I47*(References!$C$55/References!$G$58)</f>
        <v>128.9666643232537</v>
      </c>
      <c r="Y47" s="96">
        <f t="shared" si="16"/>
        <v>3.1263880373444408E-13</v>
      </c>
      <c r="AA47" s="281">
        <f>(G47*$D$101*References!$C$55)/References!$G$58</f>
        <v>0.8267093866875237</v>
      </c>
      <c r="AB47" s="110">
        <f t="shared" si="20"/>
        <v>0</v>
      </c>
    </row>
    <row r="48" spans="1:31">
      <c r="A48" s="266"/>
      <c r="B48" s="132">
        <v>37</v>
      </c>
      <c r="C48" s="1" t="s">
        <v>90</v>
      </c>
      <c r="D48" s="79">
        <f>+VLOOKUP(C48,'Whitman Reg - Price Out'!B:G,6,FALSE)</f>
        <v>1</v>
      </c>
      <c r="E48" s="88">
        <f>+References!B7</f>
        <v>17.333333333333332</v>
      </c>
      <c r="F48" s="79">
        <f>D48*E48*References!$B$50</f>
        <v>208</v>
      </c>
      <c r="G48" s="79">
        <f>+References!B35</f>
        <v>613</v>
      </c>
      <c r="H48" s="79">
        <f t="shared" si="14"/>
        <v>127504</v>
      </c>
      <c r="I48" s="79">
        <f>H48*$D$101</f>
        <v>84034.678473032036</v>
      </c>
      <c r="J48" s="96">
        <f>I48*References!$C$55</f>
        <v>168.06935694606423</v>
      </c>
      <c r="K48" s="96">
        <f>J48/References!$G$58</f>
        <v>171.95555243100495</v>
      </c>
      <c r="L48" s="96">
        <f t="shared" si="22"/>
        <v>0.82670938668752381</v>
      </c>
      <c r="M48" s="96">
        <f>+'Proposed Rates'!B39</f>
        <v>68.66</v>
      </c>
      <c r="N48" s="96">
        <f t="shared" si="15"/>
        <v>69.486709386687522</v>
      </c>
      <c r="O48" s="96">
        <f>+'Proposed Rates'!D39</f>
        <v>69.486709386687522</v>
      </c>
      <c r="P48" s="96">
        <f t="shared" si="23"/>
        <v>14281.279999999999</v>
      </c>
      <c r="Q48" s="96">
        <f t="shared" si="24"/>
        <v>14453.235552431004</v>
      </c>
      <c r="R48" s="96">
        <f t="shared" si="25"/>
        <v>171.95555243100534</v>
      </c>
      <c r="S48" s="96">
        <f t="shared" si="26"/>
        <v>14453.235552431004</v>
      </c>
      <c r="T48" s="96">
        <f t="shared" si="27"/>
        <v>0</v>
      </c>
      <c r="U48" s="111">
        <f t="shared" si="28"/>
        <v>69.486709386687522</v>
      </c>
      <c r="V48" s="111">
        <f t="shared" si="29"/>
        <v>14453.235552431004</v>
      </c>
      <c r="W48" s="111">
        <f t="shared" si="30"/>
        <v>171.95555243100534</v>
      </c>
      <c r="X48" s="175">
        <f>I48*(References!$C$55/References!$G$58)</f>
        <v>171.95555243100495</v>
      </c>
      <c r="Y48" s="96">
        <f t="shared" si="16"/>
        <v>3.979039320256561E-13</v>
      </c>
      <c r="AA48" s="281">
        <f>(G48*$D$101*References!$C$55)/References!$G$58</f>
        <v>0.8267093866875237</v>
      </c>
      <c r="AB48" s="110">
        <f t="shared" si="20"/>
        <v>0</v>
      </c>
    </row>
    <row r="49" spans="1:31">
      <c r="A49" s="266"/>
      <c r="B49" s="132">
        <v>37</v>
      </c>
      <c r="C49" s="1" t="s">
        <v>92</v>
      </c>
      <c r="D49" s="79">
        <f>+VLOOKUP(C49,'Whitman Reg - Price Out'!B:G,6,FALSE)</f>
        <v>8.916668888592632</v>
      </c>
      <c r="E49" s="88">
        <f>+References!B10</f>
        <v>4.333333333333333</v>
      </c>
      <c r="F49" s="79">
        <f>D49*E49*References!$B$50</f>
        <v>463.66678220681683</v>
      </c>
      <c r="G49" s="79">
        <f>+References!B37</f>
        <v>840</v>
      </c>
      <c r="H49" s="79">
        <f t="shared" si="14"/>
        <v>389480.09705372615</v>
      </c>
      <c r="I49" s="79">
        <f>H49*$D$101</f>
        <v>256696.53287391132</v>
      </c>
      <c r="J49" s="96">
        <f>I49*References!$C$55</f>
        <v>513.39306574782313</v>
      </c>
      <c r="K49" s="96">
        <f>J49/References!$G$58</f>
        <v>525.26403289116342</v>
      </c>
      <c r="L49" s="96">
        <f t="shared" si="22"/>
        <v>1.13284809921292</v>
      </c>
      <c r="M49" s="96">
        <f>+'Proposed Rates'!B40</f>
        <v>99.93</v>
      </c>
      <c r="N49" s="96">
        <f t="shared" si="15"/>
        <v>101.06284809921293</v>
      </c>
      <c r="O49" s="96">
        <f>+'Proposed Rates'!D40</f>
        <v>101.06284809921293</v>
      </c>
      <c r="P49" s="96">
        <f t="shared" si="23"/>
        <v>46334.221545927212</v>
      </c>
      <c r="Q49" s="96">
        <f t="shared" si="24"/>
        <v>46859.48557881837</v>
      </c>
      <c r="R49" s="96">
        <f t="shared" si="25"/>
        <v>525.26403289115842</v>
      </c>
      <c r="S49" s="96">
        <f t="shared" si="26"/>
        <v>46859.48557881837</v>
      </c>
      <c r="T49" s="96">
        <f t="shared" si="27"/>
        <v>0</v>
      </c>
      <c r="U49" s="111">
        <f t="shared" si="28"/>
        <v>101.06284809921293</v>
      </c>
      <c r="V49" s="111">
        <f t="shared" si="29"/>
        <v>46859.48557881837</v>
      </c>
      <c r="W49" s="111">
        <f t="shared" si="30"/>
        <v>525.26403289115842</v>
      </c>
      <c r="X49" s="175">
        <f>I49*(References!$C$55/References!$G$58)</f>
        <v>525.26403289116342</v>
      </c>
      <c r="Y49" s="96">
        <f t="shared" si="16"/>
        <v>-5.0022208597511053E-12</v>
      </c>
      <c r="AA49" s="281">
        <f>(G49*$D$101*References!$C$55)/References!$G$58</f>
        <v>1.13284809921292</v>
      </c>
      <c r="AB49" s="110">
        <f t="shared" si="20"/>
        <v>0</v>
      </c>
    </row>
    <row r="50" spans="1:31">
      <c r="A50" s="266"/>
      <c r="B50" s="132">
        <v>37</v>
      </c>
      <c r="C50" s="1" t="s">
        <v>94</v>
      </c>
      <c r="D50" s="79">
        <f>+VLOOKUP(C50,'Whitman Reg - Price Out'!B:G,6,FALSE)</f>
        <v>0.83333333333333315</v>
      </c>
      <c r="E50" s="172">
        <f>+References!$B$10</f>
        <v>4.333333333333333</v>
      </c>
      <c r="F50" s="82">
        <f>D50*E50*References!$B$50</f>
        <v>43.333333333333321</v>
      </c>
      <c r="G50" s="82">
        <f>+References!B37*2</f>
        <v>1680</v>
      </c>
      <c r="H50" s="79">
        <f t="shared" si="14"/>
        <v>72799.999999999985</v>
      </c>
      <c r="I50" s="79">
        <f>H50*$D$101</f>
        <v>47980.648394063959</v>
      </c>
      <c r="J50" s="96">
        <f>I50*References!$C$55</f>
        <v>95.96129678812801</v>
      </c>
      <c r="K50" s="96">
        <f>J50/References!$G$58</f>
        <v>98.180168598453051</v>
      </c>
      <c r="L50" s="96">
        <f>K50/(F50*2)</f>
        <v>1.1328480992129202</v>
      </c>
      <c r="M50" s="96">
        <f>+'Proposed Rates'!B40</f>
        <v>99.93</v>
      </c>
      <c r="N50" s="96">
        <f t="shared" si="15"/>
        <v>101.06284809921293</v>
      </c>
      <c r="O50" s="96">
        <f>+'Proposed Rates'!D40</f>
        <v>101.06284809921293</v>
      </c>
      <c r="P50" s="96">
        <f>F50*2*M50</f>
        <v>8660.5999999999985</v>
      </c>
      <c r="Q50" s="96">
        <f>F50*2*O50</f>
        <v>8758.7801685984523</v>
      </c>
      <c r="R50" s="96">
        <f t="shared" si="25"/>
        <v>98.180168598453747</v>
      </c>
      <c r="S50" s="96">
        <f>F50*2*N50</f>
        <v>8758.7801685984523</v>
      </c>
      <c r="T50" s="96">
        <f t="shared" si="27"/>
        <v>0</v>
      </c>
      <c r="U50" s="111">
        <f t="shared" si="28"/>
        <v>101.06284809921293</v>
      </c>
      <c r="V50" s="111">
        <f>F50*2*U50</f>
        <v>8758.7801685984523</v>
      </c>
      <c r="W50" s="111">
        <f t="shared" si="30"/>
        <v>98.180168598453747</v>
      </c>
      <c r="X50" s="175">
        <f>I50*(References!$C$55/References!$G$58)</f>
        <v>98.180168598453051</v>
      </c>
      <c r="Y50" s="96">
        <f t="shared" si="16"/>
        <v>6.9633188104489818E-13</v>
      </c>
      <c r="AA50" s="281">
        <f>(G50*$D$101*References!$C$55)/2/References!$G$58</f>
        <v>1.13284809921292</v>
      </c>
      <c r="AB50" s="110">
        <f t="shared" si="20"/>
        <v>0</v>
      </c>
    </row>
    <row r="51" spans="1:31">
      <c r="A51" s="266"/>
      <c r="B51" s="132">
        <v>37</v>
      </c>
      <c r="C51" s="1" t="s">
        <v>96</v>
      </c>
      <c r="D51" s="79">
        <f>+VLOOKUP(C51,'Whitman Reg - Price Out'!B:G,6,FALSE)</f>
        <v>1</v>
      </c>
      <c r="E51" s="88">
        <f>+References!B9</f>
        <v>8.6666666666666661</v>
      </c>
      <c r="F51" s="79">
        <f>D51*E51*References!$B$50</f>
        <v>104</v>
      </c>
      <c r="G51" s="79">
        <f>+References!B37</f>
        <v>840</v>
      </c>
      <c r="H51" s="79">
        <f t="shared" si="14"/>
        <v>87360</v>
      </c>
      <c r="I51" s="79">
        <f>H51*$D$101</f>
        <v>57576.778072876761</v>
      </c>
      <c r="J51" s="96">
        <f>I51*References!$C$55</f>
        <v>115.15355614575363</v>
      </c>
      <c r="K51" s="96">
        <f>J51/References!$G$58</f>
        <v>117.81620231814367</v>
      </c>
      <c r="L51" s="96">
        <f t="shared" si="22"/>
        <v>1.13284809921292</v>
      </c>
      <c r="M51" s="96">
        <f>+'Proposed Rates'!B40</f>
        <v>99.93</v>
      </c>
      <c r="N51" s="96">
        <f t="shared" si="15"/>
        <v>101.06284809921293</v>
      </c>
      <c r="O51" s="96">
        <f>+'Proposed Rates'!D40</f>
        <v>101.06284809921293</v>
      </c>
      <c r="P51" s="96">
        <f t="shared" si="23"/>
        <v>10392.720000000001</v>
      </c>
      <c r="Q51" s="96">
        <f t="shared" si="24"/>
        <v>10510.536202318144</v>
      </c>
      <c r="R51" s="96">
        <f t="shared" si="25"/>
        <v>117.81620231814304</v>
      </c>
      <c r="S51" s="96">
        <f t="shared" si="26"/>
        <v>10510.536202318144</v>
      </c>
      <c r="T51" s="96">
        <f t="shared" si="27"/>
        <v>0</v>
      </c>
      <c r="U51" s="111">
        <f t="shared" si="28"/>
        <v>101.06284809921293</v>
      </c>
      <c r="V51" s="111">
        <f t="shared" si="29"/>
        <v>10510.536202318144</v>
      </c>
      <c r="W51" s="111">
        <f t="shared" si="30"/>
        <v>117.81620231814304</v>
      </c>
      <c r="X51" s="175">
        <f>I51*(References!$C$55/References!$G$58)</f>
        <v>117.81620231814368</v>
      </c>
      <c r="Y51" s="96">
        <f t="shared" si="16"/>
        <v>-6.3948846218409017E-13</v>
      </c>
      <c r="AA51" s="281">
        <f>(G51*$D$101*References!$C$55)/References!$G$58</f>
        <v>1.13284809921292</v>
      </c>
      <c r="AB51" s="110">
        <f t="shared" si="20"/>
        <v>0</v>
      </c>
    </row>
    <row r="52" spans="1:31">
      <c r="A52" s="266"/>
      <c r="B52" s="132">
        <v>37</v>
      </c>
      <c r="C52" s="1" t="s">
        <v>98</v>
      </c>
      <c r="D52" s="79">
        <f>+VLOOKUP(C52,'Whitman Reg - Price Out'!B:G,6,FALSE)</f>
        <v>0.99999999999999989</v>
      </c>
      <c r="E52" s="88">
        <f>+References!B7</f>
        <v>17.333333333333332</v>
      </c>
      <c r="F52" s="79">
        <f>D52*E52*References!$B$50</f>
        <v>207.99999999999994</v>
      </c>
      <c r="G52" s="79">
        <f>+References!B37</f>
        <v>840</v>
      </c>
      <c r="H52" s="79">
        <f t="shared" si="14"/>
        <v>174719.99999999994</v>
      </c>
      <c r="I52" s="79">
        <f>H52*$D$101</f>
        <v>115153.55614575348</v>
      </c>
      <c r="J52" s="96">
        <f>I52*References!$C$55</f>
        <v>230.30711229150717</v>
      </c>
      <c r="K52" s="96">
        <f>J52/References!$G$58</f>
        <v>235.63240463628725</v>
      </c>
      <c r="L52" s="96">
        <f t="shared" si="22"/>
        <v>1.1328480992129197</v>
      </c>
      <c r="M52" s="96">
        <f>+'Proposed Rates'!B40</f>
        <v>99.93</v>
      </c>
      <c r="N52" s="96">
        <f t="shared" si="15"/>
        <v>101.06284809921293</v>
      </c>
      <c r="O52" s="96">
        <f>+'Proposed Rates'!D40</f>
        <v>101.06284809921293</v>
      </c>
      <c r="P52" s="96">
        <f t="shared" si="23"/>
        <v>20785.439999999995</v>
      </c>
      <c r="Q52" s="96">
        <f t="shared" si="24"/>
        <v>21021.072404636285</v>
      </c>
      <c r="R52" s="96">
        <f t="shared" si="25"/>
        <v>235.63240463628972</v>
      </c>
      <c r="S52" s="96">
        <f t="shared" si="26"/>
        <v>21021.072404636285</v>
      </c>
      <c r="T52" s="96">
        <f t="shared" si="27"/>
        <v>0</v>
      </c>
      <c r="U52" s="111">
        <f t="shared" si="28"/>
        <v>101.06284809921293</v>
      </c>
      <c r="V52" s="111">
        <f t="shared" si="29"/>
        <v>21021.072404636285</v>
      </c>
      <c r="W52" s="111">
        <f t="shared" si="30"/>
        <v>235.63240463628972</v>
      </c>
      <c r="X52" s="175">
        <f>I52*(References!$C$55/References!$G$58)</f>
        <v>235.63240463628725</v>
      </c>
      <c r="Y52" s="96">
        <f t="shared" si="16"/>
        <v>2.4726887204451486E-12</v>
      </c>
      <c r="AA52" s="281">
        <f>(G52*$D$101*References!$C$55)/References!$G$58</f>
        <v>1.13284809921292</v>
      </c>
      <c r="AB52" s="110">
        <f t="shared" si="20"/>
        <v>0</v>
      </c>
    </row>
    <row r="53" spans="1:31" s="74" customFormat="1">
      <c r="A53" s="266"/>
      <c r="B53" s="132">
        <v>37</v>
      </c>
      <c r="C53" s="74" t="s">
        <v>347</v>
      </c>
      <c r="D53" s="79">
        <f>+VLOOKUP(C53,'Whitman Reg - Price Out'!B:G,6,FALSE)</f>
        <v>0.99999999999999989</v>
      </c>
      <c r="E53" s="88">
        <f>+References!B6</f>
        <v>21.666666666666668</v>
      </c>
      <c r="F53" s="79">
        <f>D53*E53*References!$B$50</f>
        <v>260</v>
      </c>
      <c r="G53" s="79">
        <f>+References!B37</f>
        <v>840</v>
      </c>
      <c r="H53" s="79">
        <f t="shared" ref="H53" si="39">F53*G53</f>
        <v>218400</v>
      </c>
      <c r="I53" s="79">
        <f>H53*$D$101</f>
        <v>143941.94518219191</v>
      </c>
      <c r="J53" s="96">
        <f>I53*References!$C$55</f>
        <v>287.88389036438406</v>
      </c>
      <c r="K53" s="96">
        <f>J53/References!$G$58</f>
        <v>294.54050579535914</v>
      </c>
      <c r="L53" s="96">
        <f t="shared" si="22"/>
        <v>1.1328480992129197</v>
      </c>
      <c r="M53" s="96">
        <f>+'Proposed Rates'!B40</f>
        <v>99.93</v>
      </c>
      <c r="N53" s="96">
        <f t="shared" si="15"/>
        <v>101.06284809921293</v>
      </c>
      <c r="O53" s="96">
        <f>+'Proposed Rates'!D40</f>
        <v>101.06284809921293</v>
      </c>
      <c r="P53" s="96">
        <f t="shared" si="23"/>
        <v>25981.800000000003</v>
      </c>
      <c r="Q53" s="96">
        <f t="shared" si="24"/>
        <v>26276.340505795361</v>
      </c>
      <c r="R53" s="96">
        <f t="shared" si="25"/>
        <v>294.5405057953576</v>
      </c>
      <c r="S53" s="96">
        <f t="shared" si="26"/>
        <v>26276.340505795361</v>
      </c>
      <c r="T53" s="96">
        <f t="shared" si="27"/>
        <v>0</v>
      </c>
      <c r="U53" s="111">
        <f t="shared" si="28"/>
        <v>101.06284809921293</v>
      </c>
      <c r="V53" s="111">
        <f t="shared" si="29"/>
        <v>26276.340505795361</v>
      </c>
      <c r="W53" s="111">
        <f t="shared" si="30"/>
        <v>294.5405057953576</v>
      </c>
      <c r="X53" s="175">
        <f>I53*(References!$C$55/References!$G$58)</f>
        <v>294.54050579535919</v>
      </c>
      <c r="Y53" s="96">
        <f t="shared" si="16"/>
        <v>-1.5916157281026244E-12</v>
      </c>
      <c r="AA53" s="281">
        <f>(G53*$D$101*References!$C$55)/References!$G$58</f>
        <v>1.13284809921292</v>
      </c>
      <c r="AB53" s="110">
        <f t="shared" si="20"/>
        <v>0</v>
      </c>
      <c r="AC53"/>
      <c r="AD53"/>
      <c r="AE53"/>
    </row>
    <row r="54" spans="1:31" ht="15" customHeight="1">
      <c r="A54" s="270" t="s">
        <v>254</v>
      </c>
      <c r="B54" s="132">
        <v>37</v>
      </c>
      <c r="C54" s="1" t="s">
        <v>100</v>
      </c>
      <c r="D54" s="79">
        <f>+VLOOKUP(C54,'Whitman Reg - Price Out'!B:G,6,FALSE)</f>
        <v>1</v>
      </c>
      <c r="E54" s="88">
        <f>+References!B10</f>
        <v>4.333333333333333</v>
      </c>
      <c r="F54" s="79">
        <f>D54*E54*References!$B$50</f>
        <v>52</v>
      </c>
      <c r="G54" s="79">
        <f>+References!B39</f>
        <v>980</v>
      </c>
      <c r="H54" s="79">
        <f t="shared" si="14"/>
        <v>50960</v>
      </c>
      <c r="I54" s="79">
        <f>H54*$D$101</f>
        <v>33586.453875844774</v>
      </c>
      <c r="J54" s="96">
        <f>I54*References!$C$55</f>
        <v>67.172907751689607</v>
      </c>
      <c r="K54" s="96">
        <f>J54/References!$G$58</f>
        <v>68.726118018917134</v>
      </c>
      <c r="L54" s="96">
        <f t="shared" si="22"/>
        <v>1.3216561157484064</v>
      </c>
      <c r="M54" s="96">
        <f>+'Proposed Rates'!B41</f>
        <v>129.91</v>
      </c>
      <c r="N54" s="96">
        <f t="shared" si="15"/>
        <v>131.23165611574839</v>
      </c>
      <c r="O54" s="96">
        <f>+'Proposed Rates'!D41</f>
        <v>131.23165611574839</v>
      </c>
      <c r="P54" s="96">
        <f t="shared" si="23"/>
        <v>6755.32</v>
      </c>
      <c r="Q54" s="96">
        <f t="shared" si="24"/>
        <v>6824.0461180189168</v>
      </c>
      <c r="R54" s="96">
        <f t="shared" si="25"/>
        <v>68.726118018917077</v>
      </c>
      <c r="S54" s="96">
        <f t="shared" si="26"/>
        <v>6824.0461180189168</v>
      </c>
      <c r="T54" s="96">
        <f t="shared" si="27"/>
        <v>0</v>
      </c>
      <c r="U54" s="111">
        <f t="shared" si="28"/>
        <v>131.23165611574839</v>
      </c>
      <c r="V54" s="111">
        <f t="shared" si="29"/>
        <v>6824.0461180189168</v>
      </c>
      <c r="W54" s="111">
        <f t="shared" si="30"/>
        <v>68.726118018917077</v>
      </c>
      <c r="X54" s="175">
        <f>I54*(References!$C$55/References!$G$58)</f>
        <v>68.726118018917134</v>
      </c>
      <c r="Y54" s="96">
        <f t="shared" si="16"/>
        <v>0</v>
      </c>
      <c r="AA54" s="281">
        <f>(G54*$D$101*References!$C$55)/References!$G$58</f>
        <v>1.3216561157484066</v>
      </c>
      <c r="AB54" s="110">
        <f t="shared" si="20"/>
        <v>0</v>
      </c>
    </row>
    <row r="55" spans="1:31">
      <c r="A55" s="266"/>
      <c r="B55" s="132">
        <v>37</v>
      </c>
      <c r="C55" s="1" t="s">
        <v>102</v>
      </c>
      <c r="D55" s="79">
        <f>+VLOOKUP(C55,'Whitman Reg - Price Out'!B:G,6,FALSE)</f>
        <v>1</v>
      </c>
      <c r="E55" s="88">
        <f>+References!B9</f>
        <v>8.6666666666666661</v>
      </c>
      <c r="F55" s="79">
        <f>D55*E55*References!$B$50</f>
        <v>104</v>
      </c>
      <c r="G55" s="79">
        <f>+References!B39</f>
        <v>980</v>
      </c>
      <c r="H55" s="79">
        <f t="shared" si="14"/>
        <v>101920</v>
      </c>
      <c r="I55" s="79">
        <f>H55*$D$101</f>
        <v>67172.907751689549</v>
      </c>
      <c r="J55" s="96">
        <f>I55*References!$C$55</f>
        <v>134.34581550337921</v>
      </c>
      <c r="K55" s="96">
        <f>J55/References!$G$58</f>
        <v>137.45223603783427</v>
      </c>
      <c r="L55" s="96">
        <f t="shared" si="22"/>
        <v>1.3216561157484064</v>
      </c>
      <c r="M55" s="96">
        <f>+'Proposed Rates'!B41</f>
        <v>129.91</v>
      </c>
      <c r="N55" s="96">
        <f t="shared" si="15"/>
        <v>131.23165611574839</v>
      </c>
      <c r="O55" s="96">
        <f>+'Proposed Rates'!D41</f>
        <v>131.23165611574839</v>
      </c>
      <c r="P55" s="96">
        <f t="shared" si="23"/>
        <v>13510.64</v>
      </c>
      <c r="Q55" s="96">
        <f t="shared" si="24"/>
        <v>13648.092236037834</v>
      </c>
      <c r="R55" s="96">
        <f t="shared" si="25"/>
        <v>137.45223603783415</v>
      </c>
      <c r="S55" s="96">
        <f t="shared" si="26"/>
        <v>13648.092236037834</v>
      </c>
      <c r="T55" s="96">
        <f t="shared" si="27"/>
        <v>0</v>
      </c>
      <c r="U55" s="111">
        <f t="shared" si="28"/>
        <v>131.23165611574839</v>
      </c>
      <c r="V55" s="111">
        <f t="shared" si="29"/>
        <v>13648.092236037834</v>
      </c>
      <c r="W55" s="111">
        <f t="shared" si="30"/>
        <v>137.45223603783415</v>
      </c>
      <c r="X55" s="175">
        <f>I55*(References!$C$55/References!$G$58)</f>
        <v>137.45223603783427</v>
      </c>
      <c r="Y55" s="96">
        <f t="shared" si="16"/>
        <v>0</v>
      </c>
      <c r="AA55" s="281">
        <f>(G55*$D$101*References!$C$55)/References!$G$58</f>
        <v>1.3216561157484066</v>
      </c>
      <c r="AB55" s="110">
        <f t="shared" si="20"/>
        <v>0</v>
      </c>
    </row>
    <row r="56" spans="1:31">
      <c r="A56" s="266"/>
      <c r="B56" s="132">
        <v>38</v>
      </c>
      <c r="C56" s="1" t="s">
        <v>104</v>
      </c>
      <c r="D56" s="79">
        <f>+VLOOKUP(C56,'Whitman Reg - Price Out'!B:G,6,FALSE)</f>
        <v>47.812702702702701</v>
      </c>
      <c r="E56" s="88">
        <f>+References!B10</f>
        <v>4.333333333333333</v>
      </c>
      <c r="F56" s="79">
        <f>D56*E56*References!$B$50</f>
        <v>2486.2605405405402</v>
      </c>
      <c r="G56" s="82">
        <f>+References!B28</f>
        <v>29</v>
      </c>
      <c r="H56" s="82">
        <f t="shared" si="14"/>
        <v>72101.55567567567</v>
      </c>
      <c r="I56" s="79">
        <f>H56*$D$101</f>
        <v>47520.321312357439</v>
      </c>
      <c r="J56" s="96">
        <f>I56*References!$C$55</f>
        <v>95.040642624714962</v>
      </c>
      <c r="K56" s="96">
        <f>J56/References!$G$58</f>
        <v>97.238226544623444</v>
      </c>
      <c r="L56" s="96">
        <f>K56/F56*E56</f>
        <v>0.1694776719854249</v>
      </c>
      <c r="M56" s="96">
        <f>+'Proposed Rates'!B62</f>
        <v>21.29</v>
      </c>
      <c r="N56" s="96">
        <f t="shared" si="15"/>
        <v>21.459477671985425</v>
      </c>
      <c r="O56" s="96">
        <f>+'Proposed Rates'!D62</f>
        <v>21.459477671985425</v>
      </c>
      <c r="P56" s="96">
        <f>D56*M56*References!$B$50</f>
        <v>12215.189286486486</v>
      </c>
      <c r="Q56" s="96">
        <f>D56*O56*References!$B$50</f>
        <v>12312.427513031109</v>
      </c>
      <c r="R56" s="96">
        <f t="shared" si="25"/>
        <v>97.238226544623103</v>
      </c>
      <c r="S56" s="96">
        <f>D56*N56*References!$B$50</f>
        <v>12312.427513031109</v>
      </c>
      <c r="T56" s="96">
        <f t="shared" si="27"/>
        <v>0</v>
      </c>
      <c r="U56" s="111">
        <f t="shared" si="28"/>
        <v>21.459477671985425</v>
      </c>
      <c r="V56" s="111">
        <f>D56*U56*References!$B$50</f>
        <v>12312.427513031109</v>
      </c>
      <c r="W56" s="111">
        <f t="shared" si="30"/>
        <v>97.238226544623103</v>
      </c>
      <c r="X56" s="175">
        <f>I56*(References!$C$55/References!$G$58)</f>
        <v>97.238226544623458</v>
      </c>
      <c r="Y56" s="96">
        <f t="shared" si="16"/>
        <v>-3.5527136788005009E-13</v>
      </c>
      <c r="AA56" s="281">
        <f>(G56*$D$101*References!$C$55)*E56/References!$G$58</f>
        <v>0.1694776719854249</v>
      </c>
      <c r="AB56" s="110">
        <f t="shared" si="20"/>
        <v>0</v>
      </c>
    </row>
    <row r="57" spans="1:31">
      <c r="A57" s="266"/>
      <c r="B57" s="132">
        <v>38</v>
      </c>
      <c r="C57" s="1" t="s">
        <v>106</v>
      </c>
      <c r="D57" s="79">
        <f>+VLOOKUP(C57,'Whitman Reg - Price Out'!B:G,6,FALSE)</f>
        <v>6.5208446251129182</v>
      </c>
      <c r="E57" s="172">
        <f>+References!$B$10</f>
        <v>4.333333333333333</v>
      </c>
      <c r="F57" s="82">
        <f>D57*E57*References!$B$50</f>
        <v>339.08392050587167</v>
      </c>
      <c r="G57" s="82">
        <f>+References!B28*2</f>
        <v>58</v>
      </c>
      <c r="H57" s="82">
        <f t="shared" si="14"/>
        <v>19666.867389340558</v>
      </c>
      <c r="I57" s="79">
        <f>H57*$D$101</f>
        <v>12961.937489294396</v>
      </c>
      <c r="J57" s="96">
        <f>I57*References!$C$55</f>
        <v>25.923874978588817</v>
      </c>
      <c r="K57" s="96">
        <f>J57/References!$G$58</f>
        <v>26.523301594627394</v>
      </c>
      <c r="L57" s="96">
        <f t="shared" ref="L57:L64" si="40">K57/F57*E57</f>
        <v>0.33895534397084981</v>
      </c>
      <c r="M57" s="96">
        <f>+'Proposed Rates'!B62*2</f>
        <v>42.58</v>
      </c>
      <c r="N57" s="96">
        <f t="shared" si="15"/>
        <v>42.91895534397085</v>
      </c>
      <c r="O57" s="96">
        <f>+'Proposed Rates'!D62*2</f>
        <v>42.91895534397085</v>
      </c>
      <c r="P57" s="96">
        <f>D57*M57*References!$B$50</f>
        <v>3331.8907696476963</v>
      </c>
      <c r="Q57" s="96">
        <f>D57*O57*References!$B$50</f>
        <v>3358.4140712423241</v>
      </c>
      <c r="R57" s="96">
        <f t="shared" si="25"/>
        <v>26.52330159462781</v>
      </c>
      <c r="S57" s="96">
        <f>D57*N57*References!$B$50</f>
        <v>3358.4140712423241</v>
      </c>
      <c r="T57" s="96">
        <f t="shared" si="27"/>
        <v>0</v>
      </c>
      <c r="U57" s="111">
        <f t="shared" si="28"/>
        <v>42.91895534397085</v>
      </c>
      <c r="V57" s="111">
        <f>D57*U57*References!$B$50</f>
        <v>3358.4140712423241</v>
      </c>
      <c r="W57" s="111">
        <f t="shared" si="30"/>
        <v>26.52330159462781</v>
      </c>
      <c r="X57" s="175">
        <f>I57*(References!$C$55/References!$G$58)</f>
        <v>26.523301594627394</v>
      </c>
      <c r="Y57" s="96">
        <f t="shared" si="16"/>
        <v>4.1566750041965861E-13</v>
      </c>
      <c r="AA57" s="281">
        <f>(G57*$D$101*References!$C$55)*E57/References!$G$58</f>
        <v>0.33895534397084981</v>
      </c>
      <c r="AB57" s="110">
        <f t="shared" si="20"/>
        <v>0</v>
      </c>
    </row>
    <row r="58" spans="1:31">
      <c r="A58" s="266"/>
      <c r="B58" s="132">
        <v>38</v>
      </c>
      <c r="C58" s="1" t="s">
        <v>108</v>
      </c>
      <c r="D58" s="79">
        <f>+VLOOKUP(C58,'Whitman Reg - Price Out'!B:G,6,FALSE)</f>
        <v>36.760026155187447</v>
      </c>
      <c r="E58" s="88">
        <f>+References!B10</f>
        <v>4.333333333333333</v>
      </c>
      <c r="F58" s="79">
        <f>D58*E58*References!$B$50</f>
        <v>1911.5213600697471</v>
      </c>
      <c r="G58" s="82">
        <f>+References!B23</f>
        <v>47</v>
      </c>
      <c r="H58" s="82">
        <f t="shared" si="14"/>
        <v>89841.503923278113</v>
      </c>
      <c r="I58" s="79">
        <f>H58*$D$101</f>
        <v>59212.274875504474</v>
      </c>
      <c r="J58" s="96">
        <f>I58*References!$C$55</f>
        <v>118.42454975100905</v>
      </c>
      <c r="K58" s="96">
        <f>J58/References!$G$58</f>
        <v>121.16282970228059</v>
      </c>
      <c r="L58" s="96">
        <f t="shared" si="40"/>
        <v>0.27467070976948171</v>
      </c>
      <c r="M58" s="96">
        <f>+'Proposed Rates'!B66</f>
        <v>39.549999999999997</v>
      </c>
      <c r="N58" s="96">
        <f t="shared" si="15"/>
        <v>39.824670709769478</v>
      </c>
      <c r="O58" s="96">
        <f>+'Proposed Rates'!D66</f>
        <v>39.824670709769478</v>
      </c>
      <c r="P58" s="96">
        <f>D58*M58*References!$B$50</f>
        <v>17446.308413251962</v>
      </c>
      <c r="Q58" s="96">
        <f>D58*O58*References!$B$50</f>
        <v>17567.471242954241</v>
      </c>
      <c r="R58" s="96">
        <f t="shared" si="25"/>
        <v>121.16282970227985</v>
      </c>
      <c r="S58" s="96">
        <f>D58*N58*References!$B$50</f>
        <v>17567.471242954241</v>
      </c>
      <c r="T58" s="96">
        <f t="shared" si="27"/>
        <v>0</v>
      </c>
      <c r="U58" s="111">
        <f t="shared" si="28"/>
        <v>39.824670709769478</v>
      </c>
      <c r="V58" s="111">
        <f>D58*U58*References!$B$50</f>
        <v>17567.471242954241</v>
      </c>
      <c r="W58" s="111">
        <f t="shared" si="30"/>
        <v>121.16282970227985</v>
      </c>
      <c r="X58" s="175">
        <f>I58*(References!$C$55/References!$G$58)</f>
        <v>121.1628297022806</v>
      </c>
      <c r="Y58" s="96">
        <f t="shared" si="16"/>
        <v>-7.531752999057062E-13</v>
      </c>
      <c r="AA58" s="281">
        <f>(G58*$D$101*References!$C$55)*E58/References!$G$58</f>
        <v>0.27467070976948171</v>
      </c>
      <c r="AB58" s="110">
        <f t="shared" si="20"/>
        <v>0</v>
      </c>
    </row>
    <row r="59" spans="1:31" s="74" customFormat="1">
      <c r="A59" s="266"/>
      <c r="B59" s="132">
        <v>38</v>
      </c>
      <c r="C59" s="74" t="s">
        <v>351</v>
      </c>
      <c r="D59" s="79">
        <f>+VLOOKUP(C59,'Whitman Reg - Price Out'!B:G,6,FALSE)</f>
        <v>4.0000000000000009</v>
      </c>
      <c r="E59" s="172">
        <f>+References!$B$10</f>
        <v>4.333333333333333</v>
      </c>
      <c r="F59" s="82">
        <f>D59*E59*References!$B$50</f>
        <v>208.00000000000003</v>
      </c>
      <c r="G59" s="82">
        <f>+References!B23*2</f>
        <v>94</v>
      </c>
      <c r="H59" s="82">
        <f t="shared" ref="H59" si="41">F59*G59</f>
        <v>19552.000000000004</v>
      </c>
      <c r="I59" s="79">
        <f>H59*$D$101</f>
        <v>12886.231282977182</v>
      </c>
      <c r="J59" s="96">
        <f>I59*References!$C$55</f>
        <v>25.772462565954385</v>
      </c>
      <c r="K59" s="96">
        <f>J59/References!$G$58</f>
        <v>26.368388137870252</v>
      </c>
      <c r="L59" s="96">
        <f t="shared" si="40"/>
        <v>0.54934141953896343</v>
      </c>
      <c r="M59" s="96">
        <f>+'Proposed Rates'!B66*2</f>
        <v>79.099999999999994</v>
      </c>
      <c r="N59" s="96">
        <f t="shared" si="15"/>
        <v>79.649341419538956</v>
      </c>
      <c r="O59" s="96">
        <f>+'Proposed Rates'!D66*2</f>
        <v>79.649341419538956</v>
      </c>
      <c r="P59" s="96">
        <f>D59*M59*References!$B$50</f>
        <v>3796.8</v>
      </c>
      <c r="Q59" s="96">
        <f>D59*O59*References!$B$50</f>
        <v>3823.1683881378704</v>
      </c>
      <c r="R59" s="96">
        <f t="shared" si="25"/>
        <v>26.36838813787017</v>
      </c>
      <c r="S59" s="96">
        <f>D59*N59*References!$B$50</f>
        <v>3823.1683881378704</v>
      </c>
      <c r="T59" s="96">
        <f t="shared" si="27"/>
        <v>0</v>
      </c>
      <c r="U59" s="111">
        <f t="shared" si="28"/>
        <v>79.649341419538956</v>
      </c>
      <c r="V59" s="111">
        <f>D59*U59*References!$B$50</f>
        <v>3823.1683881378704</v>
      </c>
      <c r="W59" s="111">
        <f t="shared" si="30"/>
        <v>26.36838813787017</v>
      </c>
      <c r="X59" s="175">
        <f>I59*(References!$C$55/References!$G$58)</f>
        <v>26.368388137870255</v>
      </c>
      <c r="Y59" s="96">
        <f t="shared" si="16"/>
        <v>-8.5265128291212022E-14</v>
      </c>
      <c r="AA59" s="281">
        <f>(G59*$D$101*References!$C$55)*E59/References!$G$58</f>
        <v>0.54934141953896343</v>
      </c>
      <c r="AB59" s="110">
        <f t="shared" si="20"/>
        <v>0</v>
      </c>
      <c r="AC59"/>
      <c r="AD59"/>
      <c r="AE59"/>
    </row>
    <row r="60" spans="1:31">
      <c r="A60" s="266"/>
      <c r="B60" s="132">
        <v>38</v>
      </c>
      <c r="C60" s="1" t="s">
        <v>110</v>
      </c>
      <c r="D60" s="79">
        <f>+VLOOKUP(C60,'Whitman Reg - Price Out'!B:G,6,FALSE)</f>
        <v>0.99999999999999989</v>
      </c>
      <c r="E60" s="172">
        <f>+References!$B$10</f>
        <v>4.333333333333333</v>
      </c>
      <c r="F60" s="82">
        <f>D60*E60*References!$B$50</f>
        <v>51.999999999999986</v>
      </c>
      <c r="G60" s="82">
        <f>+References!B23*5</f>
        <v>235</v>
      </c>
      <c r="H60" s="82">
        <f t="shared" si="14"/>
        <v>12219.999999999996</v>
      </c>
      <c r="I60" s="79">
        <f>H60*$D$101</f>
        <v>8053.8945518607352</v>
      </c>
      <c r="J60" s="96">
        <f>I60*References!$C$55</f>
        <v>16.107789103721483</v>
      </c>
      <c r="K60" s="96">
        <f>J60/References!$G$58</f>
        <v>16.480242586168899</v>
      </c>
      <c r="L60" s="96">
        <f t="shared" si="40"/>
        <v>1.3733535488474087</v>
      </c>
      <c r="M60" s="96">
        <f>+'Proposed Rates'!B66*5</f>
        <v>197.75</v>
      </c>
      <c r="N60" s="96">
        <f t="shared" si="15"/>
        <v>199.1233535488474</v>
      </c>
      <c r="O60" s="96">
        <f>+'Proposed Rates'!D66*5</f>
        <v>199.12335354884738</v>
      </c>
      <c r="P60" s="96">
        <f>D60*M60*References!$B$50</f>
        <v>2372.9999999999995</v>
      </c>
      <c r="Q60" s="96">
        <f>D60*O60*References!$B$50</f>
        <v>2389.4802425861681</v>
      </c>
      <c r="R60" s="96">
        <f t="shared" si="25"/>
        <v>16.480242586168515</v>
      </c>
      <c r="S60" s="96">
        <f>D60*N60*References!$B$50</f>
        <v>2389.4802425861685</v>
      </c>
      <c r="T60" s="96">
        <f t="shared" si="27"/>
        <v>0</v>
      </c>
      <c r="U60" s="111">
        <f t="shared" si="28"/>
        <v>199.1233535488474</v>
      </c>
      <c r="V60" s="111">
        <f>D60*U60*References!$B$50</f>
        <v>2389.4802425861685</v>
      </c>
      <c r="W60" s="111">
        <f t="shared" si="30"/>
        <v>16.48024258616897</v>
      </c>
      <c r="X60" s="175">
        <f>I60*(References!$C$55/References!$G$58)</f>
        <v>16.480242586168902</v>
      </c>
      <c r="Y60" s="96">
        <f t="shared" si="16"/>
        <v>6.7501559897209518E-14</v>
      </c>
      <c r="AA60" s="281">
        <f>(G60*$D$101*References!$C$55)*E60/References!$G$58</f>
        <v>1.3733535488474087</v>
      </c>
      <c r="AB60" s="110">
        <f t="shared" si="20"/>
        <v>0</v>
      </c>
    </row>
    <row r="61" spans="1:31">
      <c r="A61" s="266"/>
      <c r="B61" s="132">
        <v>38</v>
      </c>
      <c r="C61" s="1" t="s">
        <v>112</v>
      </c>
      <c r="D61" s="79">
        <f>+VLOOKUP(C61,'Whitman Reg - Price Out'!B:G,6,FALSE)</f>
        <v>134.29171726985666</v>
      </c>
      <c r="E61" s="88">
        <f>+References!B10</f>
        <v>4.333333333333333</v>
      </c>
      <c r="F61" s="79">
        <f>D61*E61*References!$B$50</f>
        <v>6983.1692980325461</v>
      </c>
      <c r="G61" s="79">
        <f>+References!B24</f>
        <v>68</v>
      </c>
      <c r="H61" s="79">
        <f t="shared" si="14"/>
        <v>474855.51226621313</v>
      </c>
      <c r="I61" s="79">
        <f>H61*$D$101</f>
        <v>312965.3210443448</v>
      </c>
      <c r="J61" s="96">
        <f>I61*References!$C$55</f>
        <v>625.93064208869021</v>
      </c>
      <c r="K61" s="96">
        <f>J61/References!$G$58</f>
        <v>640.40376722804399</v>
      </c>
      <c r="L61" s="96">
        <f t="shared" si="40"/>
        <v>0.39739592051754807</v>
      </c>
      <c r="M61" s="96">
        <f>+'Proposed Rates'!B70</f>
        <v>47.39</v>
      </c>
      <c r="N61" s="96">
        <f t="shared" si="15"/>
        <v>47.787395920517547</v>
      </c>
      <c r="O61" s="96">
        <f>+'Proposed Rates'!D70</f>
        <v>47.787395920517547</v>
      </c>
      <c r="P61" s="96">
        <f>D61*M61*References!$B$50</f>
        <v>76369.01377702209</v>
      </c>
      <c r="Q61" s="96">
        <f>D61*O61*References!$B$50</f>
        <v>77009.417544250129</v>
      </c>
      <c r="R61" s="96">
        <f t="shared" si="25"/>
        <v>640.40376722803921</v>
      </c>
      <c r="S61" s="96">
        <f>D61*N61*References!$B$50</f>
        <v>77009.417544250129</v>
      </c>
      <c r="T61" s="96">
        <f t="shared" si="27"/>
        <v>0</v>
      </c>
      <c r="U61" s="111">
        <f t="shared" si="28"/>
        <v>47.787395920517547</v>
      </c>
      <c r="V61" s="111">
        <f>D61*U61*References!$B$50</f>
        <v>77009.417544250129</v>
      </c>
      <c r="W61" s="111">
        <f t="shared" si="30"/>
        <v>640.40376722803921</v>
      </c>
      <c r="X61" s="175">
        <f>I61*(References!$C$55/References!$G$58)</f>
        <v>640.40376722804399</v>
      </c>
      <c r="Y61" s="96">
        <f t="shared" si="16"/>
        <v>-4.7748471843078732E-12</v>
      </c>
      <c r="AA61" s="281">
        <f>(G61*$D$101*References!$C$55)*E61/References!$G$58</f>
        <v>0.39739592051754807</v>
      </c>
      <c r="AB61" s="110">
        <f t="shared" si="20"/>
        <v>0</v>
      </c>
    </row>
    <row r="62" spans="1:31">
      <c r="A62" s="266"/>
      <c r="B62" s="132">
        <v>38</v>
      </c>
      <c r="C62" s="1" t="s">
        <v>114</v>
      </c>
      <c r="D62" s="79">
        <f>+VLOOKUP(C62,'Whitman Reg - Price Out'!B:G,6,FALSE)</f>
        <v>13.072523179076077</v>
      </c>
      <c r="E62" s="172">
        <f>+References!$B$10</f>
        <v>4.333333333333333</v>
      </c>
      <c r="F62" s="82">
        <f>D62*E62*References!$B$50</f>
        <v>679.77120531195601</v>
      </c>
      <c r="G62" s="82">
        <f>+References!B24*2</f>
        <v>136</v>
      </c>
      <c r="H62" s="79">
        <f t="shared" si="14"/>
        <v>92448.883922426015</v>
      </c>
      <c r="I62" s="79">
        <f>H62*$D$101</f>
        <v>60930.733432768626</v>
      </c>
      <c r="J62" s="96">
        <f>I62*References!$C$55</f>
        <v>121.86146686553737</v>
      </c>
      <c r="K62" s="96">
        <f>J62/References!$G$58</f>
        <v>124.67921717366212</v>
      </c>
      <c r="L62" s="96">
        <f>K62/F62*E62</f>
        <v>0.79479184103509615</v>
      </c>
      <c r="M62" s="96">
        <f>+'Proposed Rates'!B70*2</f>
        <v>94.78</v>
      </c>
      <c r="N62" s="96">
        <f t="shared" si="15"/>
        <v>95.574791841035093</v>
      </c>
      <c r="O62" s="96">
        <f>+'Proposed Rates'!D70*2</f>
        <v>95.574791841035093</v>
      </c>
      <c r="P62" s="96">
        <f>D62*M62*References!$B$50</f>
        <v>14868.164962953968</v>
      </c>
      <c r="Q62" s="96">
        <f>D62*O62*References!$B$50</f>
        <v>14992.844180127628</v>
      </c>
      <c r="R62" s="96">
        <f t="shared" si="25"/>
        <v>124.67921717365971</v>
      </c>
      <c r="S62" s="96">
        <f>D62*N62*References!$B$50</f>
        <v>14992.844180127628</v>
      </c>
      <c r="T62" s="96">
        <f t="shared" si="27"/>
        <v>0</v>
      </c>
      <c r="U62" s="111">
        <f t="shared" si="28"/>
        <v>95.574791841035093</v>
      </c>
      <c r="V62" s="111">
        <f>D62*U62*References!$B$50</f>
        <v>14992.844180127628</v>
      </c>
      <c r="W62" s="111">
        <f t="shared" si="30"/>
        <v>124.67921717365971</v>
      </c>
      <c r="X62" s="175">
        <f>I62*(References!$C$55/References!$G$58)</f>
        <v>124.67921717366212</v>
      </c>
      <c r="Y62" s="96">
        <f t="shared" si="16"/>
        <v>-2.4158453015843406E-12</v>
      </c>
      <c r="AA62" s="281">
        <f>(G62*$D$101*References!$C$55)*E62/References!$G$58</f>
        <v>0.79479184103509615</v>
      </c>
      <c r="AB62" s="110">
        <f t="shared" si="20"/>
        <v>0</v>
      </c>
    </row>
    <row r="63" spans="1:31">
      <c r="A63" s="266"/>
      <c r="B63" s="132">
        <v>38</v>
      </c>
      <c r="C63" s="1" t="s">
        <v>116</v>
      </c>
      <c r="D63" s="79">
        <f>+VLOOKUP(C63,'Whitman Reg - Price Out'!B:G,6,FALSE)</f>
        <v>1.0000101218672823</v>
      </c>
      <c r="E63" s="172">
        <f>+References!$B$9</f>
        <v>8.6666666666666661</v>
      </c>
      <c r="F63" s="82">
        <f>D63*E63*References!$B$50</f>
        <v>104.00105267419735</v>
      </c>
      <c r="G63" s="82">
        <f>+References!B24</f>
        <v>68</v>
      </c>
      <c r="H63" s="79">
        <f t="shared" si="14"/>
        <v>7072.07158184542</v>
      </c>
      <c r="I63" s="79">
        <f>H63*$D$101</f>
        <v>4661.0244503595723</v>
      </c>
      <c r="J63" s="96">
        <f>I63*References!$C$55</f>
        <v>9.3220489007191532</v>
      </c>
      <c r="K63" s="96">
        <f>J63/References!$G$58</f>
        <v>9.5375986297515372</v>
      </c>
      <c r="L63" s="96">
        <f t="shared" si="40"/>
        <v>0.79479184103509604</v>
      </c>
      <c r="M63" s="96">
        <f>+'Proposed Rates'!B70*2</f>
        <v>94.78</v>
      </c>
      <c r="N63" s="96">
        <f t="shared" si="15"/>
        <v>95.574791841035093</v>
      </c>
      <c r="O63" s="96">
        <f>+'Proposed Rates'!D70*2</f>
        <v>95.574791841035093</v>
      </c>
      <c r="P63" s="96">
        <f>D63*M63*References!$B$50</f>
        <v>1137.3715122069721</v>
      </c>
      <c r="Q63" s="96">
        <f>D63*O63*References!$B$50</f>
        <v>1146.9091108367238</v>
      </c>
      <c r="R63" s="96">
        <f t="shared" si="25"/>
        <v>9.5375986297517557</v>
      </c>
      <c r="S63" s="96">
        <f>D63*N63*References!$B$50</f>
        <v>1146.9091108367238</v>
      </c>
      <c r="T63" s="96">
        <f t="shared" si="27"/>
        <v>0</v>
      </c>
      <c r="U63" s="111">
        <f t="shared" si="28"/>
        <v>95.574791841035093</v>
      </c>
      <c r="V63" s="111">
        <f>D63*U63*References!$B$50</f>
        <v>1146.9091108367238</v>
      </c>
      <c r="W63" s="111">
        <f t="shared" si="30"/>
        <v>9.5375986297517557</v>
      </c>
      <c r="X63" s="175">
        <f>I63*(References!$C$55/References!$G$58)</f>
        <v>9.5375986297515372</v>
      </c>
      <c r="Y63" s="96">
        <f t="shared" si="16"/>
        <v>2.1849189124623081E-13</v>
      </c>
      <c r="AA63" s="281">
        <f>(G63*$D$101*References!$C$55)*E63/References!$G$58</f>
        <v>0.79479184103509615</v>
      </c>
      <c r="AB63" s="110">
        <f t="shared" si="20"/>
        <v>0</v>
      </c>
    </row>
    <row r="64" spans="1:31">
      <c r="A64" s="266"/>
      <c r="B64" s="132">
        <v>38</v>
      </c>
      <c r="C64" s="1" t="s">
        <v>118</v>
      </c>
      <c r="D64" s="79">
        <f>+VLOOKUP(C64,'Whitman Reg - Price Out'!B:G,6,FALSE)</f>
        <v>1.0000000000000002</v>
      </c>
      <c r="E64" s="172">
        <f>+References!$B$9</f>
        <v>8.6666666666666661</v>
      </c>
      <c r="F64" s="82">
        <f>D64*E64*References!$B$50</f>
        <v>104.00000000000001</v>
      </c>
      <c r="G64" s="82">
        <f>+References!B24*4</f>
        <v>272</v>
      </c>
      <c r="H64" s="79">
        <f t="shared" si="14"/>
        <v>28288.000000000004</v>
      </c>
      <c r="I64" s="79">
        <f>H64*$D$101</f>
        <v>18643.909090264857</v>
      </c>
      <c r="J64" s="96">
        <f>I64*References!$C$55</f>
        <v>37.287818180529747</v>
      </c>
      <c r="K64" s="96">
        <f>J64/References!$G$58</f>
        <v>38.15000836968462</v>
      </c>
      <c r="L64" s="96">
        <f t="shared" si="40"/>
        <v>3.1791673641403841</v>
      </c>
      <c r="M64" s="96">
        <f>+'Proposed Rates'!B70*8</f>
        <v>379.12</v>
      </c>
      <c r="N64" s="96">
        <f t="shared" si="15"/>
        <v>382.29916736414037</v>
      </c>
      <c r="O64" s="96">
        <f>+'Proposed Rates'!D70*8</f>
        <v>382.29916736414037</v>
      </c>
      <c r="P64" s="96">
        <f>D64*M64*References!$B$50</f>
        <v>4549.4400000000005</v>
      </c>
      <c r="Q64" s="96">
        <f>D64*O64*References!$B$50</f>
        <v>4587.5900083696852</v>
      </c>
      <c r="R64" s="96">
        <f t="shared" si="25"/>
        <v>38.150008369684656</v>
      </c>
      <c r="S64" s="96">
        <f>D64*N64*References!$B$50</f>
        <v>4587.5900083696852</v>
      </c>
      <c r="T64" s="96">
        <f t="shared" si="27"/>
        <v>0</v>
      </c>
      <c r="U64" s="111">
        <f t="shared" si="28"/>
        <v>382.29916736414037</v>
      </c>
      <c r="V64" s="111">
        <f>D64*U64*References!$B$50</f>
        <v>4587.5900083696852</v>
      </c>
      <c r="W64" s="111">
        <f t="shared" si="30"/>
        <v>38.150008369684656</v>
      </c>
      <c r="X64" s="175">
        <f>I64*(References!$C$55/References!$G$58)</f>
        <v>38.15000836968462</v>
      </c>
      <c r="Y64" s="96">
        <f t="shared" si="16"/>
        <v>0</v>
      </c>
      <c r="AA64" s="281">
        <f>(G64*$D$101*References!$C$55)*E64/References!$G$58</f>
        <v>3.1791673641403846</v>
      </c>
      <c r="AB64" s="110">
        <f t="shared" si="20"/>
        <v>0</v>
      </c>
    </row>
    <row r="65" spans="1:31">
      <c r="A65" s="266"/>
      <c r="B65" s="132">
        <v>38</v>
      </c>
      <c r="C65" s="1" t="s">
        <v>120</v>
      </c>
      <c r="D65" s="79">
        <f>+VLOOKUP(C65,'Whitman Reg - Price Out'!B:G,6,FALSE)</f>
        <v>1.4166666666666667</v>
      </c>
      <c r="E65" s="88">
        <f>+References!B12</f>
        <v>1</v>
      </c>
      <c r="F65" s="79">
        <f>D65*E65*References!$B$50</f>
        <v>17</v>
      </c>
      <c r="G65" s="79">
        <f>+References!B28</f>
        <v>29</v>
      </c>
      <c r="H65" s="79">
        <f t="shared" si="14"/>
        <v>493</v>
      </c>
      <c r="I65" s="79">
        <f>H65*$D$101</f>
        <v>324.92389640485624</v>
      </c>
      <c r="J65" s="96">
        <f>I65*References!$C$55</f>
        <v>0.64984779280971305</v>
      </c>
      <c r="K65" s="96">
        <f>J65/References!$G$58</f>
        <v>0.66487394394282073</v>
      </c>
      <c r="L65" s="96">
        <f>K65/F65</f>
        <v>3.9110231996636512E-2</v>
      </c>
      <c r="M65" s="96">
        <f>+'Proposed Rates'!B61</f>
        <v>13.33</v>
      </c>
      <c r="N65" s="96">
        <f t="shared" si="15"/>
        <v>13.369110231996636</v>
      </c>
      <c r="O65" s="96">
        <f>+'Proposed Rates'!D61</f>
        <v>13.369110231996636</v>
      </c>
      <c r="P65" s="96">
        <f t="shared" si="23"/>
        <v>226.61</v>
      </c>
      <c r="Q65" s="96">
        <f t="shared" si="24"/>
        <v>227.27487394394282</v>
      </c>
      <c r="R65" s="96">
        <f t="shared" si="25"/>
        <v>0.66487394394280841</v>
      </c>
      <c r="S65" s="96">
        <f t="shared" si="26"/>
        <v>227.27487394394282</v>
      </c>
      <c r="T65" s="96">
        <f t="shared" si="27"/>
        <v>0</v>
      </c>
      <c r="U65" s="111">
        <f t="shared" si="28"/>
        <v>13.369110231996636</v>
      </c>
      <c r="V65" s="111">
        <f t="shared" si="29"/>
        <v>227.27487394394282</v>
      </c>
      <c r="W65" s="111">
        <f t="shared" si="30"/>
        <v>0.66487394394280841</v>
      </c>
      <c r="X65" s="175">
        <f>I65*(References!$C$55/References!$G$58)</f>
        <v>0.66487394394282084</v>
      </c>
      <c r="Y65" s="96">
        <f t="shared" si="16"/>
        <v>-1.2434497875801753E-14</v>
      </c>
      <c r="AA65" s="281">
        <f>(G65*$D$101*References!$C$55)/References!$G$58</f>
        <v>3.9110231996636519E-2</v>
      </c>
      <c r="AB65" s="110">
        <f t="shared" si="20"/>
        <v>0</v>
      </c>
    </row>
    <row r="66" spans="1:31">
      <c r="A66" s="266"/>
      <c r="B66" s="132">
        <v>38</v>
      </c>
      <c r="C66" s="1" t="s">
        <v>122</v>
      </c>
      <c r="D66" s="79">
        <f>+VLOOKUP(C66,'Whitman Reg - Price Out'!B:G,6,FALSE)</f>
        <v>275.43407668231612</v>
      </c>
      <c r="E66" s="88">
        <f>+References!B12</f>
        <v>1</v>
      </c>
      <c r="F66" s="79">
        <f>D66*E66*References!$B$50</f>
        <v>3305.2089201877934</v>
      </c>
      <c r="G66" s="79">
        <f>+References!B28</f>
        <v>29</v>
      </c>
      <c r="H66" s="79">
        <f t="shared" si="14"/>
        <v>95851.058685446013</v>
      </c>
      <c r="I66" s="79">
        <f>H66*$D$101</f>
        <v>63173.021222323849</v>
      </c>
      <c r="J66" s="96">
        <f>I66*References!$C$55</f>
        <v>126.34604244464781</v>
      </c>
      <c r="K66" s="96">
        <f>J66/References!$G$58</f>
        <v>129.26748766589708</v>
      </c>
      <c r="L66" s="96">
        <f t="shared" ref="L66:L80" si="42">K66/F66</f>
        <v>3.9110231996636519E-2</v>
      </c>
      <c r="M66" s="96">
        <f>+'Proposed Rates'!B60</f>
        <v>4.9000000000000004</v>
      </c>
      <c r="N66" s="96">
        <f t="shared" si="15"/>
        <v>4.9391102319966365</v>
      </c>
      <c r="O66" s="96">
        <f>+'Proposed Rates'!D60</f>
        <v>4.9391102319966365</v>
      </c>
      <c r="P66" s="96">
        <f t="shared" si="23"/>
        <v>16195.523708920189</v>
      </c>
      <c r="Q66" s="96">
        <f t="shared" si="24"/>
        <v>16324.791196586084</v>
      </c>
      <c r="R66" s="96">
        <f t="shared" si="25"/>
        <v>129.26748766589481</v>
      </c>
      <c r="S66" s="96">
        <f t="shared" si="26"/>
        <v>16324.791196586084</v>
      </c>
      <c r="T66" s="96">
        <f t="shared" si="27"/>
        <v>0</v>
      </c>
      <c r="U66" s="111">
        <f t="shared" si="28"/>
        <v>4.9391102319966365</v>
      </c>
      <c r="V66" s="111">
        <f t="shared" si="29"/>
        <v>16324.791196586084</v>
      </c>
      <c r="W66" s="111">
        <f t="shared" si="30"/>
        <v>129.26748766589481</v>
      </c>
      <c r="X66" s="175">
        <f>I66*(References!$C$55/References!$G$58)</f>
        <v>129.26748766589708</v>
      </c>
      <c r="Y66" s="96">
        <f t="shared" si="16"/>
        <v>-2.2737367544323206E-12</v>
      </c>
      <c r="AA66" s="281">
        <f>(G66*$D$101*References!$C$55)/References!$G$58</f>
        <v>3.9110231996636519E-2</v>
      </c>
      <c r="AB66" s="110">
        <f t="shared" si="20"/>
        <v>0</v>
      </c>
    </row>
    <row r="67" spans="1:31">
      <c r="A67" s="266"/>
      <c r="B67" s="132">
        <v>21</v>
      </c>
      <c r="C67" s="1" t="s">
        <v>124</v>
      </c>
      <c r="D67" s="79">
        <f>+VLOOKUP(C67,'Whitman Reg - Price Out'!B:G,6,FALSE)</f>
        <v>0.49999999999999994</v>
      </c>
      <c r="E67" s="88">
        <f>+References!B12</f>
        <v>1</v>
      </c>
      <c r="F67" s="79">
        <f>D67*E67*References!$B$50</f>
        <v>5.9999999999999991</v>
      </c>
      <c r="G67" s="82">
        <f>References!$B$26</f>
        <v>34</v>
      </c>
      <c r="H67" s="79">
        <f t="shared" si="14"/>
        <v>203.99999999999997</v>
      </c>
      <c r="I67" s="79">
        <f>H67*$D$101</f>
        <v>134.45126747787154</v>
      </c>
      <c r="J67" s="96">
        <f>I67*References!$C$55</f>
        <v>0.26890253495574334</v>
      </c>
      <c r="K67" s="96">
        <f>J67/References!$G$58</f>
        <v>0.27512025266599482</v>
      </c>
      <c r="L67" s="96">
        <f t="shared" si="42"/>
        <v>4.5853375444332475E-2</v>
      </c>
      <c r="M67" s="96">
        <f>+'Proposed Rates'!B7</f>
        <v>4.8</v>
      </c>
      <c r="N67" s="96">
        <f t="shared" si="15"/>
        <v>4.8458533754443325</v>
      </c>
      <c r="O67" s="96">
        <f>+'Proposed Rates'!D7</f>
        <v>4.8458533754443325</v>
      </c>
      <c r="P67" s="96">
        <f t="shared" si="23"/>
        <v>28.799999999999994</v>
      </c>
      <c r="Q67" s="96">
        <f t="shared" si="24"/>
        <v>29.07512025266599</v>
      </c>
      <c r="R67" s="96">
        <f t="shared" si="25"/>
        <v>0.27512025266599593</v>
      </c>
      <c r="S67" s="96">
        <f t="shared" si="26"/>
        <v>29.07512025266599</v>
      </c>
      <c r="T67" s="97">
        <f t="shared" si="27"/>
        <v>0</v>
      </c>
      <c r="U67" s="111">
        <f t="shared" si="28"/>
        <v>4.8458533754443325</v>
      </c>
      <c r="V67" s="111">
        <f t="shared" si="29"/>
        <v>29.07512025266599</v>
      </c>
      <c r="W67" s="111">
        <f t="shared" si="30"/>
        <v>0.27512025266599593</v>
      </c>
      <c r="X67" s="175">
        <f>I67*(References!$C$55/References!$G$58)</f>
        <v>0.27512025266599482</v>
      </c>
      <c r="Y67" s="96">
        <f t="shared" si="16"/>
        <v>1.1102230246251565E-15</v>
      </c>
      <c r="AA67" s="281">
        <f>(G67*$D$101*References!$C$55)/References!$G$58</f>
        <v>4.5853375444332468E-2</v>
      </c>
      <c r="AB67" s="110">
        <f t="shared" si="20"/>
        <v>0</v>
      </c>
    </row>
    <row r="68" spans="1:31">
      <c r="A68" s="266"/>
      <c r="B68" s="132">
        <v>37</v>
      </c>
      <c r="C68" s="1" t="s">
        <v>128</v>
      </c>
      <c r="D68" s="79">
        <f>+VLOOKUP(C68,'Whitman Reg - Price Out'!B:G,6,FALSE)</f>
        <v>0.75</v>
      </c>
      <c r="E68" s="88">
        <f>+References!B12</f>
        <v>1</v>
      </c>
      <c r="F68" s="79">
        <f>D68*E68*References!$B$50</f>
        <v>9</v>
      </c>
      <c r="G68" s="79">
        <f>+References!B29</f>
        <v>175</v>
      </c>
      <c r="H68" s="79">
        <f t="shared" si="14"/>
        <v>1575</v>
      </c>
      <c r="I68" s="79">
        <f>H68*$D$101</f>
        <v>1038.0428739100378</v>
      </c>
      <c r="J68" s="96">
        <f>I68*References!$C$55</f>
        <v>2.0760857478200774</v>
      </c>
      <c r="K68" s="96">
        <f>J68/References!$G$58</f>
        <v>2.1240901860242247</v>
      </c>
      <c r="L68" s="96">
        <f t="shared" si="42"/>
        <v>0.23601002066935831</v>
      </c>
      <c r="M68" s="96">
        <f>+'Proposed Rates'!B43</f>
        <v>43.8</v>
      </c>
      <c r="N68" s="96">
        <f t="shared" si="15"/>
        <v>44.036010020669359</v>
      </c>
      <c r="O68" s="96">
        <f>+'Proposed Rates'!D43</f>
        <v>44.036010020669359</v>
      </c>
      <c r="P68" s="96">
        <f t="shared" si="23"/>
        <v>394.2</v>
      </c>
      <c r="Q68" s="96">
        <f t="shared" si="24"/>
        <v>396.32409018602425</v>
      </c>
      <c r="R68" s="96">
        <f t="shared" si="25"/>
        <v>2.1240901860242616</v>
      </c>
      <c r="S68" s="96">
        <f t="shared" si="26"/>
        <v>396.32409018602425</v>
      </c>
      <c r="T68" s="96">
        <f t="shared" si="27"/>
        <v>0</v>
      </c>
      <c r="U68" s="111">
        <f t="shared" si="28"/>
        <v>44.036010020669359</v>
      </c>
      <c r="V68" s="111">
        <f t="shared" si="29"/>
        <v>396.32409018602425</v>
      </c>
      <c r="W68" s="111">
        <f t="shared" si="30"/>
        <v>2.1240901860242616</v>
      </c>
      <c r="X68" s="175">
        <f>I68*(References!$C$55/References!$G$58)</f>
        <v>2.1240901860242247</v>
      </c>
      <c r="Y68" s="96">
        <f t="shared" si="16"/>
        <v>3.6859404417555197E-14</v>
      </c>
      <c r="AA68" s="281">
        <f>(G68*$D$101*References!$C$55)/References!$G$58</f>
        <v>0.23601002066935831</v>
      </c>
      <c r="AB68" s="110">
        <f t="shared" si="20"/>
        <v>0</v>
      </c>
    </row>
    <row r="69" spans="1:31">
      <c r="A69" s="266"/>
      <c r="B69" s="132">
        <v>37</v>
      </c>
      <c r="C69" s="1" t="s">
        <v>130</v>
      </c>
      <c r="D69" s="79">
        <f>+VLOOKUP(C69,'Whitman Reg - Price Out'!B:G,6,FALSE)</f>
        <v>1.915664114716247</v>
      </c>
      <c r="E69" s="88">
        <f>+References!B12</f>
        <v>1</v>
      </c>
      <c r="F69" s="79">
        <f>D69*E69*References!$B$50</f>
        <v>22.987969376594965</v>
      </c>
      <c r="G69" s="79">
        <f>+References!B30</f>
        <v>250</v>
      </c>
      <c r="H69" s="79">
        <f t="shared" si="14"/>
        <v>5746.9923441487408</v>
      </c>
      <c r="I69" s="79">
        <f>H69*$D$101</f>
        <v>3787.6980630216785</v>
      </c>
      <c r="J69" s="96">
        <f>I69*References!$C$55</f>
        <v>7.5753961260433638</v>
      </c>
      <c r="K69" s="96">
        <f>J69/References!$G$58</f>
        <v>7.7505587538810756</v>
      </c>
      <c r="L69" s="96">
        <f t="shared" si="42"/>
        <v>0.33715717238479753</v>
      </c>
      <c r="M69" s="96">
        <f>+'Proposed Rates'!B44</f>
        <v>62.97</v>
      </c>
      <c r="N69" s="96">
        <f t="shared" si="15"/>
        <v>63.307157172384798</v>
      </c>
      <c r="O69" s="96">
        <f>+'Proposed Rates'!D44</f>
        <v>63.307157172384798</v>
      </c>
      <c r="P69" s="96">
        <f t="shared" si="23"/>
        <v>1447.5524316441849</v>
      </c>
      <c r="Q69" s="96">
        <f t="shared" si="24"/>
        <v>1455.302990398066</v>
      </c>
      <c r="R69" s="96">
        <f t="shared" si="25"/>
        <v>7.7505587538810232</v>
      </c>
      <c r="S69" s="96">
        <f t="shared" si="26"/>
        <v>1455.302990398066</v>
      </c>
      <c r="T69" s="96">
        <f t="shared" si="27"/>
        <v>0</v>
      </c>
      <c r="U69" s="111">
        <f t="shared" si="28"/>
        <v>63.307157172384798</v>
      </c>
      <c r="V69" s="111">
        <f t="shared" si="29"/>
        <v>1455.302990398066</v>
      </c>
      <c r="W69" s="111">
        <f t="shared" si="30"/>
        <v>7.7505587538810232</v>
      </c>
      <c r="X69" s="175">
        <f>I69*(References!$C$55/References!$G$58)</f>
        <v>7.7505587538810765</v>
      </c>
      <c r="Y69" s="96">
        <f t="shared" si="16"/>
        <v>-5.3290705182007514E-14</v>
      </c>
      <c r="AA69" s="281">
        <f>(G69*$D$101*References!$C$55)/References!$G$58</f>
        <v>0.33715717238479753</v>
      </c>
      <c r="AB69" s="110">
        <f t="shared" si="20"/>
        <v>0</v>
      </c>
    </row>
    <row r="70" spans="1:31">
      <c r="A70" s="266"/>
      <c r="B70" s="132">
        <v>37</v>
      </c>
      <c r="C70" s="1" t="s">
        <v>132</v>
      </c>
      <c r="D70" s="79">
        <f>+VLOOKUP(C70,'Whitman Reg - Price Out'!B:G,6,FALSE)</f>
        <v>2.1661251224921343</v>
      </c>
      <c r="E70" s="88">
        <f>+References!B12</f>
        <v>1</v>
      </c>
      <c r="F70" s="79">
        <f>D70*E70*References!$B$50</f>
        <v>25.99350146990561</v>
      </c>
      <c r="G70" s="79">
        <f>+References!B32</f>
        <v>324</v>
      </c>
      <c r="H70" s="79">
        <f t="shared" si="14"/>
        <v>8421.8944762494175</v>
      </c>
      <c r="I70" s="79">
        <f>H70*$D$101</f>
        <v>5550.6587592971537</v>
      </c>
      <c r="J70" s="96">
        <f>I70*References!$C$55</f>
        <v>11.101317518594318</v>
      </c>
      <c r="K70" s="96">
        <f>J70/References!$G$58</f>
        <v>11.358008510941596</v>
      </c>
      <c r="L70" s="96">
        <f t="shared" si="42"/>
        <v>0.43695569541069762</v>
      </c>
      <c r="M70" s="96">
        <f>+'Proposed Rates'!B45</f>
        <v>74.22</v>
      </c>
      <c r="N70" s="96">
        <f t="shared" si="15"/>
        <v>74.656955695410701</v>
      </c>
      <c r="O70" s="96">
        <f>+'Proposed Rates'!D45</f>
        <v>74.656955695410701</v>
      </c>
      <c r="P70" s="96">
        <f t="shared" si="23"/>
        <v>1929.2376790963942</v>
      </c>
      <c r="Q70" s="96">
        <f t="shared" si="24"/>
        <v>1940.595687607336</v>
      </c>
      <c r="R70" s="96">
        <f t="shared" si="25"/>
        <v>11.358008510941772</v>
      </c>
      <c r="S70" s="96">
        <f t="shared" si="26"/>
        <v>1940.595687607336</v>
      </c>
      <c r="T70" s="96">
        <f t="shared" si="27"/>
        <v>0</v>
      </c>
      <c r="U70" s="111">
        <f t="shared" si="28"/>
        <v>74.656955695410701</v>
      </c>
      <c r="V70" s="111">
        <f t="shared" si="29"/>
        <v>1940.595687607336</v>
      </c>
      <c r="W70" s="111">
        <f t="shared" si="30"/>
        <v>11.358008510941772</v>
      </c>
      <c r="X70" s="175">
        <f>I70*(References!$C$55/References!$G$58)</f>
        <v>11.358008510941598</v>
      </c>
      <c r="Y70" s="96">
        <f t="shared" si="16"/>
        <v>1.7408297026122455E-13</v>
      </c>
      <c r="AA70" s="281">
        <f>(G70*$D$101*References!$C$55)/References!$G$58</f>
        <v>0.43695569541069768</v>
      </c>
      <c r="AB70" s="110">
        <f t="shared" si="20"/>
        <v>0</v>
      </c>
    </row>
    <row r="71" spans="1:31">
      <c r="A71" s="266"/>
      <c r="B71" s="132">
        <v>37</v>
      </c>
      <c r="C71" s="1" t="s">
        <v>134</v>
      </c>
      <c r="D71" s="79">
        <f>+VLOOKUP(C71,'Whitman Reg - Price Out'!B:G,6,FALSE)</f>
        <v>0.91666666666666685</v>
      </c>
      <c r="E71" s="88">
        <f>+References!B12</f>
        <v>1</v>
      </c>
      <c r="F71" s="79">
        <f>D71*E71*References!$B$50</f>
        <v>11.000000000000002</v>
      </c>
      <c r="G71" s="79">
        <f>+References!B33</f>
        <v>473</v>
      </c>
      <c r="H71" s="79">
        <f t="shared" si="14"/>
        <v>5203.0000000000009</v>
      </c>
      <c r="I71" s="79">
        <f>H71*$D$101</f>
        <v>3429.1663955263029</v>
      </c>
      <c r="J71" s="96">
        <f>I71*References!$C$55</f>
        <v>6.8583327910526117</v>
      </c>
      <c r="K71" s="96">
        <f>J71/References!$G$58</f>
        <v>7.0169150716724076</v>
      </c>
      <c r="L71" s="96">
        <f t="shared" si="42"/>
        <v>0.63790137015203696</v>
      </c>
      <c r="M71" s="96">
        <f>+'Proposed Rates'!B46</f>
        <v>95.77</v>
      </c>
      <c r="N71" s="96">
        <f t="shared" si="15"/>
        <v>96.407901370152032</v>
      </c>
      <c r="O71" s="96">
        <f>+'Proposed Rates'!D46</f>
        <v>96.407901370152032</v>
      </c>
      <c r="P71" s="96">
        <f t="shared" si="23"/>
        <v>1053.47</v>
      </c>
      <c r="Q71" s="96">
        <f t="shared" si="24"/>
        <v>1060.4869150716725</v>
      </c>
      <c r="R71" s="96">
        <f t="shared" si="25"/>
        <v>7.0169150716724289</v>
      </c>
      <c r="S71" s="96">
        <f t="shared" si="26"/>
        <v>1060.4869150716725</v>
      </c>
      <c r="T71" s="96">
        <f t="shared" si="27"/>
        <v>0</v>
      </c>
      <c r="U71" s="111">
        <f t="shared" si="28"/>
        <v>96.407901370152032</v>
      </c>
      <c r="V71" s="111">
        <f t="shared" si="29"/>
        <v>1060.4869150716725</v>
      </c>
      <c r="W71" s="111">
        <f t="shared" si="30"/>
        <v>7.0169150716724289</v>
      </c>
      <c r="X71" s="175">
        <f>I71*(References!$C$55/References!$G$58)</f>
        <v>7.0169150716724085</v>
      </c>
      <c r="Y71" s="96">
        <f t="shared" si="16"/>
        <v>2.042810365310288E-14</v>
      </c>
      <c r="AA71" s="281">
        <f>(G71*$D$101*References!$C$55)/References!$G$58</f>
        <v>0.63790137015203696</v>
      </c>
      <c r="AB71" s="110">
        <f t="shared" si="20"/>
        <v>0</v>
      </c>
    </row>
    <row r="72" spans="1:31">
      <c r="A72" s="266"/>
      <c r="B72" s="132">
        <v>37</v>
      </c>
      <c r="C72" s="1" t="s">
        <v>136</v>
      </c>
      <c r="D72" s="79">
        <f>+VLOOKUP(C72,'Whitman Reg - Price Out'!B:G,6,FALSE)</f>
        <v>1.0833333333333333</v>
      </c>
      <c r="E72" s="88">
        <f>+References!B12</f>
        <v>1</v>
      </c>
      <c r="F72" s="79">
        <f>D72*E72*References!$B$50</f>
        <v>13</v>
      </c>
      <c r="G72" s="79">
        <f>+References!B35</f>
        <v>613</v>
      </c>
      <c r="H72" s="79">
        <f t="shared" si="14"/>
        <v>7969</v>
      </c>
      <c r="I72" s="79">
        <f>H72*$D$101</f>
        <v>5252.1674045645022</v>
      </c>
      <c r="J72" s="96">
        <f>I72*References!$C$55</f>
        <v>10.504334809129015</v>
      </c>
      <c r="K72" s="96">
        <f>J72/References!$G$58</f>
        <v>10.747222026937809</v>
      </c>
      <c r="L72" s="96">
        <f t="shared" si="42"/>
        <v>0.82670938668752381</v>
      </c>
      <c r="M72" s="96">
        <f>+'Proposed Rates'!B47</f>
        <v>118.66</v>
      </c>
      <c r="N72" s="96">
        <f t="shared" si="15"/>
        <v>119.48670938668752</v>
      </c>
      <c r="O72" s="96">
        <f>+'Proposed Rates'!D47</f>
        <v>119.48670938668752</v>
      </c>
      <c r="P72" s="96">
        <f t="shared" si="23"/>
        <v>1542.58</v>
      </c>
      <c r="Q72" s="96">
        <f t="shared" si="24"/>
        <v>1553.3272220269378</v>
      </c>
      <c r="R72" s="96">
        <f t="shared" si="25"/>
        <v>10.747222026937834</v>
      </c>
      <c r="S72" s="96">
        <f t="shared" si="26"/>
        <v>1553.3272220269378</v>
      </c>
      <c r="T72" s="96">
        <f t="shared" si="27"/>
        <v>0</v>
      </c>
      <c r="U72" s="111">
        <f t="shared" si="28"/>
        <v>119.48670938668752</v>
      </c>
      <c r="V72" s="111">
        <f t="shared" si="29"/>
        <v>1553.3272220269378</v>
      </c>
      <c r="W72" s="111">
        <f t="shared" si="30"/>
        <v>10.747222026937834</v>
      </c>
      <c r="X72" s="175">
        <f>I72*(References!$C$55/References!$G$58)</f>
        <v>10.747222026937809</v>
      </c>
      <c r="Y72" s="96">
        <f t="shared" si="16"/>
        <v>2.4868995751603507E-14</v>
      </c>
      <c r="AA72" s="281">
        <f>(G72*$D$101*References!$C$55)/References!$G$58</f>
        <v>0.8267093866875237</v>
      </c>
      <c r="AB72" s="110">
        <f t="shared" si="20"/>
        <v>0</v>
      </c>
    </row>
    <row r="73" spans="1:31" s="74" customFormat="1">
      <c r="A73" s="266"/>
      <c r="B73" s="132">
        <v>37</v>
      </c>
      <c r="C73" s="74" t="s">
        <v>353</v>
      </c>
      <c r="D73" s="79">
        <f>+VLOOKUP(C73,'Whitman Reg - Price Out'!B:G,6,FALSE)</f>
        <v>0.17896665708536938</v>
      </c>
      <c r="E73" s="88">
        <f>+References!B12</f>
        <v>1</v>
      </c>
      <c r="F73" s="79">
        <f>D73*E73*References!$B$50</f>
        <v>2.1475998850244324</v>
      </c>
      <c r="G73" s="79">
        <f>+References!B37</f>
        <v>840</v>
      </c>
      <c r="H73" s="79">
        <f t="shared" ref="H73" si="43">F73*G73</f>
        <v>1803.9839034205233</v>
      </c>
      <c r="I73" s="79">
        <f>H73*$D$101</f>
        <v>1188.9604035518018</v>
      </c>
      <c r="J73" s="96">
        <f>I73*References!$C$55</f>
        <v>2.3779208071036058</v>
      </c>
      <c r="K73" s="96">
        <f>J73/References!$G$58</f>
        <v>2.4329044476198134</v>
      </c>
      <c r="L73" s="96">
        <f t="shared" si="42"/>
        <v>1.1328480992129197</v>
      </c>
      <c r="M73" s="96">
        <f>+'Proposed Rates'!B48</f>
        <v>159.99</v>
      </c>
      <c r="N73" s="96">
        <f t="shared" si="15"/>
        <v>161.12284809921292</v>
      </c>
      <c r="O73" s="96">
        <f>+'Proposed Rates'!D48</f>
        <v>161.12284809921292</v>
      </c>
      <c r="P73" s="96">
        <f t="shared" si="23"/>
        <v>343.59450560505894</v>
      </c>
      <c r="Q73" s="96">
        <f t="shared" si="24"/>
        <v>346.02741005267876</v>
      </c>
      <c r="R73" s="96">
        <f t="shared" si="25"/>
        <v>2.4329044476198192</v>
      </c>
      <c r="S73" s="96">
        <f t="shared" si="26"/>
        <v>346.02741005267876</v>
      </c>
      <c r="T73" s="96">
        <f t="shared" si="27"/>
        <v>0</v>
      </c>
      <c r="U73" s="111">
        <f t="shared" si="28"/>
        <v>161.12284809921292</v>
      </c>
      <c r="V73" s="111">
        <f t="shared" si="29"/>
        <v>346.02741005267876</v>
      </c>
      <c r="W73" s="111">
        <f t="shared" si="30"/>
        <v>2.4329044476198192</v>
      </c>
      <c r="X73" s="175">
        <f>I73*(References!$C$55/References!$G$58)</f>
        <v>2.4329044476198138</v>
      </c>
      <c r="Y73" s="96">
        <f t="shared" si="16"/>
        <v>5.3290705182007514E-15</v>
      </c>
      <c r="AA73" s="281">
        <f>(G73*$D$101*References!$C$55)/References!$G$58</f>
        <v>1.13284809921292</v>
      </c>
      <c r="AB73" s="110">
        <f t="shared" si="20"/>
        <v>0</v>
      </c>
      <c r="AC73"/>
      <c r="AD73"/>
      <c r="AE73"/>
    </row>
    <row r="74" spans="1:31" s="146" customFormat="1">
      <c r="A74" s="266"/>
      <c r="B74" s="132">
        <v>37</v>
      </c>
      <c r="C74" s="176" t="s">
        <v>465</v>
      </c>
      <c r="D74" s="79">
        <f>+VLOOKUP(C74,'Whitman Reg - Price Out'!B:G,6,FALSE)</f>
        <v>8.3333333333333329E-2</v>
      </c>
      <c r="E74" s="88">
        <v>1</v>
      </c>
      <c r="F74" s="79">
        <f>D74*E74*References!$B$50</f>
        <v>1</v>
      </c>
      <c r="G74" s="79">
        <f>+References!B39</f>
        <v>980</v>
      </c>
      <c r="H74" s="79">
        <f t="shared" ref="H74" si="44">F74*G74</f>
        <v>980</v>
      </c>
      <c r="I74" s="79">
        <f t="shared" ref="I74" si="45">H74*$D$101</f>
        <v>645.89334376624572</v>
      </c>
      <c r="J74" s="96">
        <f>I74*References!$C$55</f>
        <v>1.2917866875324926</v>
      </c>
      <c r="K74" s="96">
        <f>J74/References!$G$58</f>
        <v>1.3216561157484066</v>
      </c>
      <c r="L74" s="96">
        <f t="shared" ref="L74" si="46">K74/F74</f>
        <v>1.3216561157484066</v>
      </c>
      <c r="M74" s="96">
        <f>+'Proposed Rates'!B49</f>
        <v>202.4</v>
      </c>
      <c r="N74" s="96">
        <f t="shared" si="15"/>
        <v>203.7216561157484</v>
      </c>
      <c r="O74" s="96">
        <f>+'Proposed Rates'!D49</f>
        <v>203.7216561157484</v>
      </c>
      <c r="P74" s="96">
        <f t="shared" ref="P74" si="47">F74*M74</f>
        <v>202.4</v>
      </c>
      <c r="Q74" s="96">
        <f t="shared" ref="Q74" si="48">F74*O74</f>
        <v>203.7216561157484</v>
      </c>
      <c r="R74" s="96">
        <f t="shared" ref="R74" si="49">Q74-P74</f>
        <v>1.3216561157483966</v>
      </c>
      <c r="S74" s="96">
        <f t="shared" ref="S74" si="50">F74*N74</f>
        <v>203.7216561157484</v>
      </c>
      <c r="T74" s="96">
        <f t="shared" ref="T74" si="51">Q74-S74</f>
        <v>0</v>
      </c>
      <c r="U74" s="111">
        <f t="shared" ref="U74" si="52">N74</f>
        <v>203.7216561157484</v>
      </c>
      <c r="V74" s="111">
        <f t="shared" ref="V74" si="53">F74*U74</f>
        <v>203.7216561157484</v>
      </c>
      <c r="W74" s="111">
        <f t="shared" ref="W74" si="54">V74-P74</f>
        <v>1.3216561157483966</v>
      </c>
      <c r="X74" s="175">
        <f>I74*(References!$C$55/References!$G$58)</f>
        <v>1.3216561157484066</v>
      </c>
      <c r="Y74" s="96">
        <f t="shared" ref="Y74" si="55">W74-X74</f>
        <v>-9.9920072216264089E-15</v>
      </c>
      <c r="AA74" s="281">
        <f>(G74*$D$101*References!$C$55)/References!$G$58</f>
        <v>1.3216561157484066</v>
      </c>
      <c r="AB74" s="110">
        <f t="shared" si="20"/>
        <v>0</v>
      </c>
      <c r="AC74"/>
      <c r="AD74"/>
      <c r="AE74"/>
    </row>
    <row r="75" spans="1:31">
      <c r="A75" s="266"/>
      <c r="B75" s="132">
        <v>37</v>
      </c>
      <c r="C75" s="1" t="s">
        <v>138</v>
      </c>
      <c r="D75" s="79">
        <f>+VLOOKUP(C75,'Whitman Reg - Price Out'!B:G,6,FALSE)</f>
        <v>0.5</v>
      </c>
      <c r="E75" s="88">
        <f>+References!B12</f>
        <v>1</v>
      </c>
      <c r="F75" s="79">
        <f>D75*E75*References!$B$50</f>
        <v>6</v>
      </c>
      <c r="G75" s="79">
        <f>+References!B30</f>
        <v>250</v>
      </c>
      <c r="H75" s="79">
        <f t="shared" si="14"/>
        <v>1500</v>
      </c>
      <c r="I75" s="79">
        <f t="shared" ref="I75:I80" si="56">H75*$D$101</f>
        <v>988.61226086670263</v>
      </c>
      <c r="J75" s="96">
        <f>I75*References!$C$55</f>
        <v>1.977224521733407</v>
      </c>
      <c r="K75" s="96">
        <f>J75/References!$G$58</f>
        <v>2.0229430343087853</v>
      </c>
      <c r="L75" s="96">
        <f t="shared" si="42"/>
        <v>0.33715717238479753</v>
      </c>
      <c r="M75" s="96">
        <f>+'Proposed Rates'!B52</f>
        <v>31.92</v>
      </c>
      <c r="N75" s="96">
        <f t="shared" si="15"/>
        <v>32.257157172384801</v>
      </c>
      <c r="O75" s="96">
        <f>+'Proposed Rates'!D52</f>
        <v>32.257157172384801</v>
      </c>
      <c r="P75" s="96">
        <f t="shared" si="23"/>
        <v>191.52</v>
      </c>
      <c r="Q75" s="96">
        <f t="shared" si="24"/>
        <v>193.54294303430879</v>
      </c>
      <c r="R75" s="96">
        <f t="shared" si="25"/>
        <v>2.0229430343087813</v>
      </c>
      <c r="S75" s="96">
        <f t="shared" si="26"/>
        <v>193.54294303430879</v>
      </c>
      <c r="T75" s="96">
        <f t="shared" si="27"/>
        <v>0</v>
      </c>
      <c r="U75" s="111">
        <f t="shared" si="28"/>
        <v>32.257157172384801</v>
      </c>
      <c r="V75" s="111">
        <f t="shared" si="29"/>
        <v>193.54294303430879</v>
      </c>
      <c r="W75" s="111">
        <f t="shared" si="30"/>
        <v>2.0229430343087813</v>
      </c>
      <c r="X75" s="175">
        <f>I75*(References!$C$55/References!$G$58)</f>
        <v>2.0229430343087857</v>
      </c>
      <c r="Y75" s="96">
        <f t="shared" si="16"/>
        <v>-4.4408920985006262E-15</v>
      </c>
      <c r="AA75" s="281">
        <f>(G75*$D$101*References!$C$55)/References!$G$58</f>
        <v>0.33715717238479753</v>
      </c>
      <c r="AB75" s="110">
        <f t="shared" si="20"/>
        <v>0</v>
      </c>
    </row>
    <row r="76" spans="1:31">
      <c r="A76" s="266"/>
      <c r="B76" s="132">
        <v>37</v>
      </c>
      <c r="C76" s="1" t="s">
        <v>140</v>
      </c>
      <c r="D76" s="79">
        <f>+VLOOKUP(C76,'Whitman Reg - Price Out'!B:G,6,FALSE)</f>
        <v>0.5</v>
      </c>
      <c r="E76" s="88">
        <f>+References!B12</f>
        <v>1</v>
      </c>
      <c r="F76" s="79">
        <f>D76*E76*References!$B$50</f>
        <v>6</v>
      </c>
      <c r="G76" s="79">
        <f>+References!B29</f>
        <v>175</v>
      </c>
      <c r="H76" s="79">
        <f t="shared" si="14"/>
        <v>1050</v>
      </c>
      <c r="I76" s="79">
        <f t="shared" si="56"/>
        <v>692.02858260669188</v>
      </c>
      <c r="J76" s="96">
        <f>I76*References!$C$55</f>
        <v>1.3840571652133851</v>
      </c>
      <c r="K76" s="96">
        <f>J76/References!$G$58</f>
        <v>1.4160601240161499</v>
      </c>
      <c r="L76" s="96">
        <f t="shared" si="42"/>
        <v>0.23601002066935831</v>
      </c>
      <c r="M76" s="96">
        <f>+'Proposed Rates'!B51</f>
        <v>21.2</v>
      </c>
      <c r="N76" s="96">
        <f t="shared" si="15"/>
        <v>21.436010020669357</v>
      </c>
      <c r="O76" s="96">
        <f>+'Proposed Rates'!D51</f>
        <v>21.436010020669357</v>
      </c>
      <c r="P76" s="96">
        <f t="shared" si="23"/>
        <v>127.19999999999999</v>
      </c>
      <c r="Q76" s="96">
        <f t="shared" si="24"/>
        <v>128.61606012401614</v>
      </c>
      <c r="R76" s="96">
        <f t="shared" si="25"/>
        <v>1.4160601240161554</v>
      </c>
      <c r="S76" s="96">
        <f t="shared" si="26"/>
        <v>128.61606012401614</v>
      </c>
      <c r="T76" s="96">
        <f t="shared" si="27"/>
        <v>0</v>
      </c>
      <c r="U76" s="111">
        <f t="shared" si="28"/>
        <v>21.436010020669357</v>
      </c>
      <c r="V76" s="111">
        <f t="shared" si="29"/>
        <v>128.61606012401614</v>
      </c>
      <c r="W76" s="111">
        <f t="shared" si="30"/>
        <v>1.4160601240161554</v>
      </c>
      <c r="X76" s="175">
        <f>I76*(References!$C$55/References!$G$58)</f>
        <v>1.4160601240161501</v>
      </c>
      <c r="Y76" s="96">
        <f t="shared" si="16"/>
        <v>5.3290705182007514E-15</v>
      </c>
      <c r="AA76" s="281">
        <f>(G76*$D$101*References!$C$55)/References!$G$58</f>
        <v>0.23601002066935831</v>
      </c>
      <c r="AB76" s="110">
        <f t="shared" si="20"/>
        <v>0</v>
      </c>
    </row>
    <row r="77" spans="1:31">
      <c r="A77" s="266"/>
      <c r="B77" s="132">
        <v>37</v>
      </c>
      <c r="C77" s="1" t="s">
        <v>142</v>
      </c>
      <c r="D77" s="79">
        <f>+VLOOKUP(C77,'Whitman Reg - Price Out'!B:G,6,FALSE)</f>
        <v>2.2490832896804611</v>
      </c>
      <c r="E77" s="88">
        <f>+References!B12</f>
        <v>1</v>
      </c>
      <c r="F77" s="79">
        <f>D77*E77*References!$B$50</f>
        <v>26.988999476165532</v>
      </c>
      <c r="G77" s="79">
        <f>+References!B32</f>
        <v>324</v>
      </c>
      <c r="H77" s="79">
        <f t="shared" si="14"/>
        <v>8744.4358302776327</v>
      </c>
      <c r="I77" s="79">
        <f t="shared" si="56"/>
        <v>5763.2376507830486</v>
      </c>
      <c r="J77" s="96">
        <f>I77*References!$C$55</f>
        <v>11.526475301566107</v>
      </c>
      <c r="K77" s="96">
        <f>J77/References!$G$58</f>
        <v>11.792997034546865</v>
      </c>
      <c r="L77" s="96">
        <f t="shared" si="42"/>
        <v>0.43695569541069768</v>
      </c>
      <c r="M77" s="96">
        <f>+'Proposed Rates'!B53</f>
        <v>44.02</v>
      </c>
      <c r="N77" s="96">
        <f t="shared" si="15"/>
        <v>44.456955695410699</v>
      </c>
      <c r="O77" s="96">
        <f>+'Proposed Rates'!D53</f>
        <v>44.456955695410699</v>
      </c>
      <c r="P77" s="96">
        <f t="shared" si="23"/>
        <v>1188.0557569408068</v>
      </c>
      <c r="Q77" s="96">
        <f t="shared" si="24"/>
        <v>1199.8487539753537</v>
      </c>
      <c r="R77" s="96">
        <f t="shared" si="25"/>
        <v>11.792997034546943</v>
      </c>
      <c r="S77" s="96">
        <f t="shared" si="26"/>
        <v>1199.8487539753537</v>
      </c>
      <c r="T77" s="96">
        <f t="shared" si="27"/>
        <v>0</v>
      </c>
      <c r="U77" s="111">
        <f t="shared" si="28"/>
        <v>44.456955695410699</v>
      </c>
      <c r="V77" s="111">
        <f t="shared" si="29"/>
        <v>1199.8487539753537</v>
      </c>
      <c r="W77" s="111">
        <f t="shared" si="30"/>
        <v>11.792997034546943</v>
      </c>
      <c r="X77" s="175">
        <f>I77*(References!$C$55/References!$G$58)</f>
        <v>11.792997034546866</v>
      </c>
      <c r="Y77" s="96">
        <f t="shared" si="16"/>
        <v>7.638334409421077E-14</v>
      </c>
      <c r="AA77" s="281">
        <f>(G77*$D$101*References!$C$55)/References!$G$58</f>
        <v>0.43695569541069768</v>
      </c>
      <c r="AB77" s="110">
        <f t="shared" si="20"/>
        <v>0</v>
      </c>
    </row>
    <row r="78" spans="1:31">
      <c r="A78" s="266"/>
      <c r="B78" s="132">
        <v>37</v>
      </c>
      <c r="C78" s="1" t="s">
        <v>144</v>
      </c>
      <c r="D78" s="79">
        <f>+VLOOKUP(C78,'Whitman Reg - Price Out'!B:G,6,FALSE)</f>
        <v>4.9166666666666652</v>
      </c>
      <c r="E78" s="88">
        <f>+References!B12</f>
        <v>1</v>
      </c>
      <c r="F78" s="79">
        <f>D78*E78*References!$B$50</f>
        <v>58.999999999999986</v>
      </c>
      <c r="G78" s="79">
        <f>+References!B33</f>
        <v>473</v>
      </c>
      <c r="H78" s="79">
        <f t="shared" si="14"/>
        <v>27906.999999999993</v>
      </c>
      <c r="I78" s="79">
        <f t="shared" si="56"/>
        <v>18392.801576004709</v>
      </c>
      <c r="J78" s="96">
        <f>I78*References!$C$55</f>
        <v>36.78560315200945</v>
      </c>
      <c r="K78" s="96">
        <f>J78/References!$G$58</f>
        <v>37.636180838970176</v>
      </c>
      <c r="L78" s="96">
        <f t="shared" si="42"/>
        <v>0.63790137015203707</v>
      </c>
      <c r="M78" s="96">
        <f>+'Proposed Rates'!B54</f>
        <v>59.17</v>
      </c>
      <c r="N78" s="96">
        <f t="shared" si="15"/>
        <v>59.807901370152038</v>
      </c>
      <c r="O78" s="96">
        <f>+'Proposed Rates'!D54</f>
        <v>59.807901370152038</v>
      </c>
      <c r="P78" s="96">
        <f t="shared" si="23"/>
        <v>3491.0299999999993</v>
      </c>
      <c r="Q78" s="96">
        <f t="shared" si="24"/>
        <v>3528.6661808389695</v>
      </c>
      <c r="R78" s="96">
        <f t="shared" si="25"/>
        <v>37.636180838970176</v>
      </c>
      <c r="S78" s="96">
        <f t="shared" si="26"/>
        <v>3528.6661808389695</v>
      </c>
      <c r="T78" s="96">
        <f t="shared" si="27"/>
        <v>0</v>
      </c>
      <c r="U78" s="111">
        <f t="shared" si="28"/>
        <v>59.807901370152038</v>
      </c>
      <c r="V78" s="111">
        <f t="shared" si="29"/>
        <v>3528.6661808389695</v>
      </c>
      <c r="W78" s="111">
        <f t="shared" si="30"/>
        <v>37.636180838970176</v>
      </c>
      <c r="X78" s="175">
        <f>I78*(References!$C$55/References!$G$58)</f>
        <v>37.636180838970176</v>
      </c>
      <c r="Y78" s="96">
        <f t="shared" si="16"/>
        <v>0</v>
      </c>
      <c r="AA78" s="281">
        <f>(G78*$D$101*References!$C$55)/References!$G$58</f>
        <v>0.63790137015203696</v>
      </c>
      <c r="AB78" s="110">
        <f t="shared" si="20"/>
        <v>0</v>
      </c>
    </row>
    <row r="79" spans="1:31">
      <c r="A79" s="266"/>
      <c r="B79" s="132">
        <v>37</v>
      </c>
      <c r="C79" s="1" t="s">
        <v>146</v>
      </c>
      <c r="D79" s="79">
        <f>+VLOOKUP(C79,'Whitman Reg - Price Out'!B:G,6,FALSE)</f>
        <v>9.9583271393885333</v>
      </c>
      <c r="E79" s="88">
        <f>+References!B12</f>
        <v>1</v>
      </c>
      <c r="F79" s="79">
        <f>D79*E79*References!$B$50</f>
        <v>119.4999256726624</v>
      </c>
      <c r="G79" s="79">
        <f>+References!B35</f>
        <v>613</v>
      </c>
      <c r="H79" s="79">
        <f t="shared" si="14"/>
        <v>73253.45443734205</v>
      </c>
      <c r="I79" s="79">
        <f t="shared" si="56"/>
        <v>48279.508805064477</v>
      </c>
      <c r="J79" s="96">
        <f>I79*References!$C$55</f>
        <v>96.559017610129047</v>
      </c>
      <c r="K79" s="96">
        <f>J79/References!$G$58</f>
        <v>98.79171026205141</v>
      </c>
      <c r="L79" s="96">
        <f t="shared" si="42"/>
        <v>0.82670938668752381</v>
      </c>
      <c r="M79" s="96">
        <f>+'Proposed Rates'!B55</f>
        <v>77.61</v>
      </c>
      <c r="N79" s="96">
        <f t="shared" si="15"/>
        <v>78.436709386687525</v>
      </c>
      <c r="O79" s="96">
        <f>+'Proposed Rates'!D55</f>
        <v>78.436709386687525</v>
      </c>
      <c r="P79" s="96">
        <f t="shared" si="23"/>
        <v>9274.3892314553286</v>
      </c>
      <c r="Q79" s="96">
        <f t="shared" si="24"/>
        <v>9373.1809417173808</v>
      </c>
      <c r="R79" s="96">
        <f t="shared" si="25"/>
        <v>98.79171026205222</v>
      </c>
      <c r="S79" s="96">
        <f t="shared" si="26"/>
        <v>9373.1809417173808</v>
      </c>
      <c r="T79" s="96">
        <f t="shared" si="27"/>
        <v>0</v>
      </c>
      <c r="U79" s="111">
        <f t="shared" si="28"/>
        <v>78.436709386687525</v>
      </c>
      <c r="V79" s="111">
        <f t="shared" si="29"/>
        <v>9373.1809417173808</v>
      </c>
      <c r="W79" s="111">
        <f t="shared" si="30"/>
        <v>98.79171026205222</v>
      </c>
      <c r="X79" s="175">
        <f>I79*(References!$C$55/References!$G$58)</f>
        <v>98.79171026205141</v>
      </c>
      <c r="Y79" s="96">
        <f t="shared" si="16"/>
        <v>8.1001871876651421E-13</v>
      </c>
      <c r="AA79" s="281">
        <f>(G79*$D$101*References!$C$55)/References!$G$58</f>
        <v>0.8267093866875237</v>
      </c>
      <c r="AB79" s="110">
        <f t="shared" si="20"/>
        <v>0</v>
      </c>
    </row>
    <row r="80" spans="1:31">
      <c r="A80" s="266"/>
      <c r="B80" s="132">
        <v>30</v>
      </c>
      <c r="C80" s="1" t="s">
        <v>148</v>
      </c>
      <c r="D80" s="79">
        <f>+VLOOKUP(C80,'Whitman Reg - Price Out'!B:G,6,FALSE)</f>
        <v>32.363570741097206</v>
      </c>
      <c r="E80" s="88">
        <f>+References!B12</f>
        <v>1</v>
      </c>
      <c r="F80" s="79">
        <f>D80*E80*References!$B$50</f>
        <v>388.36284889316647</v>
      </c>
      <c r="G80" s="79">
        <f>+References!B48</f>
        <v>125</v>
      </c>
      <c r="H80" s="79">
        <f t="shared" si="14"/>
        <v>48545.356111645808</v>
      </c>
      <c r="I80" s="79">
        <f t="shared" si="56"/>
        <v>31995.022840075573</v>
      </c>
      <c r="J80" s="96">
        <f>I80*References!$C$55</f>
        <v>63.990045680151205</v>
      </c>
      <c r="K80" s="96">
        <f>J80/References!$G$58</f>
        <v>65.469659996062205</v>
      </c>
      <c r="L80" s="96">
        <f t="shared" si="42"/>
        <v>0.16857858619239877</v>
      </c>
      <c r="M80" s="96">
        <f>+'Proposed Rates'!B27</f>
        <v>23.89</v>
      </c>
      <c r="N80" s="96">
        <f t="shared" si="15"/>
        <v>24.0585785861924</v>
      </c>
      <c r="O80" s="96">
        <f>+'Proposed Rates'!D27</f>
        <v>24.0585785861924</v>
      </c>
      <c r="P80" s="96">
        <f t="shared" si="23"/>
        <v>9277.9884600577479</v>
      </c>
      <c r="Q80" s="96">
        <f t="shared" si="24"/>
        <v>9343.4581200538105</v>
      </c>
      <c r="R80" s="96">
        <f t="shared" si="25"/>
        <v>65.469659996062546</v>
      </c>
      <c r="S80" s="96">
        <f t="shared" si="26"/>
        <v>9343.4581200538105</v>
      </c>
      <c r="T80" s="96">
        <f t="shared" si="27"/>
        <v>0</v>
      </c>
      <c r="U80" s="111">
        <f t="shared" si="28"/>
        <v>24.0585785861924</v>
      </c>
      <c r="V80" s="111">
        <f t="shared" si="29"/>
        <v>9343.4581200538105</v>
      </c>
      <c r="W80" s="111">
        <f t="shared" si="30"/>
        <v>65.469659996062546</v>
      </c>
      <c r="X80" s="175">
        <f>I80*(References!$C$55/References!$G$58)</f>
        <v>65.469659996062205</v>
      </c>
      <c r="Y80" s="96">
        <f t="shared" si="16"/>
        <v>3.4106051316484809E-13</v>
      </c>
      <c r="AA80" s="281">
        <f>(G80*$D$101*References!$C$55)/References!$G$58</f>
        <v>0.16857858619239877</v>
      </c>
      <c r="AB80" s="110">
        <f t="shared" si="20"/>
        <v>0</v>
      </c>
    </row>
    <row r="81" spans="1:31">
      <c r="A81" s="64"/>
      <c r="B81" s="62"/>
      <c r="C81" s="60" t="s">
        <v>0</v>
      </c>
      <c r="D81" s="80">
        <f>SUM(D25:D80)</f>
        <v>1079.4368605078789</v>
      </c>
      <c r="E81" s="89"/>
      <c r="F81" s="80">
        <f>SUM(F25:F80)</f>
        <v>44665.751464030342</v>
      </c>
      <c r="G81" s="81"/>
      <c r="H81" s="80">
        <f>SUM(H25:H80)</f>
        <v>9338681.0331345405</v>
      </c>
      <c r="I81" s="80">
        <f>SUM(I25:I80)</f>
        <v>6154889.7131200852</v>
      </c>
      <c r="J81" s="98"/>
      <c r="K81" s="98"/>
      <c r="L81" s="99"/>
      <c r="M81" s="99"/>
      <c r="N81" s="99"/>
      <c r="O81" s="99"/>
      <c r="P81" s="98">
        <f>SUM(P25:P80)</f>
        <v>1090458.4529857258</v>
      </c>
      <c r="Q81" s="98">
        <f>SUM(Q25:Q80)</f>
        <v>1103052.8661494667</v>
      </c>
      <c r="R81" s="98">
        <f>SUM(R25:R80)</f>
        <v>12594.41316374073</v>
      </c>
      <c r="S81" s="98">
        <f>SUM(S25:S80)</f>
        <v>1103052.8661494667</v>
      </c>
      <c r="T81" s="98">
        <f>SUM(T25:T80)</f>
        <v>0</v>
      </c>
      <c r="U81" s="98"/>
      <c r="V81" s="98">
        <f>SUM(V25:V80)</f>
        <v>1103052.8661494667</v>
      </c>
      <c r="W81" s="98">
        <f>SUM(W25:W80)</f>
        <v>12594.41316374073</v>
      </c>
    </row>
    <row r="82" spans="1:31">
      <c r="C82" s="63" t="s">
        <v>423</v>
      </c>
      <c r="D82" s="83">
        <f>+D24+D81</f>
        <v>4783.2513153780083</v>
      </c>
      <c r="F82" s="83">
        <f>+F24+F81</f>
        <v>221403.36777061998</v>
      </c>
      <c r="H82" s="83">
        <f>+H24+H81</f>
        <v>18403190.924600564</v>
      </c>
      <c r="I82" s="83">
        <f>+I24+I81</f>
        <v>12129080.124753961</v>
      </c>
      <c r="P82" s="100">
        <f>+P24+P81</f>
        <v>2311392.4976969981</v>
      </c>
      <c r="Q82" s="100">
        <f>+Q24+Q81</f>
        <v>2336210.7894495996</v>
      </c>
      <c r="R82" s="100">
        <f>+R24+R81</f>
        <v>24818.291752600908</v>
      </c>
      <c r="S82" s="100">
        <f>+S24+S81</f>
        <v>2336210.7894495996</v>
      </c>
      <c r="T82" s="100">
        <f>+T24+T81</f>
        <v>0</v>
      </c>
      <c r="U82" s="100"/>
      <c r="V82" s="100">
        <f>+V24+V81</f>
        <v>2336211.5689569823</v>
      </c>
      <c r="W82" s="100">
        <f>+W24+W81</f>
        <v>24819.071259983462</v>
      </c>
    </row>
    <row r="84" spans="1:31">
      <c r="W84" s="1"/>
      <c r="Z84"/>
      <c r="AE84" s="1"/>
    </row>
    <row r="85" spans="1:31" ht="15" customHeight="1">
      <c r="A85" s="39"/>
      <c r="B85" s="40"/>
      <c r="C85" s="41" t="s">
        <v>327</v>
      </c>
      <c r="D85" s="84"/>
      <c r="E85" s="90"/>
      <c r="F85" s="42"/>
      <c r="G85" s="42"/>
      <c r="H85" s="42"/>
      <c r="I85" s="42"/>
      <c r="J85" s="101"/>
      <c r="K85" s="102"/>
      <c r="L85" s="102"/>
      <c r="M85" s="102"/>
      <c r="N85" s="102"/>
      <c r="O85" s="102"/>
      <c r="Q85" s="96" t="s">
        <v>253</v>
      </c>
      <c r="R85" s="96">
        <f>+R24</f>
        <v>12223.878588860178</v>
      </c>
      <c r="S85" s="59">
        <f>+R24/P24</f>
        <v>1.0011907393204761E-2</v>
      </c>
      <c r="W85" s="1"/>
      <c r="Z85"/>
      <c r="AE85" s="1"/>
    </row>
    <row r="86" spans="1:31">
      <c r="A86" s="266" t="s">
        <v>438</v>
      </c>
      <c r="B86" s="132">
        <v>26</v>
      </c>
      <c r="C86" s="44" t="s">
        <v>328</v>
      </c>
      <c r="D86" s="35">
        <v>0</v>
      </c>
      <c r="E86" s="91">
        <f>+References!B10</f>
        <v>4.333333333333333</v>
      </c>
      <c r="F86" s="34">
        <f>E86*References!$B$50</f>
        <v>52</v>
      </c>
      <c r="G86" s="34">
        <f>+References!B21</f>
        <v>117</v>
      </c>
      <c r="H86" s="34">
        <f>F86*G86/References!B50</f>
        <v>507</v>
      </c>
      <c r="I86" s="79">
        <f t="shared" ref="I86:I91" si="57">H86*$D$101</f>
        <v>334.15094417294546</v>
      </c>
      <c r="J86" s="96">
        <f>I86*References!$C$55</f>
        <v>0.66830188834589155</v>
      </c>
      <c r="K86" s="96">
        <f>J86/References!$G$58</f>
        <v>0.68375474559636951</v>
      </c>
      <c r="L86" s="96">
        <f>K86</f>
        <v>0.68375474559636951</v>
      </c>
      <c r="M86" s="103">
        <f>'Proposed Rates'!B15</f>
        <v>58.7</v>
      </c>
      <c r="N86" s="103">
        <f t="shared" ref="N86:N91" si="58">K86+M86</f>
        <v>59.38375474559637</v>
      </c>
      <c r="O86" s="103">
        <f>'Proposed Rates'!D15</f>
        <v>59.38375474559637</v>
      </c>
      <c r="Q86" s="96" t="s">
        <v>254</v>
      </c>
      <c r="R86" s="96">
        <f>+R81</f>
        <v>12594.41316374073</v>
      </c>
      <c r="S86" s="59">
        <f>+R81/P81</f>
        <v>1.1549649717746368E-2</v>
      </c>
      <c r="W86" s="1"/>
      <c r="Z86"/>
      <c r="AE86" s="1"/>
    </row>
    <row r="87" spans="1:31">
      <c r="A87" s="267"/>
      <c r="B87" s="132">
        <v>26</v>
      </c>
      <c r="C87" s="45" t="s">
        <v>329</v>
      </c>
      <c r="D87" s="85">
        <v>0</v>
      </c>
      <c r="E87" s="92">
        <f>+References!B10</f>
        <v>4.333333333333333</v>
      </c>
      <c r="F87" s="149">
        <f>E87*References!$B$50</f>
        <v>52</v>
      </c>
      <c r="G87" s="46">
        <f>+References!B22</f>
        <v>157</v>
      </c>
      <c r="H87" s="46">
        <f>F87*G87/References!$B$50</f>
        <v>680.33333333333337</v>
      </c>
      <c r="I87" s="46">
        <f t="shared" si="57"/>
        <v>448.39058320643113</v>
      </c>
      <c r="J87" s="96">
        <f>I87*References!$C$55</f>
        <v>0.8967811664128631</v>
      </c>
      <c r="K87" s="104">
        <f>J87/References!$G$58</f>
        <v>0.91751705178316256</v>
      </c>
      <c r="L87" s="104">
        <f>K87</f>
        <v>0.91751705178316256</v>
      </c>
      <c r="M87" s="105">
        <f>'Proposed Rates'!B16</f>
        <v>69.31</v>
      </c>
      <c r="N87" s="105">
        <f t="shared" si="58"/>
        <v>70.227517051783167</v>
      </c>
      <c r="O87" s="105">
        <f>'Proposed Rates'!D16</f>
        <v>70.227517051783167</v>
      </c>
      <c r="Q87" s="96" t="s">
        <v>0</v>
      </c>
      <c r="R87" s="107">
        <f>SUM(R85:R86)</f>
        <v>24818.291752600908</v>
      </c>
      <c r="W87" s="1"/>
      <c r="Z87"/>
      <c r="AE87" s="1"/>
    </row>
    <row r="88" spans="1:31">
      <c r="A88" s="266" t="s">
        <v>441</v>
      </c>
      <c r="B88" s="142">
        <v>38</v>
      </c>
      <c r="C88" s="47" t="s">
        <v>313</v>
      </c>
      <c r="D88" s="86">
        <v>0</v>
      </c>
      <c r="E88" s="93">
        <v>1</v>
      </c>
      <c r="F88" s="48">
        <f t="shared" ref="F88:F91" si="59">E88*12</f>
        <v>12</v>
      </c>
      <c r="G88" s="49">
        <f>+References!B23</f>
        <v>47</v>
      </c>
      <c r="H88" s="48">
        <f>F88*G88/References!$B$50</f>
        <v>47</v>
      </c>
      <c r="I88" s="48">
        <f t="shared" si="57"/>
        <v>30.976517507156682</v>
      </c>
      <c r="J88" s="107">
        <f>References!$C$55*I88</f>
        <v>6.1953035014313422E-2</v>
      </c>
      <c r="K88" s="108">
        <f>+J88/References!$G$58</f>
        <v>6.3385548408341943E-2</v>
      </c>
      <c r="L88" s="107">
        <f t="shared" ref="L88:L91" si="60">K88</f>
        <v>6.3385548408341943E-2</v>
      </c>
      <c r="M88" s="108">
        <f>'Proposed Rates'!B64</f>
        <v>9.1300000000000008</v>
      </c>
      <c r="N88" s="108">
        <f t="shared" si="58"/>
        <v>9.193385548408342</v>
      </c>
      <c r="O88" s="108">
        <f>'Proposed Rates'!D64</f>
        <v>9.193385548408342</v>
      </c>
      <c r="W88" s="1"/>
      <c r="Z88"/>
      <c r="AE88" s="1"/>
    </row>
    <row r="89" spans="1:31">
      <c r="A89" s="266"/>
      <c r="B89" s="32">
        <v>38</v>
      </c>
      <c r="C89" s="50" t="s">
        <v>330</v>
      </c>
      <c r="D89" s="35">
        <v>0</v>
      </c>
      <c r="E89" s="94">
        <v>1</v>
      </c>
      <c r="F89" s="34">
        <f t="shared" si="59"/>
        <v>12</v>
      </c>
      <c r="G89" s="151">
        <f>+References!B23</f>
        <v>47</v>
      </c>
      <c r="H89" s="34">
        <f>F89*G89/References!$B$50</f>
        <v>47</v>
      </c>
      <c r="I89" s="34">
        <f t="shared" si="57"/>
        <v>30.976517507156682</v>
      </c>
      <c r="J89" s="106">
        <f>References!$C$55*I89</f>
        <v>6.1953035014313422E-2</v>
      </c>
      <c r="K89" s="103">
        <f>+J89/References!$G$58</f>
        <v>6.3385548408341943E-2</v>
      </c>
      <c r="L89" s="106">
        <f t="shared" si="60"/>
        <v>6.3385548408341943E-2</v>
      </c>
      <c r="M89" s="103">
        <f>'Proposed Rates'!B65</f>
        <v>18.16</v>
      </c>
      <c r="N89" s="103">
        <f t="shared" si="58"/>
        <v>18.223385548408341</v>
      </c>
      <c r="O89" s="103">
        <f>'Proposed Rates'!D65</f>
        <v>18.223385548408341</v>
      </c>
      <c r="Q89" s="96" t="s">
        <v>439</v>
      </c>
      <c r="R89" s="96">
        <f>+'Disposal Schedule'!C22/References!B53*References!B55</f>
        <v>3075.5007272727271</v>
      </c>
      <c r="S89" s="59">
        <f>+References!D55</f>
        <v>3.6363636363636362E-2</v>
      </c>
      <c r="W89" s="1"/>
      <c r="Z89"/>
      <c r="AE89" s="1"/>
    </row>
    <row r="90" spans="1:31">
      <c r="A90" s="266"/>
      <c r="B90" s="32">
        <v>38</v>
      </c>
      <c r="C90" s="52" t="s">
        <v>314</v>
      </c>
      <c r="D90" s="35">
        <v>0</v>
      </c>
      <c r="E90" s="94">
        <v>1</v>
      </c>
      <c r="F90" s="34">
        <f t="shared" si="59"/>
        <v>12</v>
      </c>
      <c r="G90" s="51">
        <f>+References!B24</f>
        <v>68</v>
      </c>
      <c r="H90" s="34">
        <f>F90*G90/References!$B$50</f>
        <v>68</v>
      </c>
      <c r="I90" s="34">
        <f t="shared" si="57"/>
        <v>44.817089159290518</v>
      </c>
      <c r="J90" s="106">
        <f>References!$C$55*I90</f>
        <v>8.9634178318581115E-2</v>
      </c>
      <c r="K90" s="103">
        <f>+J90/References!$G$58</f>
        <v>9.1706750888664937E-2</v>
      </c>
      <c r="L90" s="106">
        <f t="shared" si="60"/>
        <v>9.1706750888664937E-2</v>
      </c>
      <c r="M90" s="103">
        <f>'Proposed Rates'!B68</f>
        <v>10.93</v>
      </c>
      <c r="N90" s="103">
        <f t="shared" si="58"/>
        <v>11.021706750888665</v>
      </c>
      <c r="O90" s="103">
        <f>'Proposed Rates'!D68</f>
        <v>11.021706750888665</v>
      </c>
      <c r="W90" s="1"/>
      <c r="Z90"/>
      <c r="AE90" s="1"/>
    </row>
    <row r="91" spans="1:31">
      <c r="A91" s="266"/>
      <c r="B91" s="32">
        <v>38</v>
      </c>
      <c r="C91" s="52" t="s">
        <v>331</v>
      </c>
      <c r="D91" s="148">
        <v>0</v>
      </c>
      <c r="E91" s="152">
        <v>1</v>
      </c>
      <c r="F91" s="149">
        <f t="shared" si="59"/>
        <v>12</v>
      </c>
      <c r="G91" s="151">
        <f>+References!B24</f>
        <v>68</v>
      </c>
      <c r="H91" s="149">
        <f>F91*G91/References!$B$50</f>
        <v>68</v>
      </c>
      <c r="I91" s="149">
        <f t="shared" si="57"/>
        <v>44.817089159290518</v>
      </c>
      <c r="J91" s="106">
        <f>References!$C$55*I91</f>
        <v>8.9634178318581115E-2</v>
      </c>
      <c r="K91" s="103">
        <f>+J91/References!$G$58</f>
        <v>9.1706750888664937E-2</v>
      </c>
      <c r="L91" s="106">
        <f t="shared" si="60"/>
        <v>9.1706750888664937E-2</v>
      </c>
      <c r="M91" s="103">
        <f>'Proposed Rates'!B69</f>
        <v>21.72</v>
      </c>
      <c r="N91" s="103">
        <f t="shared" si="58"/>
        <v>21.811706750888664</v>
      </c>
      <c r="O91" s="103">
        <f>'Proposed Rates'!D69</f>
        <v>21.811706750888664</v>
      </c>
      <c r="Q91" s="96" t="s">
        <v>250</v>
      </c>
      <c r="R91" s="96">
        <f>+R87+R89</f>
        <v>27893.792479873635</v>
      </c>
      <c r="W91" s="1"/>
      <c r="Z91"/>
      <c r="AE91" s="1"/>
    </row>
    <row r="92" spans="1:31">
      <c r="A92" s="166"/>
      <c r="B92" s="150"/>
      <c r="C92" s="52"/>
      <c r="D92" s="148"/>
      <c r="E92" s="152"/>
      <c r="F92" s="149"/>
      <c r="G92" s="151"/>
      <c r="H92" s="149"/>
      <c r="I92" s="149"/>
      <c r="J92" s="109"/>
      <c r="K92" s="103"/>
      <c r="L92" s="103"/>
      <c r="M92" s="103"/>
      <c r="N92" s="103"/>
      <c r="O92" s="103"/>
      <c r="W92" s="1"/>
      <c r="Z92"/>
      <c r="AE92" s="1"/>
    </row>
    <row r="93" spans="1:31">
      <c r="A93" s="54"/>
      <c r="B93" s="43"/>
      <c r="C93" s="52"/>
      <c r="D93" s="35"/>
      <c r="E93" s="94"/>
      <c r="F93" s="34"/>
      <c r="G93" s="51"/>
      <c r="H93" s="34"/>
      <c r="I93" s="34"/>
      <c r="J93" s="109"/>
      <c r="K93" s="103"/>
      <c r="L93" s="103"/>
      <c r="M93" s="103"/>
      <c r="N93" s="103"/>
      <c r="O93" s="103"/>
      <c r="P93" s="109"/>
    </row>
    <row r="94" spans="1:31" customFormat="1">
      <c r="D94" s="79"/>
      <c r="E94" s="88"/>
      <c r="F94" s="79"/>
      <c r="G94" s="79"/>
      <c r="H94" s="79"/>
      <c r="I94" s="79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</row>
    <row r="96" spans="1:31">
      <c r="C96" s="265" t="s">
        <v>268</v>
      </c>
      <c r="D96" s="265"/>
      <c r="E96" s="95"/>
      <c r="F96" s="87"/>
    </row>
    <row r="97" spans="3:4">
      <c r="C97" s="15"/>
      <c r="D97" s="33" t="s">
        <v>0</v>
      </c>
    </row>
    <row r="98" spans="3:4">
      <c r="C98" s="15" t="s">
        <v>269</v>
      </c>
      <c r="D98" s="155">
        <f>References!B60</f>
        <v>6064.5400623769829</v>
      </c>
    </row>
    <row r="99" spans="3:4">
      <c r="C99" s="15" t="s">
        <v>270</v>
      </c>
      <c r="D99" s="35">
        <f>D98*References!G19</f>
        <v>12129080.124753965</v>
      </c>
    </row>
    <row r="100" spans="3:4" ht="15" customHeight="1">
      <c r="C100" s="15" t="s">
        <v>271</v>
      </c>
      <c r="D100" s="35">
        <f>+F82</f>
        <v>221403.36777061998</v>
      </c>
    </row>
    <row r="101" spans="3:4">
      <c r="C101" s="21" t="s">
        <v>272</v>
      </c>
      <c r="D101" s="147">
        <f>D99/H82</f>
        <v>0.65907484057780175</v>
      </c>
    </row>
  </sheetData>
  <mergeCells count="6">
    <mergeCell ref="C96:D96"/>
    <mergeCell ref="A86:A87"/>
    <mergeCell ref="A88:A91"/>
    <mergeCell ref="A6:A23"/>
    <mergeCell ref="A25:A53"/>
    <mergeCell ref="A54:A80"/>
  </mergeCells>
  <printOptions horizontalCentered="1" verticalCentered="1"/>
  <pageMargins left="0.5" right="0.5" top="0.5" bottom="0.5" header="0.3" footer="0.3"/>
  <pageSetup scale="41" fitToHeight="0" orientation="landscape" r:id="rId1"/>
  <headerFooter>
    <oddFooter>&amp;L&amp;F - &amp;A&amp;R&amp;P of &amp;N</oddFooter>
  </headerFooter>
  <rowBreaks count="1" manualBreakCount="1">
    <brk id="53" max="22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8"/>
  <sheetViews>
    <sheetView showGridLines="0" view="pageBreakPreview" zoomScaleNormal="85" zoomScaleSheetLayoutView="100" workbookViewId="0">
      <selection activeCell="P81" sqref="P81"/>
    </sheetView>
  </sheetViews>
  <sheetFormatPr defaultRowHeight="15"/>
  <cols>
    <col min="1" max="1" width="26.28515625" style="1" customWidth="1"/>
    <col min="2" max="2" width="14" style="145" customWidth="1"/>
    <col min="3" max="3" width="14.7109375" style="145" bestFit="1" customWidth="1"/>
    <col min="4" max="4" width="12" style="145" customWidth="1"/>
    <col min="5" max="16384" width="9.140625" style="1"/>
  </cols>
  <sheetData>
    <row r="1" spans="1:6">
      <c r="A1" s="144" t="s">
        <v>404</v>
      </c>
      <c r="C1" s="78"/>
    </row>
    <row r="2" spans="1:6">
      <c r="A2" s="37" t="s">
        <v>490</v>
      </c>
    </row>
    <row r="3" spans="1:6">
      <c r="A3" s="7"/>
    </row>
    <row r="4" spans="1:6" customFormat="1">
      <c r="A4" s="282" t="s">
        <v>327</v>
      </c>
      <c r="B4" s="145"/>
      <c r="C4" s="145"/>
      <c r="D4" s="145"/>
    </row>
    <row r="5" spans="1:6" customFormat="1" ht="45">
      <c r="B5" s="160" t="s">
        <v>424</v>
      </c>
      <c r="C5" s="160" t="s">
        <v>425</v>
      </c>
      <c r="D5" s="160" t="s">
        <v>489</v>
      </c>
    </row>
    <row r="6" spans="1:6">
      <c r="A6" s="7" t="s">
        <v>427</v>
      </c>
    </row>
    <row r="7" spans="1:6">
      <c r="A7" s="1" t="s">
        <v>273</v>
      </c>
      <c r="B7" s="145">
        <v>4.8</v>
      </c>
      <c r="C7" s="145">
        <f>'Whitman DF Calc'!L21</f>
        <v>4.5853375444332475E-2</v>
      </c>
      <c r="D7" s="145">
        <f>SUM(B7:C7)</f>
        <v>4.8458533754443325</v>
      </c>
      <c r="F7" s="59"/>
    </row>
    <row r="8" spans="1:6">
      <c r="F8" s="59"/>
    </row>
    <row r="9" spans="1:6">
      <c r="A9" s="7" t="s">
        <v>428</v>
      </c>
      <c r="F9" s="59"/>
    </row>
    <row r="10" spans="1:6">
      <c r="A10" s="1" t="s">
        <v>274</v>
      </c>
      <c r="B10" s="145">
        <v>16.41</v>
      </c>
      <c r="C10" s="145">
        <f>'Whitman DF Calc'!L6</f>
        <v>0.11688115309339649</v>
      </c>
      <c r="D10" s="145">
        <f t="shared" ref="D10:D66" si="0">SUM(B10:C10)</f>
        <v>16.526881153093395</v>
      </c>
      <c r="F10" s="59"/>
    </row>
    <row r="11" spans="1:6">
      <c r="A11" s="1" t="s">
        <v>275</v>
      </c>
      <c r="B11" s="145">
        <v>20.98</v>
      </c>
      <c r="C11" s="145">
        <f>'Whitman DF Calc'!L8</f>
        <v>0.19869796025877398</v>
      </c>
      <c r="D11" s="145">
        <f t="shared" si="0"/>
        <v>21.178697960258773</v>
      </c>
      <c r="F11" s="59"/>
    </row>
    <row r="12" spans="1:6">
      <c r="A12" s="1" t="s">
        <v>276</v>
      </c>
      <c r="B12" s="145">
        <v>27.92</v>
      </c>
      <c r="C12" s="145">
        <f>'Whitman DF Calc'!L9</f>
        <v>0.29804694038816104</v>
      </c>
      <c r="D12" s="145">
        <f t="shared" si="0"/>
        <v>28.218046940388163</v>
      </c>
      <c r="F12" s="59"/>
    </row>
    <row r="13" spans="1:6">
      <c r="A13" s="1" t="s">
        <v>277</v>
      </c>
      <c r="B13" s="145">
        <v>37.1</v>
      </c>
      <c r="C13" s="145">
        <f>'Whitman DF Calc'!L10</f>
        <v>0.44999243940957639</v>
      </c>
      <c r="D13" s="145">
        <f t="shared" si="0"/>
        <v>37.549992439409579</v>
      </c>
      <c r="F13" s="59"/>
    </row>
    <row r="14" spans="1:6">
      <c r="A14" s="1" t="s">
        <v>278</v>
      </c>
      <c r="B14" s="145">
        <v>48.44</v>
      </c>
      <c r="C14" s="145">
        <f>'Whitman DF Calc'!L11</f>
        <v>0.56687359250297298</v>
      </c>
      <c r="D14" s="145">
        <f t="shared" si="0"/>
        <v>49.00687359250297</v>
      </c>
      <c r="F14" s="59"/>
    </row>
    <row r="15" spans="1:6">
      <c r="A15" s="283" t="s">
        <v>279</v>
      </c>
      <c r="B15" s="284">
        <v>58.7</v>
      </c>
      <c r="C15" s="284">
        <f>'Whitman DF Calc'!L86</f>
        <v>0.68375474559636951</v>
      </c>
      <c r="D15" s="284">
        <f t="shared" si="0"/>
        <v>59.38375474559637</v>
      </c>
      <c r="F15" s="59"/>
    </row>
    <row r="16" spans="1:6">
      <c r="A16" s="283" t="s">
        <v>280</v>
      </c>
      <c r="B16" s="284">
        <v>69.31</v>
      </c>
      <c r="C16" s="284">
        <f>'Whitman DF Calc'!L87</f>
        <v>0.91751705178316256</v>
      </c>
      <c r="D16" s="284">
        <f t="shared" si="0"/>
        <v>70.227517051783167</v>
      </c>
      <c r="F16" s="59"/>
    </row>
    <row r="17" spans="1:6">
      <c r="A17" s="1" t="s">
        <v>281</v>
      </c>
      <c r="B17" s="145">
        <v>29.84</v>
      </c>
      <c r="C17" s="145">
        <f>'Whitman DF Calc'!L12</f>
        <v>0.27467070976948171</v>
      </c>
      <c r="D17" s="145">
        <f t="shared" si="0"/>
        <v>30.114670709769481</v>
      </c>
      <c r="F17" s="59"/>
    </row>
    <row r="18" spans="1:6">
      <c r="A18" s="1" t="s">
        <v>282</v>
      </c>
      <c r="B18" s="145">
        <v>36.99</v>
      </c>
      <c r="C18" s="145">
        <f>'Whitman DF Calc'!L15</f>
        <v>0.39739592051754807</v>
      </c>
      <c r="D18" s="145">
        <f t="shared" si="0"/>
        <v>37.387395920517548</v>
      </c>
      <c r="F18" s="59"/>
    </row>
    <row r="19" spans="1:6">
      <c r="A19" s="1" t="s">
        <v>283</v>
      </c>
      <c r="B19" s="145">
        <v>13.14</v>
      </c>
      <c r="C19" s="145">
        <f>'Whitman DF Calc'!L7</f>
        <v>4.5853375444332475E-2</v>
      </c>
      <c r="D19" s="145">
        <f t="shared" si="0"/>
        <v>13.185853375444333</v>
      </c>
      <c r="F19" s="59"/>
    </row>
    <row r="20" spans="1:6">
      <c r="F20" s="59"/>
    </row>
    <row r="21" spans="1:6">
      <c r="A21" s="7" t="s">
        <v>429</v>
      </c>
      <c r="F21" s="59"/>
    </row>
    <row r="22" spans="1:6">
      <c r="A22" s="1" t="s">
        <v>284</v>
      </c>
      <c r="B22" s="145">
        <v>4.8</v>
      </c>
      <c r="C22" s="145">
        <f>'Whitman DF Calc'!L19</f>
        <v>4.5853375444332468E-2</v>
      </c>
      <c r="D22" s="145">
        <f t="shared" si="0"/>
        <v>4.8458533754443325</v>
      </c>
      <c r="F22" s="59"/>
    </row>
    <row r="23" spans="1:6">
      <c r="A23" s="1" t="s">
        <v>285</v>
      </c>
      <c r="B23" s="145">
        <v>4.8</v>
      </c>
      <c r="C23" s="145">
        <f>'Whitman DF Calc'!L19</f>
        <v>4.5853375444332468E-2</v>
      </c>
      <c r="D23" s="145">
        <f t="shared" si="0"/>
        <v>4.8458533754443325</v>
      </c>
      <c r="F23" s="59"/>
    </row>
    <row r="24" spans="1:6">
      <c r="A24" s="1" t="s">
        <v>286</v>
      </c>
      <c r="B24" s="145">
        <v>14.44</v>
      </c>
      <c r="C24" s="145">
        <f>'Whitman DF Calc'!L17</f>
        <v>4.5853375444332468E-2</v>
      </c>
      <c r="D24" s="145">
        <f t="shared" si="0"/>
        <v>14.485853375444332</v>
      </c>
      <c r="F24" s="59"/>
    </row>
    <row r="25" spans="1:6">
      <c r="F25" s="59"/>
    </row>
    <row r="26" spans="1:6">
      <c r="A26" s="7" t="s">
        <v>430</v>
      </c>
      <c r="F26" s="59"/>
    </row>
    <row r="27" spans="1:6">
      <c r="A27" s="1" t="s">
        <v>287</v>
      </c>
      <c r="B27" s="145">
        <v>23.89</v>
      </c>
      <c r="C27" s="145">
        <f>'Whitman DF Calc'!L23</f>
        <v>0.16857858619239877</v>
      </c>
      <c r="D27" s="145">
        <f t="shared" si="0"/>
        <v>24.0585785861924</v>
      </c>
      <c r="F27" s="59"/>
    </row>
    <row r="28" spans="1:6">
      <c r="A28" s="1" t="s">
        <v>288</v>
      </c>
      <c r="B28" s="145">
        <v>23.89</v>
      </c>
      <c r="C28" s="145">
        <f>'Whitman DF Calc'!L23</f>
        <v>0.16857858619239877</v>
      </c>
      <c r="D28" s="145">
        <f t="shared" si="0"/>
        <v>24.0585785861924</v>
      </c>
      <c r="F28" s="59"/>
    </row>
    <row r="29" spans="1:6">
      <c r="A29" s="1" t="s">
        <v>289</v>
      </c>
      <c r="B29" s="145">
        <v>23.89</v>
      </c>
      <c r="C29" s="145">
        <f>'Whitman DF Calc'!L23</f>
        <v>0.16857858619239877</v>
      </c>
      <c r="D29" s="145">
        <f t="shared" si="0"/>
        <v>24.0585785861924</v>
      </c>
      <c r="F29" s="59"/>
    </row>
    <row r="30" spans="1:6">
      <c r="F30" s="59"/>
    </row>
    <row r="31" spans="1:6">
      <c r="A31" s="7" t="s">
        <v>431</v>
      </c>
      <c r="F31" s="59"/>
    </row>
    <row r="32" spans="1:6">
      <c r="A32" s="1" t="s">
        <v>323</v>
      </c>
      <c r="B32" s="145">
        <v>110</v>
      </c>
      <c r="C32" s="145">
        <f>References!B55</f>
        <v>4</v>
      </c>
      <c r="D32" s="145">
        <f t="shared" si="0"/>
        <v>114</v>
      </c>
      <c r="F32" s="59"/>
    </row>
    <row r="33" spans="1:6">
      <c r="F33" s="59"/>
    </row>
    <row r="34" spans="1:6">
      <c r="A34" s="7" t="s">
        <v>432</v>
      </c>
      <c r="F34" s="59"/>
    </row>
    <row r="35" spans="1:6">
      <c r="A35" s="1" t="s">
        <v>290</v>
      </c>
      <c r="B35" s="145">
        <v>18.22</v>
      </c>
      <c r="C35" s="145">
        <f>'Whitman DF Calc'!L25</f>
        <v>0.23601002066935836</v>
      </c>
      <c r="D35" s="145">
        <f t="shared" si="0"/>
        <v>18.456010020669357</v>
      </c>
      <c r="F35" s="59"/>
    </row>
    <row r="36" spans="1:6">
      <c r="A36" s="1" t="s">
        <v>291</v>
      </c>
      <c r="B36" s="145">
        <v>27.44</v>
      </c>
      <c r="C36" s="145">
        <f>'Whitman DF Calc'!L29</f>
        <v>0.33715717238479759</v>
      </c>
      <c r="D36" s="145">
        <f t="shared" si="0"/>
        <v>27.777157172384801</v>
      </c>
      <c r="F36" s="59"/>
    </row>
    <row r="37" spans="1:6">
      <c r="A37" s="1" t="s">
        <v>292</v>
      </c>
      <c r="B37" s="145">
        <v>36.56</v>
      </c>
      <c r="C37" s="145">
        <f>'Whitman DF Calc'!L35</f>
        <v>0.43695569541069762</v>
      </c>
      <c r="D37" s="145">
        <f t="shared" si="0"/>
        <v>36.996955695410698</v>
      </c>
      <c r="F37" s="59"/>
    </row>
    <row r="38" spans="1:6">
      <c r="A38" s="1" t="s">
        <v>293</v>
      </c>
      <c r="B38" s="145">
        <v>51.73</v>
      </c>
      <c r="C38" s="145">
        <f>'Whitman DF Calc'!L39</f>
        <v>0.63790137015203696</v>
      </c>
      <c r="D38" s="145">
        <f t="shared" si="0"/>
        <v>52.367901370152033</v>
      </c>
      <c r="F38" s="59"/>
    </row>
    <row r="39" spans="1:6">
      <c r="A39" s="1" t="s">
        <v>294</v>
      </c>
      <c r="B39" s="145">
        <v>68.66</v>
      </c>
      <c r="C39" s="145">
        <f>'Whitman DF Calc'!L44</f>
        <v>0.8267093866875237</v>
      </c>
      <c r="D39" s="145">
        <f t="shared" si="0"/>
        <v>69.486709386687522</v>
      </c>
      <c r="F39" s="59"/>
    </row>
    <row r="40" spans="1:6">
      <c r="A40" s="1" t="s">
        <v>295</v>
      </c>
      <c r="B40" s="145">
        <v>99.93</v>
      </c>
      <c r="C40" s="145">
        <f>'Whitman DF Calc'!L49</f>
        <v>1.13284809921292</v>
      </c>
      <c r="D40" s="145">
        <f t="shared" si="0"/>
        <v>101.06284809921293</v>
      </c>
      <c r="F40" s="59"/>
    </row>
    <row r="41" spans="1:6">
      <c r="A41" s="1" t="s">
        <v>296</v>
      </c>
      <c r="B41" s="145">
        <v>129.91</v>
      </c>
      <c r="C41" s="145">
        <f>'Whitman DF Calc'!L54</f>
        <v>1.3216561157484064</v>
      </c>
      <c r="D41" s="145">
        <f t="shared" si="0"/>
        <v>131.23165611574839</v>
      </c>
      <c r="F41" s="59"/>
    </row>
    <row r="42" spans="1:6">
      <c r="F42" s="59"/>
    </row>
    <row r="43" spans="1:6">
      <c r="A43" s="1" t="s">
        <v>297</v>
      </c>
      <c r="B43" s="145">
        <v>43.8</v>
      </c>
      <c r="C43" s="145">
        <f>'Whitman DF Calc'!L25</f>
        <v>0.23601002066935836</v>
      </c>
      <c r="D43" s="145">
        <f t="shared" si="0"/>
        <v>44.036010020669359</v>
      </c>
      <c r="F43" s="59"/>
    </row>
    <row r="44" spans="1:6">
      <c r="A44" s="1" t="s">
        <v>298</v>
      </c>
      <c r="B44" s="145">
        <v>62.97</v>
      </c>
      <c r="C44" s="145">
        <f>'Whitman DF Calc'!L29</f>
        <v>0.33715717238479759</v>
      </c>
      <c r="D44" s="145">
        <f t="shared" si="0"/>
        <v>63.307157172384798</v>
      </c>
      <c r="F44" s="59"/>
    </row>
    <row r="45" spans="1:6">
      <c r="A45" s="1" t="s">
        <v>299</v>
      </c>
      <c r="B45" s="145">
        <v>74.22</v>
      </c>
      <c r="C45" s="145">
        <f>'Whitman DF Calc'!L35</f>
        <v>0.43695569541069762</v>
      </c>
      <c r="D45" s="145">
        <f t="shared" si="0"/>
        <v>74.656955695410701</v>
      </c>
      <c r="F45" s="59"/>
    </row>
    <row r="46" spans="1:6">
      <c r="A46" s="1" t="s">
        <v>300</v>
      </c>
      <c r="B46" s="145">
        <v>95.77</v>
      </c>
      <c r="C46" s="145">
        <f>'Whitman DF Calc'!L39</f>
        <v>0.63790137015203696</v>
      </c>
      <c r="D46" s="145">
        <f t="shared" si="0"/>
        <v>96.407901370152032</v>
      </c>
      <c r="F46" s="59"/>
    </row>
    <row r="47" spans="1:6">
      <c r="A47" s="1" t="s">
        <v>301</v>
      </c>
      <c r="B47" s="145">
        <v>118.66</v>
      </c>
      <c r="C47" s="145">
        <f>'Whitman DF Calc'!L44</f>
        <v>0.8267093866875237</v>
      </c>
      <c r="D47" s="145">
        <f t="shared" si="0"/>
        <v>119.48670938668752</v>
      </c>
      <c r="F47" s="59"/>
    </row>
    <row r="48" spans="1:6">
      <c r="A48" s="159" t="s">
        <v>302</v>
      </c>
      <c r="B48" s="197">
        <v>159.99</v>
      </c>
      <c r="C48" s="197">
        <f>'Whitman DF Calc'!L49</f>
        <v>1.13284809921292</v>
      </c>
      <c r="D48" s="197">
        <f t="shared" si="0"/>
        <v>161.12284809921292</v>
      </c>
      <c r="F48" s="59"/>
    </row>
    <row r="49" spans="1:6">
      <c r="A49" s="159" t="s">
        <v>303</v>
      </c>
      <c r="B49" s="197">
        <v>202.4</v>
      </c>
      <c r="C49" s="197">
        <f>'Whitman DF Calc'!L54</f>
        <v>1.3216561157484064</v>
      </c>
      <c r="D49" s="197">
        <f t="shared" si="0"/>
        <v>203.7216561157484</v>
      </c>
      <c r="F49" s="59"/>
    </row>
    <row r="50" spans="1:6">
      <c r="A50" s="159"/>
      <c r="B50" s="197"/>
      <c r="C50" s="197"/>
      <c r="D50" s="197"/>
      <c r="F50" s="59"/>
    </row>
    <row r="51" spans="1:6">
      <c r="A51" s="1" t="s">
        <v>304</v>
      </c>
      <c r="B51" s="145">
        <v>21.2</v>
      </c>
      <c r="C51" s="145">
        <f>'Whitman DF Calc'!L25</f>
        <v>0.23601002066935836</v>
      </c>
      <c r="D51" s="145">
        <f t="shared" si="0"/>
        <v>21.436010020669357</v>
      </c>
      <c r="F51" s="59"/>
    </row>
    <row r="52" spans="1:6">
      <c r="A52" s="1" t="s">
        <v>305</v>
      </c>
      <c r="B52" s="145">
        <v>31.92</v>
      </c>
      <c r="C52" s="145">
        <f>'Whitman DF Calc'!L29</f>
        <v>0.33715717238479759</v>
      </c>
      <c r="D52" s="145">
        <f t="shared" si="0"/>
        <v>32.257157172384801</v>
      </c>
      <c r="F52" s="59"/>
    </row>
    <row r="53" spans="1:6">
      <c r="A53" s="1" t="s">
        <v>306</v>
      </c>
      <c r="B53" s="145">
        <v>44.02</v>
      </c>
      <c r="C53" s="145">
        <f>'Whitman DF Calc'!L35</f>
        <v>0.43695569541069762</v>
      </c>
      <c r="D53" s="145">
        <f t="shared" si="0"/>
        <v>44.456955695410699</v>
      </c>
      <c r="F53" s="59"/>
    </row>
    <row r="54" spans="1:6">
      <c r="A54" s="1" t="s">
        <v>307</v>
      </c>
      <c r="B54" s="145">
        <v>59.17</v>
      </c>
      <c r="C54" s="145">
        <f>'Whitman DF Calc'!L39</f>
        <v>0.63790137015203696</v>
      </c>
      <c r="D54" s="145">
        <f t="shared" si="0"/>
        <v>59.807901370152038</v>
      </c>
      <c r="F54" s="59"/>
    </row>
    <row r="55" spans="1:6">
      <c r="A55" s="1" t="s">
        <v>308</v>
      </c>
      <c r="B55" s="145">
        <v>77.61</v>
      </c>
      <c r="C55" s="145">
        <f>'Whitman DF Calc'!L44</f>
        <v>0.8267093866875237</v>
      </c>
      <c r="D55" s="145">
        <f t="shared" si="0"/>
        <v>78.436709386687525</v>
      </c>
      <c r="F55" s="59"/>
    </row>
    <row r="56" spans="1:6">
      <c r="A56" s="283" t="s">
        <v>309</v>
      </c>
      <c r="B56" s="284">
        <v>114.85</v>
      </c>
      <c r="C56" s="284">
        <f>'Whitman DF Calc'!L49</f>
        <v>1.13284809921292</v>
      </c>
      <c r="D56" s="284">
        <f t="shared" si="0"/>
        <v>115.98284809921292</v>
      </c>
      <c r="F56" s="59"/>
    </row>
    <row r="57" spans="1:6">
      <c r="A57" s="283" t="s">
        <v>310</v>
      </c>
      <c r="B57" s="284">
        <v>147.88999999999999</v>
      </c>
      <c r="C57" s="284">
        <f>'Whitman DF Calc'!L54</f>
        <v>1.3216561157484064</v>
      </c>
      <c r="D57" s="284">
        <f t="shared" si="0"/>
        <v>149.21165611574838</v>
      </c>
      <c r="F57" s="59"/>
    </row>
    <row r="58" spans="1:6">
      <c r="F58" s="59"/>
    </row>
    <row r="59" spans="1:6">
      <c r="A59" s="7" t="s">
        <v>433</v>
      </c>
      <c r="F59" s="59"/>
    </row>
    <row r="60" spans="1:6">
      <c r="A60" s="1" t="s">
        <v>311</v>
      </c>
      <c r="B60" s="145">
        <v>4.9000000000000004</v>
      </c>
      <c r="C60" s="145">
        <f>'Whitman DF Calc'!L66</f>
        <v>3.9110231996636519E-2</v>
      </c>
      <c r="D60" s="145">
        <f t="shared" si="0"/>
        <v>4.9391102319966365</v>
      </c>
      <c r="F60" s="59"/>
    </row>
    <row r="61" spans="1:6">
      <c r="A61" s="1" t="s">
        <v>437</v>
      </c>
      <c r="B61" s="145">
        <v>13.33</v>
      </c>
      <c r="C61" s="145">
        <f>'Whitman DF Calc'!L65</f>
        <v>3.9110231996636512E-2</v>
      </c>
      <c r="D61" s="145">
        <f t="shared" si="0"/>
        <v>13.369110231996636</v>
      </c>
      <c r="F61" s="59"/>
    </row>
    <row r="62" spans="1:6">
      <c r="A62" s="1" t="s">
        <v>312</v>
      </c>
      <c r="B62" s="145">
        <v>21.29</v>
      </c>
      <c r="C62" s="145">
        <f>'Whitman DF Calc'!L56</f>
        <v>0.1694776719854249</v>
      </c>
      <c r="D62" s="145">
        <f t="shared" si="0"/>
        <v>21.459477671985425</v>
      </c>
      <c r="F62" s="59"/>
    </row>
    <row r="63" spans="1:6">
      <c r="F63" s="59"/>
    </row>
    <row r="64" spans="1:6">
      <c r="A64" s="283" t="s">
        <v>313</v>
      </c>
      <c r="B64" s="284">
        <v>9.1300000000000008</v>
      </c>
      <c r="C64" s="284">
        <f>'Whitman DF Calc'!K88</f>
        <v>6.3385548408341943E-2</v>
      </c>
      <c r="D64" s="284">
        <f t="shared" si="0"/>
        <v>9.193385548408342</v>
      </c>
      <c r="F64" s="59"/>
    </row>
    <row r="65" spans="1:6">
      <c r="A65" s="283" t="s">
        <v>436</v>
      </c>
      <c r="B65" s="284">
        <v>18.16</v>
      </c>
      <c r="C65" s="284">
        <f>'Whitman DF Calc'!K89</f>
        <v>6.3385548408341943E-2</v>
      </c>
      <c r="D65" s="284">
        <f t="shared" si="0"/>
        <v>18.223385548408341</v>
      </c>
      <c r="F65" s="59"/>
    </row>
    <row r="66" spans="1:6">
      <c r="A66" s="1" t="s">
        <v>312</v>
      </c>
      <c r="B66" s="145">
        <v>39.549999999999997</v>
      </c>
      <c r="C66" s="145">
        <f>'Whitman DF Calc'!L58</f>
        <v>0.27467070976948171</v>
      </c>
      <c r="D66" s="145">
        <f t="shared" si="0"/>
        <v>39.824670709769478</v>
      </c>
      <c r="F66" s="59"/>
    </row>
    <row r="67" spans="1:6">
      <c r="F67" s="59"/>
    </row>
    <row r="68" spans="1:6">
      <c r="A68" s="283" t="s">
        <v>314</v>
      </c>
      <c r="B68" s="284">
        <v>10.93</v>
      </c>
      <c r="C68" s="284">
        <f>'Whitman DF Calc'!K90</f>
        <v>9.1706750888664937E-2</v>
      </c>
      <c r="D68" s="284">
        <f t="shared" ref="D68:D87" si="1">SUM(B68:C68)</f>
        <v>11.021706750888665</v>
      </c>
      <c r="F68" s="59"/>
    </row>
    <row r="69" spans="1:6">
      <c r="A69" s="159" t="s">
        <v>435</v>
      </c>
      <c r="B69" s="197">
        <v>21.72</v>
      </c>
      <c r="C69" s="197">
        <f>'Whitman DF Calc'!K91</f>
        <v>9.1706750888664937E-2</v>
      </c>
      <c r="D69" s="197">
        <f t="shared" si="1"/>
        <v>21.811706750888664</v>
      </c>
      <c r="F69" s="59"/>
    </row>
    <row r="70" spans="1:6">
      <c r="A70" s="1" t="s">
        <v>312</v>
      </c>
      <c r="B70" s="145">
        <v>47.39</v>
      </c>
      <c r="C70" s="145">
        <f>'Whitman DF Calc'!L61</f>
        <v>0.39739592051754807</v>
      </c>
      <c r="D70" s="145">
        <f t="shared" si="1"/>
        <v>47.787395920517547</v>
      </c>
      <c r="F70" s="59"/>
    </row>
    <row r="71" spans="1:6">
      <c r="F71" s="59"/>
    </row>
    <row r="72" spans="1:6">
      <c r="A72" s="7" t="s">
        <v>434</v>
      </c>
      <c r="F72" s="59"/>
    </row>
    <row r="73" spans="1:6">
      <c r="A73" s="283" t="s">
        <v>315</v>
      </c>
      <c r="B73" s="284">
        <v>61.45</v>
      </c>
      <c r="C73" s="284">
        <f>'Whitman DF Calc'!L25</f>
        <v>0.23601002066935836</v>
      </c>
      <c r="D73" s="284">
        <f t="shared" si="1"/>
        <v>61.686010020669364</v>
      </c>
      <c r="F73" s="59"/>
    </row>
    <row r="74" spans="1:6">
      <c r="A74" s="283" t="s">
        <v>316</v>
      </c>
      <c r="B74" s="284">
        <v>93.61</v>
      </c>
      <c r="C74" s="284">
        <f>'Whitman DF Calc'!L29</f>
        <v>0.33715717238479759</v>
      </c>
      <c r="D74" s="284">
        <f t="shared" si="1"/>
        <v>93.947157172384792</v>
      </c>
      <c r="F74" s="59"/>
    </row>
    <row r="75" spans="1:6">
      <c r="A75" s="283" t="s">
        <v>292</v>
      </c>
      <c r="B75" s="284">
        <v>124.46</v>
      </c>
      <c r="C75" s="284">
        <f>'Whitman DF Calc'!L35</f>
        <v>0.43695569541069762</v>
      </c>
      <c r="D75" s="284">
        <f t="shared" si="1"/>
        <v>124.8969556954107</v>
      </c>
      <c r="F75" s="59"/>
    </row>
    <row r="76" spans="1:6">
      <c r="A76" s="283" t="s">
        <v>293</v>
      </c>
      <c r="B76" s="284">
        <v>175.47</v>
      </c>
      <c r="C76" s="284">
        <f>'Whitman DF Calc'!L39</f>
        <v>0.63790137015203696</v>
      </c>
      <c r="D76" s="284">
        <f t="shared" si="1"/>
        <v>176.10790137015204</v>
      </c>
      <c r="F76" s="59"/>
    </row>
    <row r="77" spans="1:6">
      <c r="A77" s="283" t="s">
        <v>294</v>
      </c>
      <c r="B77" s="284">
        <v>233.15</v>
      </c>
      <c r="C77" s="284">
        <f>'Whitman DF Calc'!L44</f>
        <v>0.8267093866875237</v>
      </c>
      <c r="D77" s="284">
        <f t="shared" si="1"/>
        <v>233.97670938668753</v>
      </c>
      <c r="F77" s="59"/>
    </row>
    <row r="78" spans="1:6">
      <c r="A78" s="283" t="s">
        <v>317</v>
      </c>
      <c r="B78" s="284">
        <v>320.55</v>
      </c>
      <c r="C78" s="284">
        <f>'Whitman DF Calc'!L49</f>
        <v>1.13284809921292</v>
      </c>
      <c r="D78" s="284">
        <f t="shared" si="1"/>
        <v>321.68284809921295</v>
      </c>
      <c r="F78" s="59"/>
    </row>
    <row r="79" spans="1:6">
      <c r="A79" s="283" t="s">
        <v>318</v>
      </c>
      <c r="B79" s="284">
        <v>380.24</v>
      </c>
      <c r="C79" s="284">
        <f>'Whitman DF Calc'!L54</f>
        <v>1.3216561157484064</v>
      </c>
      <c r="D79" s="284">
        <f t="shared" si="1"/>
        <v>381.56165611574841</v>
      </c>
      <c r="F79" s="59"/>
    </row>
    <row r="80" spans="1:6">
      <c r="F80" s="59"/>
    </row>
    <row r="81" spans="1:6">
      <c r="A81" s="283" t="s">
        <v>319</v>
      </c>
      <c r="B81" s="284">
        <v>105.28</v>
      </c>
      <c r="C81" s="284">
        <f>'Whitman DF Calc'!L25</f>
        <v>0.23601002066935836</v>
      </c>
      <c r="D81" s="284">
        <f t="shared" si="1"/>
        <v>105.51601002066936</v>
      </c>
      <c r="F81" s="59"/>
    </row>
    <row r="82" spans="1:6">
      <c r="A82" s="283" t="s">
        <v>320</v>
      </c>
      <c r="B82" s="284">
        <v>163.55000000000001</v>
      </c>
      <c r="C82" s="284">
        <f>'Whitman DF Calc'!L29</f>
        <v>0.33715717238479759</v>
      </c>
      <c r="D82" s="284">
        <f t="shared" si="1"/>
        <v>163.8871571723848</v>
      </c>
      <c r="F82" s="59"/>
    </row>
    <row r="83" spans="1:6">
      <c r="A83" s="283" t="s">
        <v>299</v>
      </c>
      <c r="B83" s="284">
        <v>213.91</v>
      </c>
      <c r="C83" s="284">
        <f>'Whitman DF Calc'!L35</f>
        <v>0.43695569541069762</v>
      </c>
      <c r="D83" s="284">
        <f t="shared" si="1"/>
        <v>214.34695569541068</v>
      </c>
      <c r="F83" s="59"/>
    </row>
    <row r="84" spans="1:6">
      <c r="A84" s="283" t="s">
        <v>300</v>
      </c>
      <c r="B84" s="284">
        <v>313.27999999999997</v>
      </c>
      <c r="C84" s="284">
        <f>'Whitman DF Calc'!L39</f>
        <v>0.63790137015203696</v>
      </c>
      <c r="D84" s="284">
        <f t="shared" si="1"/>
        <v>313.91790137015204</v>
      </c>
      <c r="F84" s="59"/>
    </row>
    <row r="85" spans="1:6">
      <c r="A85" s="283" t="s">
        <v>301</v>
      </c>
      <c r="B85" s="284">
        <v>416.53</v>
      </c>
      <c r="C85" s="284">
        <f>'Whitman DF Calc'!L44</f>
        <v>0.8267093866875237</v>
      </c>
      <c r="D85" s="284">
        <f t="shared" si="1"/>
        <v>417.3567093866875</v>
      </c>
      <c r="F85" s="59"/>
    </row>
    <row r="86" spans="1:6">
      <c r="A86" s="283" t="s">
        <v>321</v>
      </c>
      <c r="B86" s="284">
        <v>536.14</v>
      </c>
      <c r="C86" s="284">
        <f>'Whitman DF Calc'!L49</f>
        <v>1.13284809921292</v>
      </c>
      <c r="D86" s="284">
        <f t="shared" si="1"/>
        <v>537.27284809921287</v>
      </c>
      <c r="F86" s="59"/>
    </row>
    <row r="87" spans="1:6">
      <c r="A87" s="283" t="s">
        <v>322</v>
      </c>
      <c r="B87" s="284">
        <v>641.54999999999995</v>
      </c>
      <c r="C87" s="284">
        <f>'Whitman DF Calc'!L54</f>
        <v>1.3216561157484064</v>
      </c>
      <c r="D87" s="284">
        <f t="shared" si="1"/>
        <v>642.87165611574835</v>
      </c>
      <c r="F87" s="59"/>
    </row>
    <row r="88" spans="1:6">
      <c r="F88" s="59"/>
    </row>
  </sheetData>
  <pageMargins left="0.7" right="0.7" top="0.75" bottom="0.75" header="0.3" footer="0.3"/>
  <pageSetup scale="91" fitToHeight="2" orientation="portrait" r:id="rId1"/>
  <headerFooter>
    <oddFooter>&amp;L&amp;F - &amp;A&amp;R&amp;P of &amp;N</oddFooter>
  </headerFooter>
  <rowBreaks count="2" manualBreakCount="2">
    <brk id="33" max="16383" man="1"/>
    <brk id="7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showGridLines="0" view="pageBreakPreview" zoomScaleNormal="85" zoomScaleSheetLayoutView="100" workbookViewId="0">
      <selection activeCell="C55" sqref="C55"/>
    </sheetView>
  </sheetViews>
  <sheetFormatPr defaultRowHeight="15"/>
  <cols>
    <col min="1" max="1" width="16.42578125" style="165" customWidth="1"/>
    <col min="2" max="2" width="14.42578125" style="165" bestFit="1" customWidth="1"/>
    <col min="3" max="3" width="11.5703125" style="165" bestFit="1" customWidth="1"/>
    <col min="4" max="4" width="10.5703125" style="165" bestFit="1" customWidth="1"/>
    <col min="5" max="5" width="11.5703125" style="165" bestFit="1" customWidth="1"/>
    <col min="6" max="6" width="12.5703125" style="165" bestFit="1" customWidth="1"/>
    <col min="7" max="7" width="10.5703125" style="165" bestFit="1" customWidth="1"/>
    <col min="8" max="8" width="12.140625" style="165" bestFit="1" customWidth="1"/>
    <col min="9" max="9" width="11.5703125" style="1" bestFit="1" customWidth="1"/>
    <col min="10" max="10" width="10.85546875" style="1" bestFit="1" customWidth="1"/>
    <col min="11" max="11" width="10.5703125" style="1" bestFit="1" customWidth="1"/>
    <col min="12" max="16384" width="9.140625" style="1"/>
  </cols>
  <sheetData>
    <row r="1" spans="1:11">
      <c r="A1" s="163" t="s">
        <v>404</v>
      </c>
      <c r="B1" s="135"/>
      <c r="C1" s="133"/>
      <c r="D1" s="135"/>
      <c r="E1" s="133"/>
      <c r="F1" s="134"/>
      <c r="G1" s="133"/>
      <c r="H1" s="135"/>
    </row>
    <row r="2" spans="1:11">
      <c r="A2" s="131" t="s">
        <v>426</v>
      </c>
      <c r="B2" s="135"/>
      <c r="C2" s="133"/>
      <c r="D2" s="135"/>
      <c r="E2" s="133"/>
      <c r="F2" s="134"/>
      <c r="G2" s="133"/>
      <c r="H2" s="135"/>
    </row>
    <row r="3" spans="1:11" s="146" customFormat="1">
      <c r="A3" s="131" t="s">
        <v>488</v>
      </c>
      <c r="B3" s="135"/>
      <c r="C3" s="133"/>
      <c r="D3" s="135"/>
      <c r="E3" s="133"/>
      <c r="F3" s="134"/>
      <c r="G3" s="133"/>
      <c r="H3" s="135"/>
    </row>
    <row r="4" spans="1:11" ht="31.5" customHeight="1">
      <c r="A4" s="271" t="s">
        <v>487</v>
      </c>
      <c r="B4" s="271"/>
      <c r="C4" s="271"/>
      <c r="D4" s="271"/>
      <c r="E4" s="271"/>
      <c r="F4" s="271"/>
      <c r="G4" s="271"/>
      <c r="H4" s="271"/>
    </row>
    <row r="5" spans="1:11">
      <c r="A5" s="134"/>
      <c r="B5" s="135"/>
      <c r="C5" s="133"/>
      <c r="D5" s="135"/>
      <c r="E5" s="133"/>
      <c r="F5" s="134"/>
      <c r="G5" s="133"/>
      <c r="H5" s="135"/>
    </row>
    <row r="6" spans="1:11">
      <c r="A6" s="134"/>
      <c r="B6" s="272" t="s">
        <v>396</v>
      </c>
      <c r="C6" s="273"/>
      <c r="D6" s="273"/>
      <c r="E6" s="274"/>
      <c r="F6" s="134"/>
      <c r="G6" s="275" t="s">
        <v>0</v>
      </c>
      <c r="H6" s="276"/>
    </row>
    <row r="7" spans="1:11" ht="17.25">
      <c r="A7" s="134"/>
      <c r="B7" s="277" t="s">
        <v>397</v>
      </c>
      <c r="C7" s="277"/>
      <c r="D7" s="277" t="s">
        <v>398</v>
      </c>
      <c r="E7" s="277"/>
      <c r="F7" s="135"/>
      <c r="G7" s="278"/>
      <c r="H7" s="278"/>
    </row>
    <row r="8" spans="1:11">
      <c r="A8" s="134"/>
      <c r="B8" s="137" t="s">
        <v>267</v>
      </c>
      <c r="C8" s="122" t="s">
        <v>399</v>
      </c>
      <c r="D8" s="137" t="s">
        <v>267</v>
      </c>
      <c r="E8" s="122" t="s">
        <v>399</v>
      </c>
      <c r="F8" s="135"/>
      <c r="G8" s="137" t="s">
        <v>267</v>
      </c>
      <c r="H8" s="122" t="s">
        <v>399</v>
      </c>
      <c r="I8" s="55"/>
      <c r="J8" s="55"/>
      <c r="K8" s="55"/>
    </row>
    <row r="9" spans="1:11">
      <c r="A9" s="120">
        <v>42736</v>
      </c>
      <c r="B9" s="135">
        <v>33.28</v>
      </c>
      <c r="C9" s="133">
        <v>3527.68</v>
      </c>
      <c r="D9" s="135">
        <v>536.99</v>
      </c>
      <c r="E9" s="133">
        <v>56920.94</v>
      </c>
      <c r="F9" s="135"/>
      <c r="G9" s="116">
        <v>570.27</v>
      </c>
      <c r="H9" s="118">
        <v>60448.62</v>
      </c>
      <c r="I9" s="56"/>
      <c r="J9" s="58"/>
      <c r="K9" s="56"/>
    </row>
    <row r="10" spans="1:11">
      <c r="A10" s="120">
        <v>42768</v>
      </c>
      <c r="B10" s="135">
        <v>21.58</v>
      </c>
      <c r="C10" s="133">
        <v>2293.48</v>
      </c>
      <c r="D10" s="135">
        <v>492.7</v>
      </c>
      <c r="E10" s="133">
        <v>52226.2</v>
      </c>
      <c r="F10" s="135"/>
      <c r="G10" s="116">
        <v>514.28</v>
      </c>
      <c r="H10" s="118">
        <v>54519.68</v>
      </c>
      <c r="I10" s="56"/>
      <c r="J10" s="58"/>
      <c r="K10" s="56"/>
    </row>
    <row r="11" spans="1:11">
      <c r="A11" s="120">
        <v>42800</v>
      </c>
      <c r="B11" s="135">
        <v>60.47</v>
      </c>
      <c r="C11" s="133">
        <v>6409.82</v>
      </c>
      <c r="D11" s="135">
        <v>582.15</v>
      </c>
      <c r="E11" s="133">
        <v>61707.9</v>
      </c>
      <c r="F11" s="135"/>
      <c r="G11" s="116">
        <v>642.62</v>
      </c>
      <c r="H11" s="118">
        <v>68117.72</v>
      </c>
      <c r="I11" s="56"/>
      <c r="J11" s="58"/>
      <c r="K11" s="56"/>
    </row>
    <row r="12" spans="1:11">
      <c r="A12" s="120">
        <v>42832</v>
      </c>
      <c r="B12" s="135">
        <v>48.15</v>
      </c>
      <c r="C12" s="133">
        <v>4578.5</v>
      </c>
      <c r="D12" s="135">
        <v>525.28</v>
      </c>
      <c r="E12" s="133">
        <v>55679.68</v>
      </c>
      <c r="F12" s="135"/>
      <c r="G12" s="116">
        <v>573.42999999999995</v>
      </c>
      <c r="H12" s="118">
        <v>60258.18</v>
      </c>
      <c r="I12" s="56"/>
      <c r="J12" s="58"/>
      <c r="K12" s="56"/>
    </row>
    <row r="13" spans="1:11">
      <c r="A13" s="120">
        <v>42864</v>
      </c>
      <c r="B13" s="135">
        <v>68.11</v>
      </c>
      <c r="C13" s="133">
        <v>7219.66</v>
      </c>
      <c r="D13" s="135">
        <v>603.6</v>
      </c>
      <c r="E13" s="133">
        <v>63981.599999999999</v>
      </c>
      <c r="F13" s="135"/>
      <c r="G13" s="116">
        <v>671.71</v>
      </c>
      <c r="H13" s="118">
        <v>71201.259999999995</v>
      </c>
      <c r="I13" s="56"/>
      <c r="J13" s="58"/>
      <c r="K13" s="56"/>
    </row>
    <row r="14" spans="1:11">
      <c r="A14" s="120">
        <v>42896</v>
      </c>
      <c r="B14" s="135">
        <v>81.84</v>
      </c>
      <c r="C14" s="133">
        <v>8675.0400000000009</v>
      </c>
      <c r="D14" s="135">
        <v>590.09</v>
      </c>
      <c r="E14" s="133">
        <v>62549.54</v>
      </c>
      <c r="F14" s="135"/>
      <c r="G14" s="116">
        <v>671.93000000000006</v>
      </c>
      <c r="H14" s="118">
        <v>71224.58</v>
      </c>
      <c r="I14" s="56"/>
      <c r="J14" s="58"/>
      <c r="K14" s="56"/>
    </row>
    <row r="15" spans="1:11">
      <c r="A15" s="120">
        <v>42928</v>
      </c>
      <c r="B15" s="135">
        <v>76.83</v>
      </c>
      <c r="C15" s="133">
        <v>8013.24</v>
      </c>
      <c r="D15" s="135">
        <v>559.62</v>
      </c>
      <c r="E15" s="133">
        <v>59319.72</v>
      </c>
      <c r="F15" s="135"/>
      <c r="G15" s="116">
        <v>636.45000000000005</v>
      </c>
      <c r="H15" s="118">
        <v>67332.960000000006</v>
      </c>
      <c r="I15" s="56"/>
      <c r="J15" s="58"/>
      <c r="K15" s="56"/>
    </row>
    <row r="16" spans="1:11">
      <c r="A16" s="120">
        <v>42960</v>
      </c>
      <c r="B16" s="135">
        <v>135.22</v>
      </c>
      <c r="C16" s="133">
        <v>13023.16</v>
      </c>
      <c r="D16" s="135">
        <v>590.73</v>
      </c>
      <c r="E16" s="133">
        <v>62617.38</v>
      </c>
      <c r="F16" s="135"/>
      <c r="G16" s="116">
        <v>725.95</v>
      </c>
      <c r="H16" s="118">
        <v>75640.539999999994</v>
      </c>
      <c r="I16" s="56"/>
      <c r="J16" s="58"/>
      <c r="K16" s="56"/>
    </row>
    <row r="17" spans="1:11">
      <c r="A17" s="120">
        <v>42992</v>
      </c>
      <c r="B17" s="135">
        <v>90.33</v>
      </c>
      <c r="C17" s="133">
        <v>9574.98</v>
      </c>
      <c r="D17" s="135">
        <v>528.9</v>
      </c>
      <c r="E17" s="133">
        <v>56063.4</v>
      </c>
      <c r="F17" s="135"/>
      <c r="G17" s="116">
        <v>619.23</v>
      </c>
      <c r="H17" s="118">
        <v>65638.38</v>
      </c>
      <c r="I17" s="56"/>
      <c r="J17" s="58"/>
      <c r="K17" s="56"/>
    </row>
    <row r="18" spans="1:11">
      <c r="A18" s="120">
        <v>43024</v>
      </c>
      <c r="B18" s="135">
        <v>93.81</v>
      </c>
      <c r="C18" s="133">
        <v>9671.9</v>
      </c>
      <c r="D18" s="135">
        <v>579.54999999999995</v>
      </c>
      <c r="E18" s="133">
        <v>61432.3</v>
      </c>
      <c r="F18" s="135"/>
      <c r="G18" s="116">
        <v>673.3599999999999</v>
      </c>
      <c r="H18" s="118">
        <v>71104.2</v>
      </c>
      <c r="I18" s="56"/>
      <c r="J18" s="58"/>
      <c r="K18" s="56"/>
    </row>
    <row r="19" spans="1:11">
      <c r="A19" s="120">
        <v>43056</v>
      </c>
      <c r="B19" s="135">
        <v>61.77</v>
      </c>
      <c r="C19" s="133">
        <v>6435.09</v>
      </c>
      <c r="D19" s="135">
        <v>605.52</v>
      </c>
      <c r="E19" s="133">
        <v>64185.120000000003</v>
      </c>
      <c r="F19" s="135"/>
      <c r="G19" s="116">
        <v>667.29</v>
      </c>
      <c r="H19" s="118">
        <v>70620.210000000006</v>
      </c>
      <c r="I19" s="56"/>
      <c r="J19" s="58"/>
      <c r="K19" s="56"/>
    </row>
    <row r="20" spans="1:11">
      <c r="A20" s="120">
        <v>43088</v>
      </c>
      <c r="B20" s="135">
        <v>48.62</v>
      </c>
      <c r="C20" s="133">
        <v>5153.72</v>
      </c>
      <c r="D20" s="135">
        <v>484.01</v>
      </c>
      <c r="E20" s="133">
        <v>51305.06</v>
      </c>
      <c r="F20" s="135"/>
      <c r="G20" s="116">
        <v>532.63</v>
      </c>
      <c r="H20" s="118">
        <v>56458.78</v>
      </c>
      <c r="I20" s="56"/>
      <c r="J20" s="58"/>
      <c r="K20" s="56"/>
    </row>
    <row r="21" spans="1:11" ht="17.25">
      <c r="A21" s="120"/>
      <c r="B21" s="129"/>
      <c r="C21" s="130"/>
      <c r="D21" s="129"/>
      <c r="E21" s="130"/>
      <c r="F21" s="129"/>
      <c r="G21" s="139"/>
      <c r="H21" s="119"/>
      <c r="I21" s="55"/>
      <c r="J21" s="55"/>
      <c r="K21" s="55"/>
    </row>
    <row r="22" spans="1:11" ht="15.75" thickBot="1">
      <c r="A22" s="131"/>
      <c r="B22" s="124">
        <f>SUM(B9:B20)</f>
        <v>820.00999999999988</v>
      </c>
      <c r="C22" s="124">
        <f>SUM(C9:C20)</f>
        <v>84576.26999999999</v>
      </c>
      <c r="D22" s="124">
        <f>SUM(D9:D20)</f>
        <v>6679.1399999999994</v>
      </c>
      <c r="E22" s="124">
        <f>SUM(E9:E20)</f>
        <v>707988.84000000008</v>
      </c>
      <c r="F22" s="124"/>
      <c r="G22" s="124">
        <f>SUM(G9:G20)</f>
        <v>7499.1499999999987</v>
      </c>
      <c r="H22" s="124">
        <f>SUM(H9:H20)</f>
        <v>792565.11</v>
      </c>
    </row>
    <row r="23" spans="1:11" ht="15.75" thickTop="1">
      <c r="A23" s="131"/>
      <c r="B23" s="117"/>
      <c r="C23" s="117"/>
      <c r="D23" s="117"/>
      <c r="E23" s="117"/>
      <c r="F23" s="117"/>
      <c r="G23" s="117"/>
      <c r="H23" s="117"/>
    </row>
    <row r="24" spans="1:11">
      <c r="B24" s="121"/>
      <c r="C24" s="125"/>
      <c r="D24" s="162"/>
    </row>
    <row r="25" spans="1:11" ht="15.75" thickBot="1"/>
    <row r="26" spans="1:11">
      <c r="A26" s="126" t="s">
        <v>265</v>
      </c>
      <c r="B26" s="114"/>
      <c r="C26" s="114"/>
      <c r="D26" s="114"/>
      <c r="E26" s="113"/>
    </row>
    <row r="27" spans="1:11">
      <c r="A27" s="127"/>
      <c r="B27" s="161" t="s">
        <v>400</v>
      </c>
      <c r="C27" s="161" t="s">
        <v>401</v>
      </c>
      <c r="D27" s="164"/>
      <c r="E27" s="128"/>
    </row>
    <row r="28" spans="1:11">
      <c r="A28" s="127" t="s">
        <v>402</v>
      </c>
      <c r="B28" s="123">
        <v>18545320.216570791</v>
      </c>
      <c r="C28" s="141">
        <v>0.9079821747076694</v>
      </c>
      <c r="D28" s="164"/>
      <c r="E28" s="128"/>
      <c r="G28" s="162"/>
    </row>
    <row r="29" spans="1:11">
      <c r="A29" s="127" t="s">
        <v>403</v>
      </c>
      <c r="B29" s="140">
        <v>1879442.2216803492</v>
      </c>
      <c r="C29" s="141">
        <v>9.201782529233056E-2</v>
      </c>
      <c r="D29" s="164"/>
      <c r="E29" s="128"/>
    </row>
    <row r="30" spans="1:11">
      <c r="A30" s="127"/>
      <c r="B30" s="123">
        <v>20424762.438251141</v>
      </c>
      <c r="C30" s="164"/>
      <c r="D30" s="164"/>
      <c r="E30" s="128"/>
    </row>
    <row r="31" spans="1:11">
      <c r="A31" s="127"/>
      <c r="B31" s="164"/>
      <c r="C31" s="164"/>
      <c r="D31" s="164"/>
      <c r="E31" s="128"/>
    </row>
    <row r="32" spans="1:11" ht="15.75" thickBot="1">
      <c r="A32" s="112"/>
      <c r="B32" s="115"/>
      <c r="C32" s="115"/>
      <c r="D32" s="115"/>
      <c r="E32" s="136"/>
    </row>
    <row r="36" spans="4:4">
      <c r="D36" s="162"/>
    </row>
  </sheetData>
  <mergeCells count="6">
    <mergeCell ref="A4:H4"/>
    <mergeCell ref="B6:E6"/>
    <mergeCell ref="G6:H6"/>
    <mergeCell ref="B7:C7"/>
    <mergeCell ref="D7:E7"/>
    <mergeCell ref="G7:H7"/>
  </mergeCells>
  <printOptions horizontalCentered="1"/>
  <pageMargins left="0.7" right="0.7" top="0.75" bottom="0.75" header="0.3" footer="0.3"/>
  <pageSetup scale="91" orientation="portrait" r:id="rId1"/>
  <headerFooter>
    <oddFooter>&amp;L&amp;F - &amp;A&amp;R&amp;P of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:S175"/>
  <sheetViews>
    <sheetView showGridLines="0" view="pageBreakPreview" zoomScaleNormal="100" zoomScaleSheetLayoutView="100" workbookViewId="0">
      <pane ySplit="6" topLeftCell="A28" activePane="bottomLeft" state="frozen"/>
      <selection activeCell="C55" sqref="C55"/>
      <selection pane="bottomLeft" activeCell="C55" sqref="C55"/>
    </sheetView>
  </sheetViews>
  <sheetFormatPr defaultRowHeight="12.75"/>
  <cols>
    <col min="1" max="1" width="22.7109375" style="178" customWidth="1"/>
    <col min="2" max="2" width="23.5703125" style="178" customWidth="1"/>
    <col min="3" max="3" width="10" style="178" customWidth="1"/>
    <col min="4" max="4" width="13.7109375" style="178" customWidth="1"/>
    <col min="5" max="5" width="1.140625" style="178" customWidth="1"/>
    <col min="6" max="6" width="10" style="178" customWidth="1"/>
    <col min="7" max="7" width="11.85546875" style="178" customWidth="1"/>
    <col min="8" max="8" width="1.140625" style="178" customWidth="1"/>
    <col min="9" max="9" width="15" style="178" customWidth="1"/>
    <col min="10" max="10" width="8.140625" style="178" customWidth="1"/>
    <col min="11" max="11" width="9" style="178" customWidth="1"/>
    <col min="12" max="12" width="1.140625" style="178" customWidth="1"/>
    <col min="13" max="13" width="11.140625" style="180" customWidth="1"/>
    <col min="14" max="14" width="1.140625" style="180" customWidth="1"/>
    <col min="15" max="15" width="13.42578125" style="181" customWidth="1"/>
    <col min="16" max="16" width="13.42578125" style="180" customWidth="1"/>
    <col min="17" max="16384" width="9.140625" style="178"/>
  </cols>
  <sheetData>
    <row r="1" spans="1:16" ht="12" customHeight="1">
      <c r="A1" s="198" t="s">
        <v>442</v>
      </c>
      <c r="B1" s="186"/>
      <c r="C1" s="199" t="s">
        <v>443</v>
      </c>
      <c r="D1" s="186"/>
      <c r="E1" s="186"/>
      <c r="F1" s="186"/>
    </row>
    <row r="2" spans="1:16" ht="12" customHeight="1">
      <c r="A2" s="198" t="s">
        <v>444</v>
      </c>
      <c r="B2" s="186"/>
      <c r="C2" s="200"/>
      <c r="D2" s="201"/>
      <c r="E2" s="186"/>
      <c r="F2" s="186"/>
      <c r="I2" s="186"/>
      <c r="O2" s="202">
        <f>M170</f>
        <v>-260.96880137245171</v>
      </c>
      <c r="P2" s="203" t="s">
        <v>445</v>
      </c>
    </row>
    <row r="3" spans="1:16" ht="12" customHeight="1">
      <c r="A3" s="177">
        <v>2017</v>
      </c>
      <c r="B3" s="186"/>
      <c r="C3" s="204" t="s">
        <v>487</v>
      </c>
      <c r="D3" s="205"/>
      <c r="E3" s="186"/>
      <c r="F3" s="186"/>
      <c r="O3" s="181">
        <v>-261</v>
      </c>
    </row>
    <row r="4" spans="1:16" ht="28.5" customHeight="1">
      <c r="A4" s="186"/>
      <c r="B4" s="206"/>
      <c r="C4" s="207">
        <v>2017</v>
      </c>
      <c r="D4" s="208">
        <v>2017</v>
      </c>
      <c r="E4" s="186"/>
      <c r="F4" s="208">
        <v>2017</v>
      </c>
      <c r="G4" s="208" t="s">
        <v>446</v>
      </c>
      <c r="I4" s="209" t="s">
        <v>447</v>
      </c>
      <c r="J4" s="210" t="s">
        <v>448</v>
      </c>
      <c r="K4" s="209" t="s">
        <v>449</v>
      </c>
      <c r="L4" s="186"/>
      <c r="M4" s="279" t="s">
        <v>450</v>
      </c>
      <c r="N4" s="187"/>
      <c r="O4" s="280" t="s">
        <v>451</v>
      </c>
      <c r="P4" s="280"/>
    </row>
    <row r="5" spans="1:16" ht="12" customHeight="1">
      <c r="A5" s="207" t="s">
        <v>1</v>
      </c>
      <c r="B5" s="206" t="s">
        <v>2</v>
      </c>
      <c r="C5" s="211" t="s">
        <v>3</v>
      </c>
      <c r="D5" s="206" t="s">
        <v>4</v>
      </c>
      <c r="E5" s="186"/>
      <c r="F5" s="206" t="s">
        <v>5</v>
      </c>
      <c r="G5" s="206" t="s">
        <v>452</v>
      </c>
      <c r="I5" s="212">
        <v>0.14180179125211698</v>
      </c>
      <c r="J5" s="212">
        <v>0</v>
      </c>
      <c r="K5" s="212">
        <v>0.72954912708871378</v>
      </c>
      <c r="L5" s="206"/>
      <c r="M5" s="279"/>
      <c r="N5" s="213"/>
      <c r="O5" s="214" t="s">
        <v>453</v>
      </c>
      <c r="P5" s="215" t="s">
        <v>454</v>
      </c>
    </row>
    <row r="6" spans="1:16" ht="12" customHeight="1">
      <c r="G6" s="216"/>
      <c r="H6" s="217" t="s">
        <v>455</v>
      </c>
      <c r="I6" s="218">
        <v>4.8999999999999998E-3</v>
      </c>
      <c r="J6" s="216"/>
      <c r="K6" s="216"/>
    </row>
    <row r="7" spans="1:16" s="186" customFormat="1" ht="7.5" customHeight="1">
      <c r="C7" s="200"/>
      <c r="H7" s="178"/>
      <c r="M7" s="187"/>
      <c r="N7" s="187"/>
      <c r="O7" s="188"/>
      <c r="P7" s="187"/>
    </row>
    <row r="8" spans="1:16" s="186" customFormat="1" ht="7.5" customHeight="1">
      <c r="C8" s="200"/>
      <c r="H8" s="178"/>
      <c r="M8" s="187"/>
      <c r="N8" s="187"/>
      <c r="O8" s="188"/>
      <c r="P8" s="187"/>
    </row>
    <row r="9" spans="1:16" s="186" customFormat="1" ht="12" customHeight="1">
      <c r="A9" s="219" t="s">
        <v>6</v>
      </c>
      <c r="B9" s="219" t="s">
        <v>6</v>
      </c>
      <c r="C9" s="200"/>
      <c r="H9" s="178"/>
      <c r="M9" s="187"/>
      <c r="N9" s="187"/>
      <c r="O9" s="188"/>
      <c r="P9" s="187"/>
    </row>
    <row r="10" spans="1:16" s="186" customFormat="1" ht="7.5" customHeight="1">
      <c r="A10" s="219"/>
      <c r="B10" s="219"/>
      <c r="C10" s="200"/>
      <c r="M10" s="187"/>
      <c r="N10" s="187"/>
      <c r="O10" s="188"/>
      <c r="P10" s="187"/>
    </row>
    <row r="11" spans="1:16" s="186" customFormat="1" ht="12" customHeight="1">
      <c r="A11" s="177" t="s">
        <v>7</v>
      </c>
      <c r="B11" s="177" t="s">
        <v>7</v>
      </c>
      <c r="C11" s="182"/>
      <c r="D11" s="184"/>
      <c r="F11" s="184"/>
      <c r="M11" s="187"/>
      <c r="N11" s="187"/>
      <c r="O11" s="188"/>
      <c r="P11" s="187"/>
    </row>
    <row r="12" spans="1:16" s="186" customFormat="1" ht="12" customHeight="1">
      <c r="A12" s="178" t="s">
        <v>8</v>
      </c>
      <c r="B12" s="178" t="s">
        <v>9</v>
      </c>
      <c r="C12" s="182">
        <v>14.27</v>
      </c>
      <c r="D12" s="183">
        <v>3692.7450000000003</v>
      </c>
      <c r="F12" s="184">
        <f>IFERROR(D12/C12,0)</f>
        <v>258.77680448493345</v>
      </c>
      <c r="G12" s="220">
        <f>F12/12</f>
        <v>21.564733707077789</v>
      </c>
      <c r="H12" s="184"/>
      <c r="I12" s="185">
        <f>$I$5*C12</f>
        <v>2.0235115611677092</v>
      </c>
      <c r="M12" s="187">
        <f t="shared" ref="M12:M36" si="0">G12*SUM(I12:J12)*12</f>
        <v>523.6378556372988</v>
      </c>
      <c r="N12" s="187"/>
      <c r="O12" s="188">
        <f t="shared" ref="O12:O36" si="1">+C12+SUM(I12:J12)</f>
        <v>16.293511561167708</v>
      </c>
      <c r="P12" s="187">
        <f>D12+M12</f>
        <v>4216.3828556372991</v>
      </c>
    </row>
    <row r="13" spans="1:16" s="186" customFormat="1" ht="12" customHeight="1">
      <c r="A13" s="178" t="s">
        <v>10</v>
      </c>
      <c r="B13" s="178" t="s">
        <v>11</v>
      </c>
      <c r="C13" s="182">
        <v>11.46</v>
      </c>
      <c r="D13" s="183">
        <v>5895.31</v>
      </c>
      <c r="F13" s="184">
        <f t="shared" ref="F13:F36" si="2">IFERROR(D13/C13,0)</f>
        <v>514.42495636998251</v>
      </c>
      <c r="G13" s="184">
        <f t="shared" ref="G13:G36" si="3">F13/12</f>
        <v>42.868746364165212</v>
      </c>
      <c r="H13" s="184"/>
      <c r="I13" s="185">
        <f t="shared" ref="I13:I36" si="4">$I$5*C13</f>
        <v>1.6250485277492606</v>
      </c>
      <c r="M13" s="187">
        <f t="shared" si="0"/>
        <v>835.96551798651763</v>
      </c>
      <c r="N13" s="187"/>
      <c r="O13" s="188">
        <f t="shared" si="1"/>
        <v>13.085048527749262</v>
      </c>
      <c r="P13" s="187">
        <f t="shared" ref="P13:P36" si="5">D13+M13</f>
        <v>6731.275517986518</v>
      </c>
    </row>
    <row r="14" spans="1:16" s="186" customFormat="1" ht="12" customHeight="1">
      <c r="A14" s="178" t="s">
        <v>12</v>
      </c>
      <c r="B14" s="178" t="s">
        <v>13</v>
      </c>
      <c r="C14" s="182">
        <v>18.2</v>
      </c>
      <c r="D14" s="183">
        <v>211713.65</v>
      </c>
      <c r="F14" s="184">
        <f t="shared" si="2"/>
        <v>11632.618131868132</v>
      </c>
      <c r="G14" s="184">
        <f t="shared" si="3"/>
        <v>969.38484432234429</v>
      </c>
      <c r="H14" s="184"/>
      <c r="I14" s="185">
        <f t="shared" si="4"/>
        <v>2.5807926007885289</v>
      </c>
      <c r="M14" s="187">
        <f t="shared" si="0"/>
        <v>30021.374802523751</v>
      </c>
      <c r="N14" s="187"/>
      <c r="O14" s="188">
        <f t="shared" si="1"/>
        <v>20.78079260078853</v>
      </c>
      <c r="P14" s="187">
        <f t="shared" si="5"/>
        <v>241735.02480252375</v>
      </c>
    </row>
    <row r="15" spans="1:16" s="186" customFormat="1" ht="12" customHeight="1">
      <c r="A15" s="178" t="s">
        <v>14</v>
      </c>
      <c r="B15" s="178" t="s">
        <v>15</v>
      </c>
      <c r="C15" s="182">
        <v>24.19</v>
      </c>
      <c r="D15" s="183">
        <v>48301.590000000004</v>
      </c>
      <c r="F15" s="184">
        <f t="shared" si="2"/>
        <v>1996.7585779247624</v>
      </c>
      <c r="G15" s="184">
        <f t="shared" si="3"/>
        <v>166.39654816039686</v>
      </c>
      <c r="H15" s="184"/>
      <c r="I15" s="185">
        <f t="shared" si="4"/>
        <v>3.43018533038871</v>
      </c>
      <c r="M15" s="187">
        <f t="shared" si="0"/>
        <v>6849.2519823253424</v>
      </c>
      <c r="N15" s="187"/>
      <c r="O15" s="188">
        <f t="shared" si="1"/>
        <v>27.620185330388711</v>
      </c>
      <c r="P15" s="187">
        <f t="shared" si="5"/>
        <v>55150.84198232535</v>
      </c>
    </row>
    <row r="16" spans="1:16" s="186" customFormat="1" ht="12" customHeight="1">
      <c r="A16" s="178" t="s">
        <v>16</v>
      </c>
      <c r="B16" s="178" t="s">
        <v>17</v>
      </c>
      <c r="C16" s="182">
        <v>32.11</v>
      </c>
      <c r="D16" s="183">
        <v>4294.05</v>
      </c>
      <c r="F16" s="184">
        <f t="shared" si="2"/>
        <v>133.72936779819372</v>
      </c>
      <c r="G16" s="184">
        <f t="shared" si="3"/>
        <v>11.144113983182811</v>
      </c>
      <c r="H16" s="184"/>
      <c r="I16" s="185">
        <f t="shared" si="4"/>
        <v>4.5532555171054758</v>
      </c>
      <c r="M16" s="187">
        <f t="shared" si="0"/>
        <v>608.90398172615301</v>
      </c>
      <c r="N16" s="187"/>
      <c r="O16" s="188">
        <f t="shared" si="1"/>
        <v>36.663255517105476</v>
      </c>
      <c r="P16" s="187">
        <f t="shared" si="5"/>
        <v>4902.953981726153</v>
      </c>
    </row>
    <row r="17" spans="1:16" s="186" customFormat="1" ht="12" customHeight="1">
      <c r="A17" s="178" t="s">
        <v>18</v>
      </c>
      <c r="B17" s="178" t="s">
        <v>19</v>
      </c>
      <c r="C17" s="182">
        <v>41.93</v>
      </c>
      <c r="D17" s="183">
        <v>502.88500000000005</v>
      </c>
      <c r="F17" s="184">
        <f t="shared" si="2"/>
        <v>11.993441450035775</v>
      </c>
      <c r="G17" s="184">
        <f t="shared" si="3"/>
        <v>0.99945345416964793</v>
      </c>
      <c r="H17" s="184"/>
      <c r="I17" s="185">
        <f t="shared" si="4"/>
        <v>5.9457491072012649</v>
      </c>
      <c r="M17" s="187">
        <f t="shared" si="0"/>
        <v>71.309993793820851</v>
      </c>
      <c r="N17" s="187"/>
      <c r="O17" s="188">
        <f t="shared" si="1"/>
        <v>47.875749107201266</v>
      </c>
      <c r="P17" s="187">
        <f t="shared" si="5"/>
        <v>574.19499379382091</v>
      </c>
    </row>
    <row r="18" spans="1:16" s="186" customFormat="1" ht="12" customHeight="1">
      <c r="A18" s="178" t="s">
        <v>20</v>
      </c>
      <c r="B18" s="178" t="s">
        <v>21</v>
      </c>
      <c r="C18" s="182">
        <v>25.91</v>
      </c>
      <c r="D18" s="183">
        <v>270469.49500000005</v>
      </c>
      <c r="F18" s="184">
        <f t="shared" si="2"/>
        <v>10438.807217290623</v>
      </c>
      <c r="G18" s="184">
        <f t="shared" si="3"/>
        <v>869.90060144088523</v>
      </c>
      <c r="H18" s="184"/>
      <c r="I18" s="185">
        <f t="shared" si="4"/>
        <v>3.674084411342351</v>
      </c>
      <c r="M18" s="187">
        <f t="shared" si="0"/>
        <v>38353.058870055502</v>
      </c>
      <c r="N18" s="187"/>
      <c r="O18" s="188">
        <f t="shared" si="1"/>
        <v>29.584084411342353</v>
      </c>
      <c r="P18" s="187">
        <f t="shared" si="5"/>
        <v>308822.55387005553</v>
      </c>
    </row>
    <row r="19" spans="1:16" s="186" customFormat="1" ht="12" customHeight="1">
      <c r="A19" s="178" t="s">
        <v>332</v>
      </c>
      <c r="B19" s="178" t="s">
        <v>333</v>
      </c>
      <c r="C19" s="182">
        <v>51.82</v>
      </c>
      <c r="D19" s="183">
        <v>3080.11</v>
      </c>
      <c r="F19" s="184">
        <f t="shared" si="2"/>
        <v>59.438633732149754</v>
      </c>
      <c r="G19" s="184">
        <f t="shared" si="3"/>
        <v>4.9532194776791458</v>
      </c>
      <c r="H19" s="184"/>
      <c r="I19" s="185">
        <f t="shared" si="4"/>
        <v>7.348168822684702</v>
      </c>
      <c r="M19" s="187">
        <f t="shared" si="0"/>
        <v>436.76511525355801</v>
      </c>
      <c r="N19" s="187"/>
      <c r="O19" s="188">
        <f t="shared" si="1"/>
        <v>59.168168822684706</v>
      </c>
      <c r="P19" s="187">
        <f t="shared" si="5"/>
        <v>3516.8751152535583</v>
      </c>
    </row>
    <row r="20" spans="1:16" s="186" customFormat="1" ht="12" customHeight="1">
      <c r="A20" s="178" t="s">
        <v>22</v>
      </c>
      <c r="B20" s="178" t="s">
        <v>23</v>
      </c>
      <c r="C20" s="182">
        <v>77.73</v>
      </c>
      <c r="D20" s="183">
        <v>1860.7500000000002</v>
      </c>
      <c r="F20" s="184">
        <f t="shared" si="2"/>
        <v>23.93863373214975</v>
      </c>
      <c r="G20" s="184">
        <f t="shared" si="3"/>
        <v>1.9948861443458126</v>
      </c>
      <c r="H20" s="184"/>
      <c r="I20" s="185">
        <f t="shared" si="4"/>
        <v>11.022253234027053</v>
      </c>
      <c r="M20" s="187">
        <f t="shared" si="0"/>
        <v>263.85768307237669</v>
      </c>
      <c r="N20" s="187"/>
      <c r="O20" s="188">
        <f t="shared" si="1"/>
        <v>88.752253234027052</v>
      </c>
      <c r="P20" s="187">
        <f t="shared" si="5"/>
        <v>2124.6076830723769</v>
      </c>
    </row>
    <row r="21" spans="1:16" s="186" customFormat="1" ht="12" customHeight="1">
      <c r="A21" s="178" t="s">
        <v>24</v>
      </c>
      <c r="B21" s="178" t="s">
        <v>25</v>
      </c>
      <c r="C21" s="182">
        <v>32.06</v>
      </c>
      <c r="D21" s="183">
        <v>480282.98</v>
      </c>
      <c r="F21" s="184">
        <f t="shared" si="2"/>
        <v>14980.754210854646</v>
      </c>
      <c r="G21" s="184">
        <f t="shared" si="3"/>
        <v>1248.3961842378872</v>
      </c>
      <c r="H21" s="184"/>
      <c r="I21" s="185">
        <f t="shared" si="4"/>
        <v>4.5461654275428707</v>
      </c>
      <c r="M21" s="187">
        <f t="shared" si="0"/>
        <v>68104.986871904664</v>
      </c>
      <c r="N21" s="187"/>
      <c r="O21" s="188">
        <f t="shared" si="1"/>
        <v>36.606165427542877</v>
      </c>
      <c r="P21" s="187">
        <f t="shared" si="5"/>
        <v>548387.96687190467</v>
      </c>
    </row>
    <row r="22" spans="1:16" s="186" customFormat="1" ht="12" customHeight="1">
      <c r="A22" s="178" t="s">
        <v>26</v>
      </c>
      <c r="B22" s="178" t="s">
        <v>27</v>
      </c>
      <c r="C22" s="182">
        <v>64.12</v>
      </c>
      <c r="D22" s="183">
        <v>9665.31</v>
      </c>
      <c r="F22" s="184">
        <f t="shared" si="2"/>
        <v>150.73783530879598</v>
      </c>
      <c r="G22" s="184">
        <f t="shared" si="3"/>
        <v>12.561486275732998</v>
      </c>
      <c r="H22" s="184"/>
      <c r="I22" s="185">
        <f t="shared" si="4"/>
        <v>9.0923308550857413</v>
      </c>
      <c r="M22" s="187">
        <f t="shared" si="0"/>
        <v>1370.5582710069984</v>
      </c>
      <c r="N22" s="187"/>
      <c r="O22" s="188">
        <f t="shared" si="1"/>
        <v>73.212330855085753</v>
      </c>
      <c r="P22" s="187">
        <f t="shared" si="5"/>
        <v>11035.868271006999</v>
      </c>
    </row>
    <row r="23" spans="1:16" s="186" customFormat="1" ht="12" customHeight="1">
      <c r="A23" s="178" t="s">
        <v>28</v>
      </c>
      <c r="B23" s="178" t="s">
        <v>29</v>
      </c>
      <c r="C23" s="182">
        <v>12.61</v>
      </c>
      <c r="D23" s="183">
        <v>176.54</v>
      </c>
      <c r="F23" s="184">
        <f t="shared" si="2"/>
        <v>14</v>
      </c>
      <c r="G23" s="184">
        <f t="shared" si="3"/>
        <v>1.1666666666666667</v>
      </c>
      <c r="H23" s="184"/>
      <c r="I23" s="185">
        <f t="shared" si="4"/>
        <v>1.788120587689195</v>
      </c>
      <c r="M23" s="187">
        <f t="shared" si="0"/>
        <v>25.033688227648732</v>
      </c>
      <c r="N23" s="187"/>
      <c r="O23" s="188">
        <f t="shared" si="1"/>
        <v>14.398120587689194</v>
      </c>
      <c r="P23" s="187">
        <f t="shared" si="5"/>
        <v>201.57368822764872</v>
      </c>
    </row>
    <row r="24" spans="1:16" s="186" customFormat="1" ht="12" customHeight="1">
      <c r="A24" s="178" t="s">
        <v>30</v>
      </c>
      <c r="B24" s="178" t="s">
        <v>31</v>
      </c>
      <c r="C24" s="182">
        <v>12.61</v>
      </c>
      <c r="D24" s="183">
        <v>214.37</v>
      </c>
      <c r="F24" s="184">
        <f t="shared" si="2"/>
        <v>17</v>
      </c>
      <c r="G24" s="184">
        <f t="shared" si="3"/>
        <v>1.4166666666666667</v>
      </c>
      <c r="I24" s="185">
        <f t="shared" si="4"/>
        <v>1.788120587689195</v>
      </c>
      <c r="M24" s="187">
        <f t="shared" si="0"/>
        <v>30.398049990716316</v>
      </c>
      <c r="N24" s="187"/>
      <c r="O24" s="188">
        <f t="shared" si="1"/>
        <v>14.398120587689194</v>
      </c>
      <c r="P24" s="187">
        <f t="shared" si="5"/>
        <v>244.76804999071632</v>
      </c>
    </row>
    <row r="25" spans="1:16" s="186" customFormat="1" ht="12" customHeight="1">
      <c r="A25" s="178" t="s">
        <v>32</v>
      </c>
      <c r="B25" s="178" t="s">
        <v>33</v>
      </c>
      <c r="C25" s="182">
        <v>4.16</v>
      </c>
      <c r="D25" s="183">
        <v>16949.2</v>
      </c>
      <c r="F25" s="184">
        <f t="shared" si="2"/>
        <v>4074.3269230769233</v>
      </c>
      <c r="G25" s="184">
        <f t="shared" si="3"/>
        <v>339.52724358974359</v>
      </c>
      <c r="I25" s="185">
        <f t="shared" si="4"/>
        <v>0.58989545160880663</v>
      </c>
      <c r="M25" s="187">
        <f t="shared" si="0"/>
        <v>2403.4269202903811</v>
      </c>
      <c r="N25" s="187"/>
      <c r="O25" s="188">
        <f t="shared" si="1"/>
        <v>4.7498954516088068</v>
      </c>
      <c r="P25" s="187">
        <f t="shared" si="5"/>
        <v>19352.626920290382</v>
      </c>
    </row>
    <row r="26" spans="1:16" s="186" customFormat="1" ht="12" customHeight="1">
      <c r="A26" s="178" t="s">
        <v>34</v>
      </c>
      <c r="B26" s="178" t="s">
        <v>35</v>
      </c>
      <c r="C26" s="182">
        <v>20.78</v>
      </c>
      <c r="D26" s="183">
        <v>1308.7500000000002</v>
      </c>
      <c r="F26" s="184">
        <f t="shared" si="2"/>
        <v>62.981231953801739</v>
      </c>
      <c r="G26" s="184">
        <f t="shared" si="3"/>
        <v>5.2484359961501452</v>
      </c>
      <c r="I26" s="185">
        <f t="shared" si="4"/>
        <v>2.9466412222189908</v>
      </c>
      <c r="M26" s="187">
        <f t="shared" si="0"/>
        <v>185.58309430120812</v>
      </c>
      <c r="N26" s="187"/>
      <c r="O26" s="188">
        <f t="shared" si="1"/>
        <v>23.726641222218991</v>
      </c>
      <c r="P26" s="187">
        <f t="shared" si="5"/>
        <v>1494.3330943012083</v>
      </c>
    </row>
    <row r="27" spans="1:16" s="186" customFormat="1" ht="12" customHeight="1">
      <c r="A27" s="178" t="s">
        <v>36</v>
      </c>
      <c r="B27" s="178" t="s">
        <v>37</v>
      </c>
      <c r="C27" s="182">
        <v>4.16</v>
      </c>
      <c r="D27" s="183">
        <v>166.42</v>
      </c>
      <c r="F27" s="184">
        <f t="shared" si="2"/>
        <v>40.004807692307686</v>
      </c>
      <c r="G27" s="184">
        <f t="shared" si="3"/>
        <v>3.333733974358974</v>
      </c>
      <c r="I27" s="185">
        <f t="shared" si="4"/>
        <v>0.58989545160880663</v>
      </c>
      <c r="M27" s="187">
        <f t="shared" si="0"/>
        <v>23.598654100177306</v>
      </c>
      <c r="N27" s="187"/>
      <c r="O27" s="188">
        <f t="shared" si="1"/>
        <v>4.7498954516088068</v>
      </c>
      <c r="P27" s="187">
        <f t="shared" si="5"/>
        <v>190.01865410017729</v>
      </c>
    </row>
    <row r="28" spans="1:16" s="186" customFormat="1" ht="12" customHeight="1">
      <c r="A28" s="178" t="s">
        <v>38</v>
      </c>
      <c r="B28" s="178" t="s">
        <v>39</v>
      </c>
      <c r="C28" s="182">
        <v>4.16</v>
      </c>
      <c r="D28" s="183">
        <v>95.64</v>
      </c>
      <c r="F28" s="184">
        <f t="shared" si="2"/>
        <v>22.990384615384613</v>
      </c>
      <c r="G28" s="184">
        <f t="shared" si="3"/>
        <v>1.9158653846153844</v>
      </c>
      <c r="I28" s="185">
        <f t="shared" si="4"/>
        <v>0.58989545160880663</v>
      </c>
      <c r="M28" s="187">
        <f t="shared" si="0"/>
        <v>13.561923315352466</v>
      </c>
      <c r="N28" s="187"/>
      <c r="O28" s="188">
        <f t="shared" si="1"/>
        <v>4.7498954516088068</v>
      </c>
      <c r="P28" s="187">
        <f t="shared" si="5"/>
        <v>109.20192331535247</v>
      </c>
    </row>
    <row r="29" spans="1:16" s="186" customFormat="1" ht="12" customHeight="1">
      <c r="A29" s="178" t="s">
        <v>40</v>
      </c>
      <c r="B29" s="178" t="s">
        <v>41</v>
      </c>
      <c r="C29" s="182">
        <v>20.78</v>
      </c>
      <c r="D29" s="183">
        <v>259.59000000000003</v>
      </c>
      <c r="F29" s="184">
        <f t="shared" si="2"/>
        <v>12.492300288739173</v>
      </c>
      <c r="G29" s="184">
        <f t="shared" si="3"/>
        <v>1.0410250240615977</v>
      </c>
      <c r="I29" s="185">
        <f t="shared" si="4"/>
        <v>2.9466412222189908</v>
      </c>
      <c r="M29" s="187">
        <f t="shared" si="0"/>
        <v>36.810326991137046</v>
      </c>
      <c r="N29" s="187"/>
      <c r="O29" s="188">
        <f t="shared" si="1"/>
        <v>23.726641222218991</v>
      </c>
      <c r="P29" s="187">
        <f t="shared" si="5"/>
        <v>296.40032699113709</v>
      </c>
    </row>
    <row r="30" spans="1:16" s="186" customFormat="1" ht="12" customHeight="1">
      <c r="A30" s="221" t="s">
        <v>456</v>
      </c>
      <c r="B30" s="178" t="s">
        <v>457</v>
      </c>
      <c r="C30" s="182">
        <v>8.4700000000000006</v>
      </c>
      <c r="D30" s="183">
        <v>16.940000000000001</v>
      </c>
      <c r="F30" s="184">
        <f t="shared" si="2"/>
        <v>2</v>
      </c>
      <c r="G30" s="184">
        <f t="shared" si="3"/>
        <v>0.16666666666666666</v>
      </c>
      <c r="I30" s="185">
        <f t="shared" si="4"/>
        <v>1.2010611719054309</v>
      </c>
      <c r="M30" s="187">
        <f t="shared" si="0"/>
        <v>2.4021223438108619</v>
      </c>
      <c r="N30" s="187"/>
      <c r="O30" s="188">
        <f t="shared" si="1"/>
        <v>9.671061171905432</v>
      </c>
      <c r="P30" s="187">
        <f t="shared" si="5"/>
        <v>19.342122343810864</v>
      </c>
    </row>
    <row r="31" spans="1:16" s="186" customFormat="1" ht="12" customHeight="1">
      <c r="A31" s="178" t="s">
        <v>42</v>
      </c>
      <c r="B31" s="178" t="s">
        <v>43</v>
      </c>
      <c r="C31" s="182">
        <v>3.64</v>
      </c>
      <c r="D31" s="183">
        <v>86.800000000000011</v>
      </c>
      <c r="F31" s="184">
        <f t="shared" si="2"/>
        <v>23.846153846153847</v>
      </c>
      <c r="G31" s="184">
        <f t="shared" si="3"/>
        <v>1.9871794871794872</v>
      </c>
      <c r="I31" s="185">
        <f t="shared" si="4"/>
        <v>0.5161585201577058</v>
      </c>
      <c r="M31" s="187">
        <f t="shared" si="0"/>
        <v>12.308395480683753</v>
      </c>
      <c r="N31" s="187"/>
      <c r="O31" s="188">
        <f t="shared" si="1"/>
        <v>4.1561585201577058</v>
      </c>
      <c r="P31" s="187">
        <f t="shared" si="5"/>
        <v>99.108395480683768</v>
      </c>
    </row>
    <row r="32" spans="1:16" s="186" customFormat="1" ht="12" customHeight="1">
      <c r="A32" s="178" t="s">
        <v>334</v>
      </c>
      <c r="B32" s="178" t="s">
        <v>335</v>
      </c>
      <c r="C32" s="182">
        <v>6.97</v>
      </c>
      <c r="D32" s="183">
        <v>5602.1400000000021</v>
      </c>
      <c r="F32" s="184">
        <f t="shared" si="2"/>
        <v>803.75035868005773</v>
      </c>
      <c r="G32" s="184">
        <f t="shared" si="3"/>
        <v>66.979196556671482</v>
      </c>
      <c r="I32" s="185">
        <f t="shared" si="4"/>
        <v>0.98835848502725532</v>
      </c>
      <c r="M32" s="187">
        <f t="shared" si="0"/>
        <v>794.39348684513493</v>
      </c>
      <c r="N32" s="187"/>
      <c r="O32" s="188">
        <f t="shared" si="1"/>
        <v>7.9583584850272553</v>
      </c>
      <c r="P32" s="187">
        <f t="shared" si="5"/>
        <v>6396.5334868451373</v>
      </c>
    </row>
    <row r="33" spans="1:16" s="186" customFormat="1" ht="12" customHeight="1">
      <c r="A33" s="178" t="s">
        <v>336</v>
      </c>
      <c r="B33" s="178" t="s">
        <v>337</v>
      </c>
      <c r="C33" s="182">
        <v>3.64</v>
      </c>
      <c r="D33" s="183">
        <v>0</v>
      </c>
      <c r="F33" s="184">
        <f t="shared" si="2"/>
        <v>0</v>
      </c>
      <c r="G33" s="184">
        <f t="shared" si="3"/>
        <v>0</v>
      </c>
      <c r="I33" s="185">
        <f t="shared" si="4"/>
        <v>0.5161585201577058</v>
      </c>
      <c r="M33" s="187">
        <f t="shared" si="0"/>
        <v>0</v>
      </c>
      <c r="N33" s="187"/>
      <c r="O33" s="188">
        <f t="shared" si="1"/>
        <v>4.1561585201577058</v>
      </c>
      <c r="P33" s="187">
        <f t="shared" si="5"/>
        <v>0</v>
      </c>
    </row>
    <row r="34" spans="1:16" s="186" customFormat="1" ht="12" customHeight="1">
      <c r="A34" s="178" t="s">
        <v>44</v>
      </c>
      <c r="B34" s="178" t="s">
        <v>45</v>
      </c>
      <c r="C34" s="182">
        <v>23.04</v>
      </c>
      <c r="D34" s="183">
        <v>322.56</v>
      </c>
      <c r="F34" s="184">
        <f t="shared" si="2"/>
        <v>14</v>
      </c>
      <c r="G34" s="184">
        <f t="shared" si="3"/>
        <v>1.1666666666666667</v>
      </c>
      <c r="I34" s="185">
        <f t="shared" si="4"/>
        <v>3.2671132704487751</v>
      </c>
      <c r="M34" s="187">
        <f t="shared" si="0"/>
        <v>45.739585786282852</v>
      </c>
      <c r="N34" s="187"/>
      <c r="O34" s="188">
        <f t="shared" si="1"/>
        <v>26.307113270448774</v>
      </c>
      <c r="P34" s="187">
        <f t="shared" si="5"/>
        <v>368.29958578628288</v>
      </c>
    </row>
    <row r="35" spans="1:16" s="186" customFormat="1" ht="12" customHeight="1">
      <c r="A35" s="178" t="s">
        <v>46</v>
      </c>
      <c r="B35" s="178" t="s">
        <v>47</v>
      </c>
      <c r="C35" s="182">
        <v>13.83</v>
      </c>
      <c r="D35" s="183">
        <v>1244.7</v>
      </c>
      <c r="F35" s="184">
        <f t="shared" si="2"/>
        <v>90</v>
      </c>
      <c r="G35" s="184">
        <f t="shared" si="3"/>
        <v>7.5</v>
      </c>
      <c r="I35" s="185">
        <f t="shared" si="4"/>
        <v>1.9611187730167778</v>
      </c>
      <c r="M35" s="187">
        <f t="shared" si="0"/>
        <v>176.50068957151001</v>
      </c>
      <c r="N35" s="187"/>
      <c r="O35" s="188">
        <f t="shared" si="1"/>
        <v>15.791118773016779</v>
      </c>
      <c r="P35" s="187">
        <f t="shared" si="5"/>
        <v>1421.2006895715101</v>
      </c>
    </row>
    <row r="36" spans="1:16" s="186" customFormat="1" ht="12" customHeight="1">
      <c r="A36" s="178" t="s">
        <v>338</v>
      </c>
      <c r="B36" s="178" t="s">
        <v>339</v>
      </c>
      <c r="C36" s="182">
        <v>107.53</v>
      </c>
      <c r="D36" s="183">
        <v>0</v>
      </c>
      <c r="F36" s="184">
        <f t="shared" si="2"/>
        <v>0</v>
      </c>
      <c r="G36" s="184">
        <f t="shared" si="3"/>
        <v>0</v>
      </c>
      <c r="I36" s="185">
        <f t="shared" si="4"/>
        <v>15.247946613340138</v>
      </c>
      <c r="M36" s="187">
        <f t="shared" si="0"/>
        <v>0</v>
      </c>
      <c r="N36" s="187"/>
      <c r="O36" s="188">
        <f t="shared" si="1"/>
        <v>122.77794661334013</v>
      </c>
      <c r="P36" s="187">
        <f t="shared" si="5"/>
        <v>0</v>
      </c>
    </row>
    <row r="37" spans="1:16" s="186" customFormat="1" ht="7.5" customHeight="1" thickBot="1">
      <c r="A37" s="222"/>
      <c r="B37" s="222"/>
      <c r="C37" s="182"/>
      <c r="D37" s="184"/>
      <c r="M37" s="187"/>
      <c r="N37" s="187"/>
      <c r="O37" s="188"/>
      <c r="P37" s="187"/>
    </row>
    <row r="38" spans="1:16" s="186" customFormat="1" ht="12" customHeight="1" thickBot="1">
      <c r="A38" s="189"/>
      <c r="B38" s="190" t="s">
        <v>48</v>
      </c>
      <c r="C38" s="182"/>
      <c r="D38" s="191">
        <f>SUM(D12:D37)</f>
        <v>1066202.5249999999</v>
      </c>
      <c r="F38" s="223"/>
      <c r="G38" s="224">
        <f>SUM(G12:G22)</f>
        <v>3350.164817567867</v>
      </c>
      <c r="I38" s="189"/>
      <c r="M38" s="225">
        <f>SUM(M12:M37)</f>
        <v>151189.42788252997</v>
      </c>
      <c r="N38" s="187"/>
      <c r="O38" s="226"/>
      <c r="P38" s="225">
        <f>SUM(P12:P37)</f>
        <v>1217391.9528825302</v>
      </c>
    </row>
    <row r="39" spans="1:16" s="186" customFormat="1" ht="7.5" customHeight="1">
      <c r="A39" s="219"/>
      <c r="B39" s="227"/>
      <c r="C39" s="182"/>
      <c r="D39" s="183"/>
      <c r="F39" s="184"/>
      <c r="M39" s="187"/>
      <c r="N39" s="187"/>
      <c r="O39" s="188"/>
      <c r="P39" s="187"/>
    </row>
    <row r="40" spans="1:16" s="186" customFormat="1" ht="12" customHeight="1">
      <c r="A40" s="177" t="s">
        <v>340</v>
      </c>
      <c r="B40" s="177" t="s">
        <v>340</v>
      </c>
      <c r="C40" s="182"/>
      <c r="D40" s="183"/>
      <c r="F40" s="184"/>
      <c r="I40" s="178"/>
      <c r="J40" s="178"/>
      <c r="K40" s="178"/>
      <c r="L40" s="178"/>
      <c r="M40" s="180"/>
      <c r="N40" s="180"/>
      <c r="O40" s="181"/>
      <c r="P40" s="180"/>
    </row>
    <row r="41" spans="1:16" s="186" customFormat="1" ht="12" customHeight="1">
      <c r="A41" s="178" t="s">
        <v>341</v>
      </c>
      <c r="B41" s="178" t="s">
        <v>342</v>
      </c>
      <c r="C41" s="182">
        <v>9.98</v>
      </c>
      <c r="D41" s="183">
        <v>4815.3600000000006</v>
      </c>
      <c r="F41" s="184">
        <f>IFERROR(D41/C41,0)</f>
        <v>482.50100200400806</v>
      </c>
      <c r="G41" s="184">
        <f>F41/12</f>
        <v>40.208416833667336</v>
      </c>
      <c r="H41" s="184"/>
      <c r="I41" s="185"/>
      <c r="J41" s="185">
        <f>J5*C41</f>
        <v>0</v>
      </c>
      <c r="K41" s="185">
        <f>K5*D41</f>
        <v>3513.0416846179091</v>
      </c>
      <c r="M41" s="187">
        <f>G41*SUM(I41:J41)*12</f>
        <v>0</v>
      </c>
      <c r="N41" s="187"/>
      <c r="O41" s="188">
        <f>+C41+SUM(I41:J41)</f>
        <v>9.98</v>
      </c>
      <c r="P41" s="187">
        <f t="shared" ref="P41" si="6">D41+M41</f>
        <v>4815.3600000000006</v>
      </c>
    </row>
    <row r="42" spans="1:16" s="186" customFormat="1" ht="7.5" customHeight="1" thickBot="1">
      <c r="A42" s="228"/>
      <c r="B42" s="178"/>
      <c r="C42" s="182"/>
      <c r="D42" s="184"/>
      <c r="F42" s="184"/>
      <c r="M42" s="187"/>
      <c r="N42" s="187"/>
      <c r="O42" s="188"/>
      <c r="P42" s="187"/>
    </row>
    <row r="43" spans="1:16" s="186" customFormat="1" ht="12" customHeight="1" thickBot="1">
      <c r="A43" s="189"/>
      <c r="B43" s="190" t="s">
        <v>343</v>
      </c>
      <c r="C43" s="182"/>
      <c r="D43" s="191">
        <f>SUM(D41:D42)</f>
        <v>4815.3600000000006</v>
      </c>
      <c r="F43" s="223"/>
      <c r="G43" s="224">
        <f>SUM(G41)</f>
        <v>40.208416833667336</v>
      </c>
      <c r="I43" s="229"/>
      <c r="M43" s="225">
        <f>SUM(M41)</f>
        <v>0</v>
      </c>
      <c r="N43" s="187"/>
      <c r="O43" s="226"/>
      <c r="P43" s="225">
        <f>SUM(P41)</f>
        <v>4815.3600000000006</v>
      </c>
    </row>
    <row r="44" spans="1:16" s="186" customFormat="1" ht="6.75" customHeight="1">
      <c r="A44" s="189"/>
      <c r="B44" s="189"/>
      <c r="C44" s="182"/>
      <c r="D44" s="183"/>
      <c r="F44" s="184"/>
      <c r="I44" s="185"/>
      <c r="M44" s="187"/>
      <c r="N44" s="187"/>
      <c r="O44" s="188"/>
      <c r="P44" s="187"/>
    </row>
    <row r="45" spans="1:16" s="186" customFormat="1" ht="6.75" customHeight="1">
      <c r="C45" s="182"/>
      <c r="F45" s="184"/>
      <c r="I45" s="185"/>
      <c r="M45" s="187"/>
      <c r="N45" s="187"/>
      <c r="O45" s="188"/>
      <c r="P45" s="187"/>
    </row>
    <row r="46" spans="1:16" ht="12" customHeight="1">
      <c r="A46" s="219" t="s">
        <v>49</v>
      </c>
      <c r="B46" s="219" t="s">
        <v>49</v>
      </c>
      <c r="I46" s="185"/>
      <c r="J46" s="186"/>
      <c r="K46" s="186"/>
      <c r="L46" s="186"/>
      <c r="M46" s="187"/>
      <c r="N46" s="187"/>
      <c r="O46" s="188"/>
      <c r="P46" s="187"/>
    </row>
    <row r="47" spans="1:16" ht="6.75" customHeight="1">
      <c r="A47" s="219"/>
      <c r="B47" s="219"/>
      <c r="I47" s="185"/>
      <c r="J47" s="186"/>
      <c r="K47" s="186"/>
      <c r="L47" s="186"/>
      <c r="M47" s="187"/>
      <c r="N47" s="187"/>
      <c r="O47" s="188"/>
      <c r="P47" s="187"/>
    </row>
    <row r="48" spans="1:16" s="186" customFormat="1" ht="12" customHeight="1">
      <c r="A48" s="177" t="s">
        <v>50</v>
      </c>
      <c r="B48" s="177" t="s">
        <v>50</v>
      </c>
      <c r="C48" s="182"/>
      <c r="F48" s="184"/>
      <c r="I48" s="185"/>
      <c r="M48" s="187"/>
      <c r="N48" s="187"/>
      <c r="O48" s="188"/>
      <c r="P48" s="187"/>
    </row>
    <row r="49" spans="1:16" s="186" customFormat="1" ht="12" customHeight="1">
      <c r="A49" s="178" t="s">
        <v>51</v>
      </c>
      <c r="B49" s="178" t="s">
        <v>52</v>
      </c>
      <c r="C49" s="182">
        <v>68.25</v>
      </c>
      <c r="D49" s="183">
        <v>209582.46000000002</v>
      </c>
      <c r="F49" s="184">
        <f t="shared" ref="F49:F112" si="7">IFERROR(D49/C49,0)</f>
        <v>3070.805274725275</v>
      </c>
      <c r="G49" s="184">
        <f t="shared" ref="G49:G112" si="8">F49/12</f>
        <v>255.90043956043959</v>
      </c>
      <c r="H49" s="184"/>
      <c r="I49" s="185">
        <f t="shared" ref="I49:I112" si="9">$I$5*C49</f>
        <v>9.6779722529569838</v>
      </c>
      <c r="M49" s="187">
        <f t="shared" ref="M49:M80" si="10">G49*SUM(I49:J49)*12</f>
        <v>29719.16824302516</v>
      </c>
      <c r="N49" s="187"/>
      <c r="O49" s="188">
        <f t="shared" ref="O49:O112" si="11">+C49+SUM(I49:J49)</f>
        <v>77.927972252956977</v>
      </c>
      <c r="P49" s="187">
        <f>D49+M49</f>
        <v>239301.62824302519</v>
      </c>
    </row>
    <row r="50" spans="1:16" s="186" customFormat="1" ht="12" customHeight="1">
      <c r="A50" s="178" t="s">
        <v>344</v>
      </c>
      <c r="B50" s="178" t="s">
        <v>345</v>
      </c>
      <c r="C50" s="182">
        <v>15.75</v>
      </c>
      <c r="D50" s="183">
        <v>189</v>
      </c>
      <c r="F50" s="184">
        <f t="shared" si="7"/>
        <v>12</v>
      </c>
      <c r="G50" s="184">
        <f t="shared" si="8"/>
        <v>1</v>
      </c>
      <c r="H50" s="184"/>
      <c r="I50" s="185">
        <f t="shared" si="9"/>
        <v>2.2333782122208423</v>
      </c>
      <c r="M50" s="187">
        <f t="shared" si="10"/>
        <v>26.80053854665011</v>
      </c>
      <c r="N50" s="187"/>
      <c r="O50" s="188">
        <f t="shared" si="11"/>
        <v>17.983378212220842</v>
      </c>
      <c r="P50" s="187">
        <f t="shared" ref="P50:P113" si="12">D50+M50</f>
        <v>215.8005385466501</v>
      </c>
    </row>
    <row r="51" spans="1:16" s="186" customFormat="1" ht="12" customHeight="1">
      <c r="A51" s="178" t="s">
        <v>458</v>
      </c>
      <c r="B51" s="178" t="s">
        <v>459</v>
      </c>
      <c r="C51" s="182">
        <v>136.5</v>
      </c>
      <c r="D51" s="183">
        <v>1365</v>
      </c>
      <c r="F51" s="184">
        <f t="shared" si="7"/>
        <v>10</v>
      </c>
      <c r="G51" s="184">
        <f t="shared" si="8"/>
        <v>0.83333333333333337</v>
      </c>
      <c r="H51" s="184"/>
      <c r="I51" s="185">
        <f t="shared" si="9"/>
        <v>19.355944505913968</v>
      </c>
      <c r="M51" s="187">
        <f t="shared" si="10"/>
        <v>193.5594450591397</v>
      </c>
      <c r="N51" s="187"/>
      <c r="O51" s="188">
        <f t="shared" si="11"/>
        <v>155.85594450591395</v>
      </c>
      <c r="P51" s="187">
        <f t="shared" si="12"/>
        <v>1558.5594450591398</v>
      </c>
    </row>
    <row r="52" spans="1:16" s="186" customFormat="1" ht="12" customHeight="1">
      <c r="A52" s="178" t="s">
        <v>53</v>
      </c>
      <c r="B52" s="178" t="s">
        <v>54</v>
      </c>
      <c r="C52" s="182">
        <v>204.74</v>
      </c>
      <c r="D52" s="183">
        <v>2456.88</v>
      </c>
      <c r="F52" s="184">
        <f t="shared" si="7"/>
        <v>12</v>
      </c>
      <c r="G52" s="184">
        <f t="shared" si="8"/>
        <v>1</v>
      </c>
      <c r="H52" s="184"/>
      <c r="I52" s="185">
        <f t="shared" si="9"/>
        <v>29.032498740958431</v>
      </c>
      <c r="M52" s="187">
        <f t="shared" si="10"/>
        <v>348.38998489150117</v>
      </c>
      <c r="N52" s="187"/>
      <c r="O52" s="188">
        <f t="shared" si="11"/>
        <v>233.77249874095844</v>
      </c>
      <c r="P52" s="187">
        <f t="shared" si="12"/>
        <v>2805.2699848915013</v>
      </c>
    </row>
    <row r="53" spans="1:16" s="186" customFormat="1" ht="12" customHeight="1">
      <c r="A53" s="178" t="s">
        <v>55</v>
      </c>
      <c r="B53" s="178" t="s">
        <v>56</v>
      </c>
      <c r="C53" s="182">
        <v>23.74</v>
      </c>
      <c r="D53" s="183">
        <v>1424.4000000000003</v>
      </c>
      <c r="F53" s="184">
        <f t="shared" si="7"/>
        <v>60.000000000000014</v>
      </c>
      <c r="G53" s="184">
        <f t="shared" si="8"/>
        <v>5.0000000000000009</v>
      </c>
      <c r="H53" s="184"/>
      <c r="I53" s="185">
        <f t="shared" si="9"/>
        <v>3.366374524325257</v>
      </c>
      <c r="M53" s="187">
        <f t="shared" si="10"/>
        <v>201.98247145951547</v>
      </c>
      <c r="N53" s="187"/>
      <c r="O53" s="188">
        <f t="shared" si="11"/>
        <v>27.106374524325254</v>
      </c>
      <c r="P53" s="187">
        <f t="shared" si="12"/>
        <v>1626.3824714595157</v>
      </c>
    </row>
    <row r="54" spans="1:16" s="186" customFormat="1" ht="12" customHeight="1">
      <c r="A54" s="178" t="s">
        <v>57</v>
      </c>
      <c r="B54" s="178" t="s">
        <v>58</v>
      </c>
      <c r="C54" s="182">
        <v>102.86</v>
      </c>
      <c r="D54" s="183">
        <v>110860.82999999999</v>
      </c>
      <c r="F54" s="184">
        <f t="shared" si="7"/>
        <v>1077.7836865642621</v>
      </c>
      <c r="G54" s="184">
        <f t="shared" si="8"/>
        <v>89.815307213688513</v>
      </c>
      <c r="H54" s="184"/>
      <c r="I54" s="185">
        <f t="shared" si="9"/>
        <v>14.585732248192752</v>
      </c>
      <c r="M54" s="187">
        <f t="shared" si="10"/>
        <v>15720.264273696428</v>
      </c>
      <c r="N54" s="187"/>
      <c r="O54" s="188">
        <f t="shared" si="11"/>
        <v>117.44573224819275</v>
      </c>
      <c r="P54" s="187">
        <f t="shared" si="12"/>
        <v>126581.09427369642</v>
      </c>
    </row>
    <row r="55" spans="1:16" s="186" customFormat="1" ht="12" customHeight="1">
      <c r="A55" s="178" t="s">
        <v>59</v>
      </c>
      <c r="B55" s="178" t="s">
        <v>60</v>
      </c>
      <c r="C55" s="182">
        <v>205.73</v>
      </c>
      <c r="D55" s="183">
        <v>3394.5499999999997</v>
      </c>
      <c r="F55" s="184">
        <f t="shared" si="7"/>
        <v>16.500024303699021</v>
      </c>
      <c r="G55" s="184">
        <f t="shared" si="8"/>
        <v>1.3750020253082518</v>
      </c>
      <c r="H55" s="184"/>
      <c r="I55" s="185">
        <f t="shared" si="9"/>
        <v>29.172882514298024</v>
      </c>
      <c r="M55" s="187">
        <f t="shared" si="10"/>
        <v>481.35327049487358</v>
      </c>
      <c r="N55" s="187"/>
      <c r="O55" s="188">
        <f t="shared" si="11"/>
        <v>234.90288251429803</v>
      </c>
      <c r="P55" s="187">
        <f t="shared" si="12"/>
        <v>3875.9032704948731</v>
      </c>
    </row>
    <row r="56" spans="1:16" s="186" customFormat="1" ht="12" customHeight="1">
      <c r="A56" s="178" t="s">
        <v>61</v>
      </c>
      <c r="B56" s="178" t="s">
        <v>62</v>
      </c>
      <c r="C56" s="182">
        <v>308.58999999999997</v>
      </c>
      <c r="D56" s="183">
        <v>3085.9</v>
      </c>
      <c r="F56" s="184">
        <f t="shared" si="7"/>
        <v>10.000000000000002</v>
      </c>
      <c r="G56" s="184">
        <f t="shared" si="8"/>
        <v>0.83333333333333348</v>
      </c>
      <c r="H56" s="184"/>
      <c r="I56" s="185">
        <f t="shared" si="9"/>
        <v>43.758614762490772</v>
      </c>
      <c r="M56" s="187">
        <f t="shared" si="10"/>
        <v>437.58614762490782</v>
      </c>
      <c r="N56" s="187"/>
      <c r="O56" s="188">
        <f t="shared" si="11"/>
        <v>352.34861476249074</v>
      </c>
      <c r="P56" s="187">
        <f t="shared" si="12"/>
        <v>3523.486147624908</v>
      </c>
    </row>
    <row r="57" spans="1:16" s="186" customFormat="1" ht="12" customHeight="1">
      <c r="A57" s="178" t="s">
        <v>63</v>
      </c>
      <c r="B57" s="178" t="s">
        <v>64</v>
      </c>
      <c r="C57" s="182">
        <v>205.73</v>
      </c>
      <c r="D57" s="183">
        <v>16458.400000000005</v>
      </c>
      <c r="F57" s="184">
        <f t="shared" si="7"/>
        <v>80.000000000000028</v>
      </c>
      <c r="G57" s="184">
        <f t="shared" si="8"/>
        <v>6.6666666666666687</v>
      </c>
      <c r="H57" s="184"/>
      <c r="I57" s="185">
        <f t="shared" si="9"/>
        <v>29.172882514298024</v>
      </c>
      <c r="M57" s="187">
        <f t="shared" si="10"/>
        <v>2333.8306011438426</v>
      </c>
      <c r="N57" s="187"/>
      <c r="O57" s="188">
        <f t="shared" si="11"/>
        <v>234.90288251429803</v>
      </c>
      <c r="P57" s="187">
        <f t="shared" si="12"/>
        <v>18792.230601143849</v>
      </c>
    </row>
    <row r="58" spans="1:16" s="186" customFormat="1" ht="12" customHeight="1">
      <c r="A58" s="178" t="s">
        <v>65</v>
      </c>
      <c r="B58" s="178" t="s">
        <v>66</v>
      </c>
      <c r="C58" s="182">
        <v>308.58999999999997</v>
      </c>
      <c r="D58" s="183">
        <v>7406.1600000000008</v>
      </c>
      <c r="F58" s="184">
        <f t="shared" si="7"/>
        <v>24.000000000000004</v>
      </c>
      <c r="G58" s="184">
        <f t="shared" si="8"/>
        <v>2.0000000000000004</v>
      </c>
      <c r="H58" s="184"/>
      <c r="I58" s="185">
        <f t="shared" si="9"/>
        <v>43.758614762490772</v>
      </c>
      <c r="M58" s="187">
        <f t="shared" si="10"/>
        <v>1050.2067542997788</v>
      </c>
      <c r="N58" s="187"/>
      <c r="O58" s="188">
        <f t="shared" si="11"/>
        <v>352.34861476249074</v>
      </c>
      <c r="P58" s="187">
        <f t="shared" si="12"/>
        <v>8456.3667542997791</v>
      </c>
    </row>
    <row r="59" spans="1:16" s="186" customFormat="1" ht="12" customHeight="1">
      <c r="A59" s="178" t="s">
        <v>67</v>
      </c>
      <c r="B59" s="178" t="s">
        <v>68</v>
      </c>
      <c r="C59" s="182">
        <v>31.64</v>
      </c>
      <c r="D59" s="183">
        <v>1139.04</v>
      </c>
      <c r="F59" s="184">
        <f t="shared" si="7"/>
        <v>36</v>
      </c>
      <c r="G59" s="184">
        <f t="shared" si="8"/>
        <v>3</v>
      </c>
      <c r="H59" s="184"/>
      <c r="I59" s="185">
        <f t="shared" si="9"/>
        <v>4.4866086752169814</v>
      </c>
      <c r="M59" s="187">
        <f t="shared" si="10"/>
        <v>161.51791230781134</v>
      </c>
      <c r="N59" s="187"/>
      <c r="O59" s="188">
        <f t="shared" si="11"/>
        <v>36.126608675216985</v>
      </c>
      <c r="P59" s="187">
        <f t="shared" si="12"/>
        <v>1300.5579123078114</v>
      </c>
    </row>
    <row r="60" spans="1:16" s="186" customFormat="1" ht="12" customHeight="1">
      <c r="A60" s="178" t="s">
        <v>69</v>
      </c>
      <c r="B60" s="178" t="s">
        <v>70</v>
      </c>
      <c r="C60" s="182">
        <v>137.13</v>
      </c>
      <c r="D60" s="183">
        <v>90947.27</v>
      </c>
      <c r="F60" s="184">
        <f t="shared" si="7"/>
        <v>663.21935389776127</v>
      </c>
      <c r="G60" s="184">
        <f t="shared" si="8"/>
        <v>55.268279491480108</v>
      </c>
      <c r="H60" s="184"/>
      <c r="I60" s="185">
        <f t="shared" si="9"/>
        <v>19.445279634402802</v>
      </c>
      <c r="M60" s="187">
        <f t="shared" si="10"/>
        <v>12896.485795489922</v>
      </c>
      <c r="N60" s="187"/>
      <c r="O60" s="188">
        <f t="shared" si="11"/>
        <v>156.57527963440279</v>
      </c>
      <c r="P60" s="187">
        <f t="shared" si="12"/>
        <v>103843.75579548992</v>
      </c>
    </row>
    <row r="61" spans="1:16" s="186" customFormat="1" ht="12" customHeight="1">
      <c r="A61" s="178" t="s">
        <v>71</v>
      </c>
      <c r="B61" s="178" t="s">
        <v>72</v>
      </c>
      <c r="C61" s="182">
        <v>274.25</v>
      </c>
      <c r="D61" s="183">
        <v>6582</v>
      </c>
      <c r="F61" s="184">
        <f t="shared" si="7"/>
        <v>24</v>
      </c>
      <c r="G61" s="184">
        <f t="shared" si="8"/>
        <v>2</v>
      </c>
      <c r="H61" s="184"/>
      <c r="I61" s="185">
        <f t="shared" si="9"/>
        <v>38.889141250893083</v>
      </c>
      <c r="M61" s="187">
        <f t="shared" si="10"/>
        <v>933.33939002143393</v>
      </c>
      <c r="N61" s="187"/>
      <c r="O61" s="188">
        <f t="shared" si="11"/>
        <v>313.13914125089309</v>
      </c>
      <c r="P61" s="187">
        <f t="shared" si="12"/>
        <v>7515.3393900214342</v>
      </c>
    </row>
    <row r="62" spans="1:16" s="186" customFormat="1" ht="12" customHeight="1">
      <c r="A62" s="178" t="s">
        <v>73</v>
      </c>
      <c r="B62" s="178" t="s">
        <v>74</v>
      </c>
      <c r="C62" s="182">
        <v>411.38</v>
      </c>
      <c r="D62" s="183">
        <v>9873.1200000000008</v>
      </c>
      <c r="F62" s="184">
        <f t="shared" si="7"/>
        <v>24.000000000000004</v>
      </c>
      <c r="G62" s="184">
        <f t="shared" si="8"/>
        <v>2.0000000000000004</v>
      </c>
      <c r="H62" s="184"/>
      <c r="I62" s="185">
        <f t="shared" si="9"/>
        <v>58.334420885295884</v>
      </c>
      <c r="M62" s="187">
        <f t="shared" si="10"/>
        <v>1400.0261012471015</v>
      </c>
      <c r="N62" s="187"/>
      <c r="O62" s="188">
        <f t="shared" si="11"/>
        <v>469.71442088529591</v>
      </c>
      <c r="P62" s="187">
        <f t="shared" si="12"/>
        <v>11273.146101247103</v>
      </c>
    </row>
    <row r="63" spans="1:16" s="186" customFormat="1" ht="12" customHeight="1">
      <c r="A63" s="178" t="s">
        <v>75</v>
      </c>
      <c r="B63" s="178" t="s">
        <v>76</v>
      </c>
      <c r="C63" s="182">
        <v>193.92</v>
      </c>
      <c r="D63" s="183">
        <v>68647.680000000008</v>
      </c>
      <c r="F63" s="184">
        <f t="shared" si="7"/>
        <v>354.00000000000006</v>
      </c>
      <c r="G63" s="184">
        <f t="shared" si="8"/>
        <v>29.500000000000004</v>
      </c>
      <c r="H63" s="184"/>
      <c r="I63" s="185">
        <f t="shared" si="9"/>
        <v>27.498203359610521</v>
      </c>
      <c r="M63" s="187">
        <f t="shared" si="10"/>
        <v>9734.3639893021245</v>
      </c>
      <c r="N63" s="187"/>
      <c r="O63" s="188">
        <f t="shared" si="11"/>
        <v>221.41820335961052</v>
      </c>
      <c r="P63" s="187">
        <f t="shared" si="12"/>
        <v>78382.043989302125</v>
      </c>
    </row>
    <row r="64" spans="1:16" s="186" customFormat="1" ht="12" customHeight="1">
      <c r="A64" s="178" t="s">
        <v>77</v>
      </c>
      <c r="B64" s="178" t="s">
        <v>78</v>
      </c>
      <c r="C64" s="182">
        <v>387.83</v>
      </c>
      <c r="D64" s="183">
        <v>6787.0199999999995</v>
      </c>
      <c r="F64" s="184">
        <f t="shared" si="7"/>
        <v>17.499987107753398</v>
      </c>
      <c r="G64" s="184">
        <f t="shared" si="8"/>
        <v>1.4583322589794498</v>
      </c>
      <c r="H64" s="184"/>
      <c r="I64" s="185">
        <f t="shared" si="9"/>
        <v>54.994988701308522</v>
      </c>
      <c r="M64" s="187">
        <f t="shared" si="10"/>
        <v>962.4115932639429</v>
      </c>
      <c r="N64" s="187"/>
      <c r="O64" s="188">
        <f t="shared" si="11"/>
        <v>442.82498870130848</v>
      </c>
      <c r="P64" s="187">
        <f t="shared" si="12"/>
        <v>7749.431593263942</v>
      </c>
    </row>
    <row r="65" spans="1:16" s="186" customFormat="1" ht="12" customHeight="1">
      <c r="A65" s="178" t="s">
        <v>79</v>
      </c>
      <c r="B65" s="178" t="s">
        <v>80</v>
      </c>
      <c r="C65" s="182">
        <v>387.83</v>
      </c>
      <c r="D65" s="183">
        <v>23269.800000000003</v>
      </c>
      <c r="F65" s="184">
        <f t="shared" si="7"/>
        <v>60.000000000000007</v>
      </c>
      <c r="G65" s="184">
        <f t="shared" si="8"/>
        <v>5.0000000000000009</v>
      </c>
      <c r="H65" s="184"/>
      <c r="I65" s="185">
        <f t="shared" si="9"/>
        <v>54.994988701308522</v>
      </c>
      <c r="M65" s="187">
        <f t="shared" si="10"/>
        <v>3299.6993220785121</v>
      </c>
      <c r="N65" s="187"/>
      <c r="O65" s="188">
        <f t="shared" si="11"/>
        <v>442.82498870130848</v>
      </c>
      <c r="P65" s="187">
        <f t="shared" si="12"/>
        <v>26569.499322078515</v>
      </c>
    </row>
    <row r="66" spans="1:16" s="186" customFormat="1" ht="12" customHeight="1">
      <c r="A66" s="178" t="s">
        <v>81</v>
      </c>
      <c r="B66" s="178" t="s">
        <v>82</v>
      </c>
      <c r="C66" s="182">
        <v>581.75</v>
      </c>
      <c r="D66" s="183">
        <v>6981</v>
      </c>
      <c r="F66" s="184">
        <f t="shared" si="7"/>
        <v>12</v>
      </c>
      <c r="G66" s="184">
        <f t="shared" si="8"/>
        <v>1</v>
      </c>
      <c r="H66" s="184"/>
      <c r="I66" s="185">
        <f t="shared" si="9"/>
        <v>82.493192060919057</v>
      </c>
      <c r="M66" s="187">
        <f t="shared" si="10"/>
        <v>989.91830473102868</v>
      </c>
      <c r="N66" s="187"/>
      <c r="O66" s="188">
        <f t="shared" si="11"/>
        <v>664.243192060919</v>
      </c>
      <c r="P66" s="187">
        <f t="shared" si="12"/>
        <v>7970.9183047310289</v>
      </c>
    </row>
    <row r="67" spans="1:16" s="186" customFormat="1" ht="12" customHeight="1">
      <c r="A67" s="178" t="s">
        <v>460</v>
      </c>
      <c r="B67" s="178" t="s">
        <v>461</v>
      </c>
      <c r="C67" s="182">
        <v>1163.5</v>
      </c>
      <c r="D67" s="183">
        <v>11053.26</v>
      </c>
      <c r="F67" s="184">
        <f t="shared" si="7"/>
        <v>9.5000085947571975</v>
      </c>
      <c r="G67" s="184">
        <f t="shared" si="8"/>
        <v>0.79166738289643312</v>
      </c>
      <c r="H67" s="184"/>
      <c r="I67" s="185">
        <f t="shared" si="9"/>
        <v>164.98638412183811</v>
      </c>
      <c r="M67" s="187">
        <f t="shared" si="10"/>
        <v>1567.3720671753745</v>
      </c>
      <c r="N67" s="187"/>
      <c r="O67" s="188">
        <f t="shared" si="11"/>
        <v>1328.486384121838</v>
      </c>
      <c r="P67" s="187">
        <f t="shared" si="12"/>
        <v>12620.632067175375</v>
      </c>
    </row>
    <row r="68" spans="1:16" s="186" customFormat="1" ht="12" customHeight="1">
      <c r="A68" s="178" t="s">
        <v>83</v>
      </c>
      <c r="B68" s="178" t="s">
        <v>84</v>
      </c>
      <c r="C68" s="182">
        <v>257.54000000000002</v>
      </c>
      <c r="D68" s="183">
        <v>43073.64</v>
      </c>
      <c r="F68" s="184">
        <f t="shared" si="7"/>
        <v>167.25029121689832</v>
      </c>
      <c r="G68" s="184">
        <f t="shared" si="8"/>
        <v>13.93752426807486</v>
      </c>
      <c r="H68" s="184"/>
      <c r="I68" s="185">
        <f t="shared" si="9"/>
        <v>36.519633319070209</v>
      </c>
      <c r="M68" s="187">
        <f t="shared" si="10"/>
        <v>6107.9193077488353</v>
      </c>
      <c r="N68" s="187"/>
      <c r="O68" s="188">
        <f t="shared" si="11"/>
        <v>294.05963331907026</v>
      </c>
      <c r="P68" s="187">
        <f t="shared" si="12"/>
        <v>49181.559307748837</v>
      </c>
    </row>
    <row r="69" spans="1:16" s="186" customFormat="1" ht="12" customHeight="1">
      <c r="A69" s="178" t="s">
        <v>85</v>
      </c>
      <c r="B69" s="178" t="s">
        <v>86</v>
      </c>
      <c r="C69" s="182">
        <v>515.09</v>
      </c>
      <c r="D69" s="183">
        <v>19058.34</v>
      </c>
      <c r="F69" s="184">
        <f t="shared" si="7"/>
        <v>37.000019414082971</v>
      </c>
      <c r="G69" s="184">
        <f t="shared" si="8"/>
        <v>3.083334951173581</v>
      </c>
      <c r="H69" s="184"/>
      <c r="I69" s="185">
        <f t="shared" si="9"/>
        <v>73.040684656052932</v>
      </c>
      <c r="M69" s="187">
        <f t="shared" si="10"/>
        <v>2702.506750291871</v>
      </c>
      <c r="N69" s="187"/>
      <c r="O69" s="188">
        <f t="shared" si="11"/>
        <v>588.13068465605295</v>
      </c>
      <c r="P69" s="187">
        <f t="shared" si="12"/>
        <v>21760.846750291872</v>
      </c>
    </row>
    <row r="70" spans="1:16" s="186" customFormat="1" ht="12" customHeight="1">
      <c r="A70" s="178" t="s">
        <v>462</v>
      </c>
      <c r="B70" s="178" t="s">
        <v>463</v>
      </c>
      <c r="C70" s="182">
        <v>515.09</v>
      </c>
      <c r="D70" s="183">
        <v>5150.9000000000005</v>
      </c>
      <c r="F70" s="184">
        <f t="shared" si="7"/>
        <v>10</v>
      </c>
      <c r="G70" s="184">
        <f t="shared" si="8"/>
        <v>0.83333333333333337</v>
      </c>
      <c r="H70" s="184"/>
      <c r="I70" s="185">
        <f t="shared" si="9"/>
        <v>73.040684656052932</v>
      </c>
      <c r="M70" s="187">
        <f t="shared" si="10"/>
        <v>730.40684656052929</v>
      </c>
      <c r="N70" s="187"/>
      <c r="O70" s="188">
        <f t="shared" si="11"/>
        <v>588.13068465605295</v>
      </c>
      <c r="P70" s="187">
        <f t="shared" si="12"/>
        <v>5881.3068465605302</v>
      </c>
    </row>
    <row r="71" spans="1:16" s="186" customFormat="1" ht="12" customHeight="1">
      <c r="A71" s="178" t="s">
        <v>87</v>
      </c>
      <c r="B71" s="178" t="s">
        <v>88</v>
      </c>
      <c r="C71" s="182">
        <v>772.63</v>
      </c>
      <c r="D71" s="183">
        <v>9271.56</v>
      </c>
      <c r="F71" s="184">
        <f t="shared" si="7"/>
        <v>12</v>
      </c>
      <c r="G71" s="184">
        <f t="shared" si="8"/>
        <v>1</v>
      </c>
      <c r="H71" s="184"/>
      <c r="I71" s="185">
        <f t="shared" si="9"/>
        <v>109.56031797512314</v>
      </c>
      <c r="M71" s="187">
        <f t="shared" si="10"/>
        <v>1314.7238157014776</v>
      </c>
      <c r="N71" s="187"/>
      <c r="O71" s="188">
        <f t="shared" si="11"/>
        <v>882.19031797512309</v>
      </c>
      <c r="P71" s="187">
        <f t="shared" si="12"/>
        <v>10586.283815701478</v>
      </c>
    </row>
    <row r="72" spans="1:16" s="186" customFormat="1" ht="12" customHeight="1">
      <c r="A72" s="178" t="s">
        <v>89</v>
      </c>
      <c r="B72" s="178" t="s">
        <v>90</v>
      </c>
      <c r="C72" s="182">
        <v>1030.17</v>
      </c>
      <c r="D72" s="183">
        <v>12362.04</v>
      </c>
      <c r="F72" s="184">
        <f t="shared" si="7"/>
        <v>12</v>
      </c>
      <c r="G72" s="184">
        <f t="shared" si="8"/>
        <v>1</v>
      </c>
      <c r="H72" s="184"/>
      <c r="I72" s="185">
        <f t="shared" si="9"/>
        <v>146.07995129419336</v>
      </c>
      <c r="M72" s="187">
        <f t="shared" si="10"/>
        <v>1752.9594155303203</v>
      </c>
      <c r="N72" s="187"/>
      <c r="O72" s="188">
        <f t="shared" si="11"/>
        <v>1176.2499512941934</v>
      </c>
      <c r="P72" s="187">
        <f t="shared" si="12"/>
        <v>14114.999415530321</v>
      </c>
    </row>
    <row r="73" spans="1:16" s="186" customFormat="1" ht="12" customHeight="1">
      <c r="A73" s="178" t="s">
        <v>91</v>
      </c>
      <c r="B73" s="178" t="s">
        <v>92</v>
      </c>
      <c r="C73" s="182">
        <v>375.05</v>
      </c>
      <c r="D73" s="183">
        <v>40130.36</v>
      </c>
      <c r="F73" s="184">
        <f t="shared" si="7"/>
        <v>107.00002666311158</v>
      </c>
      <c r="G73" s="184">
        <f t="shared" si="8"/>
        <v>8.916668888592632</v>
      </c>
      <c r="H73" s="184"/>
      <c r="I73" s="185">
        <f t="shared" si="9"/>
        <v>53.182761809106474</v>
      </c>
      <c r="M73" s="187">
        <f t="shared" si="10"/>
        <v>5690.5569315923049</v>
      </c>
      <c r="N73" s="187"/>
      <c r="O73" s="188">
        <f t="shared" si="11"/>
        <v>428.23276180910648</v>
      </c>
      <c r="P73" s="187">
        <f t="shared" si="12"/>
        <v>45820.916931592306</v>
      </c>
    </row>
    <row r="74" spans="1:16" s="186" customFormat="1" ht="12" customHeight="1">
      <c r="A74" s="178" t="s">
        <v>93</v>
      </c>
      <c r="B74" s="178" t="s">
        <v>94</v>
      </c>
      <c r="C74" s="182">
        <v>750.11</v>
      </c>
      <c r="D74" s="183">
        <v>7501.0999999999985</v>
      </c>
      <c r="F74" s="184">
        <f t="shared" si="7"/>
        <v>9.9999999999999982</v>
      </c>
      <c r="G74" s="184">
        <f t="shared" si="8"/>
        <v>0.83333333333333315</v>
      </c>
      <c r="H74" s="184"/>
      <c r="I74" s="185">
        <f t="shared" si="9"/>
        <v>106.36694163612546</v>
      </c>
      <c r="M74" s="187">
        <f t="shared" si="10"/>
        <v>1063.6694163612542</v>
      </c>
      <c r="N74" s="187"/>
      <c r="O74" s="188">
        <f t="shared" si="11"/>
        <v>856.4769416361255</v>
      </c>
      <c r="P74" s="187">
        <f t="shared" si="12"/>
        <v>8564.7694163612523</v>
      </c>
    </row>
    <row r="75" spans="1:16" s="186" customFormat="1" ht="12" customHeight="1">
      <c r="A75" s="178" t="s">
        <v>95</v>
      </c>
      <c r="B75" s="178" t="s">
        <v>96</v>
      </c>
      <c r="C75" s="182">
        <v>750.11</v>
      </c>
      <c r="D75" s="183">
        <v>9001.32</v>
      </c>
      <c r="F75" s="184">
        <f t="shared" si="7"/>
        <v>12</v>
      </c>
      <c r="G75" s="184">
        <f t="shared" si="8"/>
        <v>1</v>
      </c>
      <c r="H75" s="184"/>
      <c r="I75" s="185">
        <f t="shared" si="9"/>
        <v>106.36694163612546</v>
      </c>
      <c r="M75" s="187">
        <f t="shared" si="10"/>
        <v>1276.4032996335054</v>
      </c>
      <c r="N75" s="187"/>
      <c r="O75" s="188">
        <f t="shared" si="11"/>
        <v>856.4769416361255</v>
      </c>
      <c r="P75" s="187">
        <f t="shared" si="12"/>
        <v>10277.723299633504</v>
      </c>
    </row>
    <row r="76" spans="1:16" s="186" customFormat="1" ht="12" customHeight="1">
      <c r="A76" s="178" t="s">
        <v>97</v>
      </c>
      <c r="B76" s="178" t="s">
        <v>98</v>
      </c>
      <c r="C76" s="182">
        <v>1500.21</v>
      </c>
      <c r="D76" s="183">
        <v>18002.519999999997</v>
      </c>
      <c r="F76" s="184">
        <f t="shared" si="7"/>
        <v>11.999999999999998</v>
      </c>
      <c r="G76" s="184">
        <f t="shared" si="8"/>
        <v>0.99999999999999989</v>
      </c>
      <c r="H76" s="184"/>
      <c r="I76" s="185">
        <f t="shared" si="9"/>
        <v>212.73246525433842</v>
      </c>
      <c r="M76" s="187">
        <f t="shared" si="10"/>
        <v>2552.7895830520606</v>
      </c>
      <c r="N76" s="187"/>
      <c r="O76" s="188">
        <f t="shared" si="11"/>
        <v>1712.9424652543385</v>
      </c>
      <c r="P76" s="187">
        <f t="shared" si="12"/>
        <v>20555.309583052058</v>
      </c>
    </row>
    <row r="77" spans="1:16" s="186" customFormat="1" ht="12" customHeight="1">
      <c r="A77" s="178" t="s">
        <v>346</v>
      </c>
      <c r="B77" s="178" t="s">
        <v>347</v>
      </c>
      <c r="C77" s="182">
        <v>1875.26</v>
      </c>
      <c r="D77" s="183">
        <v>22503.119999999995</v>
      </c>
      <c r="F77" s="184">
        <f t="shared" si="7"/>
        <v>11.999999999999998</v>
      </c>
      <c r="G77" s="184">
        <f t="shared" si="8"/>
        <v>0.99999999999999989</v>
      </c>
      <c r="H77" s="184"/>
      <c r="I77" s="185">
        <f t="shared" si="9"/>
        <v>265.91522706344489</v>
      </c>
      <c r="M77" s="187">
        <f t="shared" si="10"/>
        <v>3190.982724761338</v>
      </c>
      <c r="N77" s="187"/>
      <c r="O77" s="188">
        <f t="shared" si="11"/>
        <v>2141.1752270634447</v>
      </c>
      <c r="P77" s="187">
        <f t="shared" si="12"/>
        <v>25694.102724761335</v>
      </c>
    </row>
    <row r="78" spans="1:16" s="186" customFormat="1" ht="12" customHeight="1">
      <c r="A78" s="178" t="s">
        <v>99</v>
      </c>
      <c r="B78" s="178" t="s">
        <v>100</v>
      </c>
      <c r="C78" s="182">
        <v>488.17</v>
      </c>
      <c r="D78" s="183">
        <v>5858.04</v>
      </c>
      <c r="F78" s="184">
        <f t="shared" si="7"/>
        <v>12</v>
      </c>
      <c r="G78" s="184">
        <f t="shared" si="8"/>
        <v>1</v>
      </c>
      <c r="H78" s="184"/>
      <c r="I78" s="185">
        <f t="shared" si="9"/>
        <v>69.223380435545948</v>
      </c>
      <c r="M78" s="187">
        <f t="shared" si="10"/>
        <v>830.68056522655138</v>
      </c>
      <c r="N78" s="187"/>
      <c r="O78" s="188">
        <f t="shared" si="11"/>
        <v>557.39338043554596</v>
      </c>
      <c r="P78" s="187">
        <f t="shared" si="12"/>
        <v>6688.7205652265511</v>
      </c>
    </row>
    <row r="79" spans="1:16" s="186" customFormat="1" ht="12" customHeight="1">
      <c r="A79" s="178" t="s">
        <v>101</v>
      </c>
      <c r="B79" s="178" t="s">
        <v>102</v>
      </c>
      <c r="C79" s="182">
        <v>976.33</v>
      </c>
      <c r="D79" s="183">
        <v>11715.960000000001</v>
      </c>
      <c r="F79" s="184">
        <f t="shared" si="7"/>
        <v>12</v>
      </c>
      <c r="G79" s="184">
        <f t="shared" si="8"/>
        <v>1</v>
      </c>
      <c r="H79" s="184"/>
      <c r="I79" s="185">
        <f t="shared" si="9"/>
        <v>138.44534285317937</v>
      </c>
      <c r="M79" s="187">
        <f t="shared" si="10"/>
        <v>1661.3441142381525</v>
      </c>
      <c r="N79" s="187"/>
      <c r="O79" s="188">
        <f t="shared" si="11"/>
        <v>1114.7753428531794</v>
      </c>
      <c r="P79" s="187">
        <f t="shared" si="12"/>
        <v>13377.304114238153</v>
      </c>
    </row>
    <row r="80" spans="1:16" s="186" customFormat="1" ht="12" customHeight="1">
      <c r="A80" s="178" t="s">
        <v>103</v>
      </c>
      <c r="B80" s="178" t="s">
        <v>104</v>
      </c>
      <c r="C80" s="182">
        <v>18.5</v>
      </c>
      <c r="D80" s="183">
        <v>10614.42</v>
      </c>
      <c r="F80" s="184">
        <f t="shared" si="7"/>
        <v>573.75243243243244</v>
      </c>
      <c r="G80" s="184">
        <f t="shared" si="8"/>
        <v>47.812702702702701</v>
      </c>
      <c r="H80" s="184"/>
      <c r="I80" s="185">
        <f t="shared" si="9"/>
        <v>2.6233331381641642</v>
      </c>
      <c r="M80" s="187">
        <f t="shared" si="10"/>
        <v>1505.1437691022957</v>
      </c>
      <c r="N80" s="187"/>
      <c r="O80" s="188">
        <f t="shared" si="11"/>
        <v>21.123333138164163</v>
      </c>
      <c r="P80" s="187">
        <f t="shared" si="12"/>
        <v>12119.563769102297</v>
      </c>
    </row>
    <row r="81" spans="1:16" s="186" customFormat="1" ht="12" customHeight="1">
      <c r="A81" s="178" t="s">
        <v>105</v>
      </c>
      <c r="B81" s="178" t="s">
        <v>106</v>
      </c>
      <c r="C81" s="182">
        <v>36.9</v>
      </c>
      <c r="D81" s="183">
        <v>2887.43</v>
      </c>
      <c r="F81" s="184">
        <f t="shared" si="7"/>
        <v>78.250135501355018</v>
      </c>
      <c r="G81" s="184">
        <f t="shared" si="8"/>
        <v>6.5208446251129182</v>
      </c>
      <c r="H81" s="184"/>
      <c r="I81" s="185">
        <f t="shared" si="9"/>
        <v>5.2324860972031164</v>
      </c>
      <c r="M81" s="187">
        <f t="shared" ref="M81:M129" si="13">G81*SUM(I81:J81)*12</f>
        <v>409.44274611510014</v>
      </c>
      <c r="N81" s="187"/>
      <c r="O81" s="188">
        <f t="shared" si="11"/>
        <v>42.132486097203113</v>
      </c>
      <c r="P81" s="187">
        <f t="shared" si="12"/>
        <v>3296.8727461151002</v>
      </c>
    </row>
    <row r="82" spans="1:16" s="186" customFormat="1" ht="12" customHeight="1">
      <c r="A82" s="178" t="s">
        <v>348</v>
      </c>
      <c r="B82" s="178" t="s">
        <v>349</v>
      </c>
      <c r="C82" s="182">
        <v>55.35</v>
      </c>
      <c r="D82" s="183">
        <v>0</v>
      </c>
      <c r="F82" s="184">
        <f t="shared" si="7"/>
        <v>0</v>
      </c>
      <c r="G82" s="184">
        <f t="shared" si="8"/>
        <v>0</v>
      </c>
      <c r="H82" s="184"/>
      <c r="I82" s="185">
        <f t="shared" si="9"/>
        <v>7.8487291458046746</v>
      </c>
      <c r="M82" s="187">
        <f t="shared" si="13"/>
        <v>0</v>
      </c>
      <c r="N82" s="187"/>
      <c r="O82" s="188">
        <f t="shared" si="11"/>
        <v>63.198729145804677</v>
      </c>
      <c r="P82" s="187">
        <f t="shared" si="12"/>
        <v>0</v>
      </c>
    </row>
    <row r="83" spans="1:16" s="186" customFormat="1" ht="12" customHeight="1">
      <c r="A83" s="178" t="s">
        <v>107</v>
      </c>
      <c r="B83" s="178" t="s">
        <v>108</v>
      </c>
      <c r="C83" s="182">
        <v>34.409999999999997</v>
      </c>
      <c r="D83" s="183">
        <v>15178.949999999999</v>
      </c>
      <c r="F83" s="184">
        <f t="shared" si="7"/>
        <v>441.12031386224936</v>
      </c>
      <c r="G83" s="184">
        <f t="shared" si="8"/>
        <v>36.760026155187447</v>
      </c>
      <c r="H83" s="184"/>
      <c r="I83" s="185">
        <f t="shared" si="9"/>
        <v>4.8793996369853447</v>
      </c>
      <c r="M83" s="187">
        <f t="shared" si="13"/>
        <v>2152.4022993263211</v>
      </c>
      <c r="N83" s="187"/>
      <c r="O83" s="188">
        <f t="shared" si="11"/>
        <v>39.289399636985344</v>
      </c>
      <c r="P83" s="187">
        <f t="shared" si="12"/>
        <v>17331.352299326321</v>
      </c>
    </row>
    <row r="84" spans="1:16" s="186" customFormat="1" ht="12" customHeight="1">
      <c r="A84" s="178" t="s">
        <v>350</v>
      </c>
      <c r="B84" s="178" t="s">
        <v>351</v>
      </c>
      <c r="C84" s="182">
        <v>68.83</v>
      </c>
      <c r="D84" s="183">
        <v>3303.8400000000006</v>
      </c>
      <c r="F84" s="184">
        <f t="shared" si="7"/>
        <v>48.000000000000007</v>
      </c>
      <c r="G84" s="184">
        <f t="shared" si="8"/>
        <v>4.0000000000000009</v>
      </c>
      <c r="H84" s="184"/>
      <c r="I84" s="185">
        <f t="shared" si="9"/>
        <v>9.7602172918832117</v>
      </c>
      <c r="M84" s="187">
        <f t="shared" si="13"/>
        <v>468.49043001039422</v>
      </c>
      <c r="N84" s="187"/>
      <c r="O84" s="188">
        <f t="shared" si="11"/>
        <v>78.590217291883206</v>
      </c>
      <c r="P84" s="187">
        <f t="shared" si="12"/>
        <v>3772.3304300103946</v>
      </c>
    </row>
    <row r="85" spans="1:16" s="186" customFormat="1" ht="12" customHeight="1">
      <c r="A85" s="178" t="s">
        <v>109</v>
      </c>
      <c r="B85" s="178" t="s">
        <v>110</v>
      </c>
      <c r="C85" s="182">
        <v>172.07</v>
      </c>
      <c r="D85" s="183">
        <v>2064.8399999999997</v>
      </c>
      <c r="F85" s="184">
        <f t="shared" si="7"/>
        <v>11.999999999999998</v>
      </c>
      <c r="G85" s="184">
        <f t="shared" si="8"/>
        <v>0.99999999999999989</v>
      </c>
      <c r="H85" s="184"/>
      <c r="I85" s="185">
        <f t="shared" si="9"/>
        <v>24.399834220751767</v>
      </c>
      <c r="M85" s="187">
        <f t="shared" si="13"/>
        <v>292.79801064902119</v>
      </c>
      <c r="N85" s="187"/>
      <c r="O85" s="188">
        <f t="shared" si="11"/>
        <v>196.46983422075175</v>
      </c>
      <c r="P85" s="187">
        <f t="shared" si="12"/>
        <v>2357.638010649021</v>
      </c>
    </row>
    <row r="86" spans="1:16" s="186" customFormat="1" ht="12" customHeight="1">
      <c r="A86" s="178" t="s">
        <v>111</v>
      </c>
      <c r="B86" s="178" t="s">
        <v>112</v>
      </c>
      <c r="C86" s="182">
        <v>41.17</v>
      </c>
      <c r="D86" s="183">
        <v>66345.48</v>
      </c>
      <c r="F86" s="184">
        <f t="shared" si="7"/>
        <v>1611.5006072382801</v>
      </c>
      <c r="G86" s="184">
        <f t="shared" si="8"/>
        <v>134.29171726985666</v>
      </c>
      <c r="H86" s="184"/>
      <c r="I86" s="185">
        <f t="shared" si="9"/>
        <v>5.8379797458496565</v>
      </c>
      <c r="M86" s="187">
        <f t="shared" si="13"/>
        <v>9407.9079054815011</v>
      </c>
      <c r="N86" s="187"/>
      <c r="O86" s="188">
        <f t="shared" si="11"/>
        <v>47.00797974584966</v>
      </c>
      <c r="P86" s="187">
        <f t="shared" si="12"/>
        <v>75753.387905481504</v>
      </c>
    </row>
    <row r="87" spans="1:16" s="186" customFormat="1" ht="12" customHeight="1">
      <c r="A87" s="178" t="s">
        <v>113</v>
      </c>
      <c r="B87" s="178" t="s">
        <v>114</v>
      </c>
      <c r="C87" s="182">
        <v>82.33</v>
      </c>
      <c r="D87" s="183">
        <v>12915.13</v>
      </c>
      <c r="F87" s="184">
        <f t="shared" si="7"/>
        <v>156.87027814891292</v>
      </c>
      <c r="G87" s="184">
        <f t="shared" si="8"/>
        <v>13.072523179076077</v>
      </c>
      <c r="H87" s="184"/>
      <c r="I87" s="185">
        <f t="shared" si="9"/>
        <v>11.674541473786791</v>
      </c>
      <c r="M87" s="187">
        <f t="shared" si="13"/>
        <v>1831.3885682539535</v>
      </c>
      <c r="N87" s="187"/>
      <c r="O87" s="188">
        <f t="shared" si="11"/>
        <v>94.004541473786787</v>
      </c>
      <c r="P87" s="187">
        <f t="shared" si="12"/>
        <v>14746.518568253952</v>
      </c>
    </row>
    <row r="88" spans="1:16" s="186" customFormat="1" ht="12" customHeight="1">
      <c r="A88" s="178" t="s">
        <v>115</v>
      </c>
      <c r="B88" s="178" t="s">
        <v>116</v>
      </c>
      <c r="C88" s="182">
        <v>82.33</v>
      </c>
      <c r="D88" s="183">
        <v>987.97000000000025</v>
      </c>
      <c r="F88" s="184">
        <f t="shared" si="7"/>
        <v>12.000121462407389</v>
      </c>
      <c r="G88" s="184">
        <f t="shared" si="8"/>
        <v>1.0000101218672823</v>
      </c>
      <c r="H88" s="184"/>
      <c r="I88" s="185">
        <f t="shared" si="9"/>
        <v>11.674541473786791</v>
      </c>
      <c r="M88" s="187">
        <f t="shared" si="13"/>
        <v>140.09591570335405</v>
      </c>
      <c r="N88" s="187"/>
      <c r="O88" s="188">
        <f t="shared" si="11"/>
        <v>94.004541473786787</v>
      </c>
      <c r="P88" s="187">
        <f t="shared" si="12"/>
        <v>1128.0659157033542</v>
      </c>
    </row>
    <row r="89" spans="1:16" s="186" customFormat="1" ht="12" customHeight="1">
      <c r="A89" s="178" t="s">
        <v>117</v>
      </c>
      <c r="B89" s="178" t="s">
        <v>118</v>
      </c>
      <c r="C89" s="182">
        <v>329.3</v>
      </c>
      <c r="D89" s="183">
        <v>3951.6000000000008</v>
      </c>
      <c r="F89" s="184">
        <f t="shared" si="7"/>
        <v>12.000000000000002</v>
      </c>
      <c r="G89" s="184">
        <f t="shared" si="8"/>
        <v>1.0000000000000002</v>
      </c>
      <c r="H89" s="184"/>
      <c r="I89" s="185">
        <f t="shared" si="9"/>
        <v>46.695329859322122</v>
      </c>
      <c r="M89" s="187">
        <f t="shared" si="13"/>
        <v>560.34395831186555</v>
      </c>
      <c r="N89" s="187"/>
      <c r="O89" s="188">
        <f t="shared" si="11"/>
        <v>375.99532985932211</v>
      </c>
      <c r="P89" s="187">
        <f t="shared" si="12"/>
        <v>4511.9439583118665</v>
      </c>
    </row>
    <row r="90" spans="1:16" s="186" customFormat="1" ht="12" customHeight="1">
      <c r="A90" s="178" t="s">
        <v>139</v>
      </c>
      <c r="B90" s="178" t="s">
        <v>140</v>
      </c>
      <c r="C90" s="182">
        <v>18.36</v>
      </c>
      <c r="D90" s="183">
        <v>110.16</v>
      </c>
      <c r="F90" s="184">
        <f t="shared" si="7"/>
        <v>6</v>
      </c>
      <c r="G90" s="184">
        <f t="shared" si="8"/>
        <v>0.5</v>
      </c>
      <c r="H90" s="184"/>
      <c r="I90" s="185">
        <f t="shared" si="9"/>
        <v>2.6034808873888675</v>
      </c>
      <c r="M90" s="187">
        <f t="shared" si="13"/>
        <v>15.620885324333205</v>
      </c>
      <c r="N90" s="187"/>
      <c r="O90" s="188">
        <f t="shared" si="11"/>
        <v>20.963480887388869</v>
      </c>
      <c r="P90" s="187">
        <f t="shared" si="12"/>
        <v>125.7808853243332</v>
      </c>
    </row>
    <row r="91" spans="1:16" s="186" customFormat="1" ht="12" customHeight="1">
      <c r="A91" s="178" t="s">
        <v>137</v>
      </c>
      <c r="B91" s="178" t="s">
        <v>138</v>
      </c>
      <c r="C91" s="182">
        <v>27.66</v>
      </c>
      <c r="D91" s="183">
        <v>165.96</v>
      </c>
      <c r="F91" s="184">
        <f t="shared" si="7"/>
        <v>6</v>
      </c>
      <c r="G91" s="184">
        <f t="shared" si="8"/>
        <v>0.5</v>
      </c>
      <c r="H91" s="184"/>
      <c r="I91" s="185">
        <f t="shared" si="9"/>
        <v>3.9222375460335557</v>
      </c>
      <c r="M91" s="187">
        <f t="shared" si="13"/>
        <v>23.533425276201335</v>
      </c>
      <c r="N91" s="187"/>
      <c r="O91" s="188">
        <f t="shared" si="11"/>
        <v>31.582237546033557</v>
      </c>
      <c r="P91" s="187">
        <f t="shared" si="12"/>
        <v>189.49342527620135</v>
      </c>
    </row>
    <row r="92" spans="1:16" s="186" customFormat="1" ht="12" customHeight="1">
      <c r="A92" s="178" t="s">
        <v>141</v>
      </c>
      <c r="B92" s="178" t="s">
        <v>142</v>
      </c>
      <c r="C92" s="182">
        <v>38.18</v>
      </c>
      <c r="D92" s="183">
        <v>1030.44</v>
      </c>
      <c r="F92" s="184">
        <f t="shared" si="7"/>
        <v>26.988999476165532</v>
      </c>
      <c r="G92" s="184">
        <f t="shared" si="8"/>
        <v>2.2490832896804611</v>
      </c>
      <c r="H92" s="184"/>
      <c r="I92" s="185">
        <f t="shared" si="9"/>
        <v>5.4139923900058262</v>
      </c>
      <c r="M92" s="187">
        <f t="shared" si="13"/>
        <v>146.11823777783141</v>
      </c>
      <c r="N92" s="187"/>
      <c r="O92" s="188">
        <f t="shared" si="11"/>
        <v>43.593992390005823</v>
      </c>
      <c r="P92" s="187">
        <f t="shared" si="12"/>
        <v>1176.5582377778314</v>
      </c>
    </row>
    <row r="93" spans="1:16" s="186" customFormat="1" ht="12" customHeight="1">
      <c r="A93" s="178" t="s">
        <v>143</v>
      </c>
      <c r="B93" s="178" t="s">
        <v>144</v>
      </c>
      <c r="C93" s="182">
        <v>51.27</v>
      </c>
      <c r="D93" s="183">
        <v>3024.9299999999994</v>
      </c>
      <c r="F93" s="184">
        <f t="shared" si="7"/>
        <v>58.999999999999986</v>
      </c>
      <c r="G93" s="184">
        <f t="shared" si="8"/>
        <v>4.9166666666666652</v>
      </c>
      <c r="H93" s="184"/>
      <c r="I93" s="185">
        <f t="shared" si="9"/>
        <v>7.2701778374960382</v>
      </c>
      <c r="M93" s="187">
        <f t="shared" si="13"/>
        <v>428.94049241226611</v>
      </c>
      <c r="N93" s="187"/>
      <c r="O93" s="188">
        <f t="shared" si="11"/>
        <v>58.540177837496039</v>
      </c>
      <c r="P93" s="187">
        <f t="shared" si="12"/>
        <v>3453.8704924122653</v>
      </c>
    </row>
    <row r="94" spans="1:16" s="186" customFormat="1" ht="12" customHeight="1">
      <c r="A94" s="178" t="s">
        <v>145</v>
      </c>
      <c r="B94" s="178" t="s">
        <v>146</v>
      </c>
      <c r="C94" s="182">
        <v>67.27</v>
      </c>
      <c r="D94" s="183">
        <v>8038.7599999999993</v>
      </c>
      <c r="F94" s="184">
        <f t="shared" si="7"/>
        <v>119.4999256726624</v>
      </c>
      <c r="G94" s="184">
        <f t="shared" si="8"/>
        <v>9.9583271393885333</v>
      </c>
      <c r="H94" s="184"/>
      <c r="I94" s="185">
        <f t="shared" si="9"/>
        <v>9.5390064975299076</v>
      </c>
      <c r="M94" s="187">
        <f t="shared" si="13"/>
        <v>1139.9105674458676</v>
      </c>
      <c r="N94" s="187"/>
      <c r="O94" s="188">
        <f t="shared" si="11"/>
        <v>76.809006497529907</v>
      </c>
      <c r="P94" s="187">
        <f t="shared" si="12"/>
        <v>9178.6705674458663</v>
      </c>
    </row>
    <row r="95" spans="1:16" s="186" customFormat="1" ht="12" customHeight="1">
      <c r="A95" s="178" t="s">
        <v>121</v>
      </c>
      <c r="B95" s="178" t="s">
        <v>122</v>
      </c>
      <c r="C95" s="182">
        <v>4.26</v>
      </c>
      <c r="D95" s="183">
        <v>14080.189999999999</v>
      </c>
      <c r="F95" s="184">
        <f t="shared" si="7"/>
        <v>3305.2089201877934</v>
      </c>
      <c r="G95" s="184">
        <f t="shared" si="8"/>
        <v>275.43407668231612</v>
      </c>
      <c r="H95" s="184"/>
      <c r="I95" s="185">
        <f t="shared" si="9"/>
        <v>0.60407563073401827</v>
      </c>
      <c r="M95" s="187">
        <f t="shared" si="13"/>
        <v>1996.5961631701448</v>
      </c>
      <c r="N95" s="187"/>
      <c r="O95" s="188">
        <f t="shared" si="11"/>
        <v>4.8640756307340176</v>
      </c>
      <c r="P95" s="187">
        <f t="shared" si="12"/>
        <v>16076.786163170143</v>
      </c>
    </row>
    <row r="96" spans="1:16" s="186" customFormat="1" ht="12" customHeight="1">
      <c r="A96" s="178" t="s">
        <v>123</v>
      </c>
      <c r="B96" s="178" t="s">
        <v>124</v>
      </c>
      <c r="C96" s="182">
        <v>4.26</v>
      </c>
      <c r="D96" s="183">
        <v>25.559999999999995</v>
      </c>
      <c r="F96" s="184">
        <f t="shared" si="7"/>
        <v>5.9999999999999991</v>
      </c>
      <c r="G96" s="184">
        <f t="shared" si="8"/>
        <v>0.49999999999999994</v>
      </c>
      <c r="H96" s="184"/>
      <c r="I96" s="185">
        <f t="shared" si="9"/>
        <v>0.60407563073401827</v>
      </c>
      <c r="M96" s="187">
        <f t="shared" si="13"/>
        <v>3.6244537844041087</v>
      </c>
      <c r="N96" s="187"/>
      <c r="O96" s="188">
        <f t="shared" si="11"/>
        <v>4.8640756307340176</v>
      </c>
      <c r="P96" s="187">
        <f t="shared" si="12"/>
        <v>29.184453784404106</v>
      </c>
    </row>
    <row r="97" spans="1:16" s="186" customFormat="1" ht="12" customHeight="1">
      <c r="A97" s="178" t="s">
        <v>125</v>
      </c>
      <c r="B97" s="178" t="s">
        <v>126</v>
      </c>
      <c r="C97" s="182">
        <v>4.26</v>
      </c>
      <c r="D97" s="183">
        <v>0</v>
      </c>
      <c r="F97" s="184">
        <f t="shared" si="7"/>
        <v>0</v>
      </c>
      <c r="G97" s="184">
        <f t="shared" si="8"/>
        <v>0</v>
      </c>
      <c r="H97" s="184"/>
      <c r="I97" s="185">
        <f t="shared" si="9"/>
        <v>0.60407563073401827</v>
      </c>
      <c r="M97" s="187">
        <f t="shared" si="13"/>
        <v>0</v>
      </c>
      <c r="N97" s="187"/>
      <c r="O97" s="188">
        <f t="shared" si="11"/>
        <v>4.8640756307340176</v>
      </c>
      <c r="P97" s="187">
        <f t="shared" si="12"/>
        <v>0</v>
      </c>
    </row>
    <row r="98" spans="1:16" s="186" customFormat="1" ht="12" customHeight="1">
      <c r="A98" s="178" t="s">
        <v>127</v>
      </c>
      <c r="B98" s="178" t="s">
        <v>128</v>
      </c>
      <c r="C98" s="182">
        <v>38.159999999999997</v>
      </c>
      <c r="D98" s="183">
        <v>343.43999999999994</v>
      </c>
      <c r="F98" s="184">
        <f t="shared" si="7"/>
        <v>9</v>
      </c>
      <c r="G98" s="184">
        <f t="shared" si="8"/>
        <v>0.75</v>
      </c>
      <c r="H98" s="184"/>
      <c r="I98" s="185">
        <f t="shared" si="9"/>
        <v>5.4111563541807834</v>
      </c>
      <c r="M98" s="187">
        <f t="shared" si="13"/>
        <v>48.70040718762705</v>
      </c>
      <c r="N98" s="187"/>
      <c r="O98" s="188">
        <f t="shared" si="11"/>
        <v>43.571156354180779</v>
      </c>
      <c r="P98" s="187">
        <f t="shared" si="12"/>
        <v>392.14040718762698</v>
      </c>
    </row>
    <row r="99" spans="1:16" s="186" customFormat="1" ht="12" customHeight="1">
      <c r="A99" s="178" t="s">
        <v>129</v>
      </c>
      <c r="B99" s="178" t="s">
        <v>130</v>
      </c>
      <c r="C99" s="182">
        <v>54.86</v>
      </c>
      <c r="D99" s="183">
        <v>1261.1199999999997</v>
      </c>
      <c r="F99" s="184">
        <f t="shared" si="7"/>
        <v>22.987969376594965</v>
      </c>
      <c r="G99" s="184">
        <f t="shared" si="8"/>
        <v>1.915664114716247</v>
      </c>
      <c r="H99" s="184"/>
      <c r="I99" s="185">
        <f t="shared" si="9"/>
        <v>7.7792462680911374</v>
      </c>
      <c r="M99" s="187">
        <f t="shared" si="13"/>
        <v>178.82907498386973</v>
      </c>
      <c r="N99" s="187"/>
      <c r="O99" s="188">
        <f t="shared" si="11"/>
        <v>62.639246268091135</v>
      </c>
      <c r="P99" s="187">
        <f t="shared" si="12"/>
        <v>1439.9490749838694</v>
      </c>
    </row>
    <row r="100" spans="1:16" s="186" customFormat="1" ht="12" customHeight="1">
      <c r="A100" s="178" t="s">
        <v>131</v>
      </c>
      <c r="B100" s="178" t="s">
        <v>132</v>
      </c>
      <c r="C100" s="182">
        <v>64.63</v>
      </c>
      <c r="D100" s="183">
        <v>1679.9599999999996</v>
      </c>
      <c r="F100" s="184">
        <f t="shared" si="7"/>
        <v>25.993501469905613</v>
      </c>
      <c r="G100" s="184">
        <f t="shared" si="8"/>
        <v>2.1661251224921343</v>
      </c>
      <c r="H100" s="184"/>
      <c r="I100" s="185">
        <f t="shared" si="9"/>
        <v>9.1646497686243187</v>
      </c>
      <c r="M100" s="187">
        <f t="shared" si="13"/>
        <v>238.22133723190635</v>
      </c>
      <c r="N100" s="187"/>
      <c r="O100" s="188">
        <f t="shared" si="11"/>
        <v>73.794649768624311</v>
      </c>
      <c r="P100" s="187">
        <f t="shared" si="12"/>
        <v>1918.1813372319059</v>
      </c>
    </row>
    <row r="101" spans="1:16" s="186" customFormat="1" ht="12" customHeight="1">
      <c r="A101" s="178" t="s">
        <v>133</v>
      </c>
      <c r="B101" s="178" t="s">
        <v>134</v>
      </c>
      <c r="C101" s="182">
        <v>83.33</v>
      </c>
      <c r="D101" s="183">
        <v>916.63000000000011</v>
      </c>
      <c r="F101" s="184">
        <f t="shared" si="7"/>
        <v>11.000000000000002</v>
      </c>
      <c r="G101" s="184">
        <f t="shared" si="8"/>
        <v>0.91666666666666685</v>
      </c>
      <c r="H101" s="184"/>
      <c r="I101" s="185">
        <f t="shared" si="9"/>
        <v>11.816343265038908</v>
      </c>
      <c r="M101" s="187">
        <f t="shared" si="13"/>
        <v>129.97977591542801</v>
      </c>
      <c r="N101" s="187"/>
      <c r="O101" s="188">
        <f t="shared" si="11"/>
        <v>95.146343265038908</v>
      </c>
      <c r="P101" s="187">
        <f t="shared" si="12"/>
        <v>1046.6097759154281</v>
      </c>
    </row>
    <row r="102" spans="1:16" s="186" customFormat="1" ht="12" customHeight="1">
      <c r="A102" s="178" t="s">
        <v>135</v>
      </c>
      <c r="B102" s="178" t="s">
        <v>136</v>
      </c>
      <c r="C102" s="182">
        <v>103.23</v>
      </c>
      <c r="D102" s="183">
        <v>1341.99</v>
      </c>
      <c r="F102" s="184">
        <f t="shared" si="7"/>
        <v>13</v>
      </c>
      <c r="G102" s="184">
        <f t="shared" si="8"/>
        <v>1.0833333333333333</v>
      </c>
      <c r="H102" s="184"/>
      <c r="I102" s="185">
        <f t="shared" si="9"/>
        <v>14.638198910956037</v>
      </c>
      <c r="M102" s="187">
        <f t="shared" si="13"/>
        <v>190.29658584242847</v>
      </c>
      <c r="N102" s="187"/>
      <c r="O102" s="188">
        <f t="shared" si="11"/>
        <v>117.86819891095604</v>
      </c>
      <c r="P102" s="187">
        <f t="shared" si="12"/>
        <v>1532.2865858424284</v>
      </c>
    </row>
    <row r="103" spans="1:16" s="186" customFormat="1" ht="12" customHeight="1">
      <c r="A103" s="178" t="s">
        <v>352</v>
      </c>
      <c r="B103" s="178" t="s">
        <v>353</v>
      </c>
      <c r="C103" s="182">
        <v>139.16</v>
      </c>
      <c r="D103" s="183">
        <v>298.86</v>
      </c>
      <c r="F103" s="184">
        <f t="shared" si="7"/>
        <v>2.1475998850244324</v>
      </c>
      <c r="G103" s="184">
        <f t="shared" si="8"/>
        <v>0.17896665708536938</v>
      </c>
      <c r="H103" s="184"/>
      <c r="I103" s="185">
        <f t="shared" si="9"/>
        <v>19.733137270644598</v>
      </c>
      <c r="M103" s="187">
        <f t="shared" si="13"/>
        <v>42.378883333607682</v>
      </c>
      <c r="N103" s="187"/>
      <c r="O103" s="188">
        <f t="shared" si="11"/>
        <v>158.89313727064459</v>
      </c>
      <c r="P103" s="187">
        <f t="shared" si="12"/>
        <v>341.2388833336077</v>
      </c>
    </row>
    <row r="104" spans="1:16" s="186" customFormat="1" ht="12" customHeight="1">
      <c r="A104" s="178" t="s">
        <v>464</v>
      </c>
      <c r="B104" s="178" t="s">
        <v>465</v>
      </c>
      <c r="C104" s="182">
        <v>176.15</v>
      </c>
      <c r="D104" s="183">
        <v>176.15</v>
      </c>
      <c r="F104" s="184">
        <f t="shared" si="7"/>
        <v>1</v>
      </c>
      <c r="G104" s="184">
        <f t="shared" si="8"/>
        <v>8.3333333333333329E-2</v>
      </c>
      <c r="H104" s="184"/>
      <c r="I104" s="185">
        <f t="shared" si="9"/>
        <v>24.978385529060407</v>
      </c>
      <c r="M104" s="187">
        <f t="shared" si="13"/>
        <v>24.978385529060404</v>
      </c>
      <c r="N104" s="187"/>
      <c r="O104" s="188">
        <f t="shared" si="11"/>
        <v>201.12838552906041</v>
      </c>
      <c r="P104" s="187">
        <f t="shared" si="12"/>
        <v>201.12838552906041</v>
      </c>
    </row>
    <row r="105" spans="1:16" s="186" customFormat="1" ht="12" customHeight="1">
      <c r="A105" s="178" t="s">
        <v>119</v>
      </c>
      <c r="B105" s="178" t="s">
        <v>120</v>
      </c>
      <c r="C105" s="182">
        <v>11.64</v>
      </c>
      <c r="D105" s="183">
        <v>197.88</v>
      </c>
      <c r="F105" s="184">
        <f t="shared" si="7"/>
        <v>17</v>
      </c>
      <c r="G105" s="184">
        <f t="shared" si="8"/>
        <v>1.4166666666666667</v>
      </c>
      <c r="H105" s="184"/>
      <c r="I105" s="185">
        <f t="shared" si="9"/>
        <v>1.6505728501746417</v>
      </c>
      <c r="M105" s="187">
        <f t="shared" si="13"/>
        <v>28.059738452968912</v>
      </c>
      <c r="N105" s="187"/>
      <c r="O105" s="188">
        <f t="shared" si="11"/>
        <v>13.290572850174643</v>
      </c>
      <c r="P105" s="187">
        <f t="shared" si="12"/>
        <v>225.9397384529689</v>
      </c>
    </row>
    <row r="106" spans="1:16" s="186" customFormat="1" ht="12" customHeight="1">
      <c r="A106" s="178" t="s">
        <v>466</v>
      </c>
      <c r="B106" s="178" t="s">
        <v>467</v>
      </c>
      <c r="C106" s="182">
        <v>18.95</v>
      </c>
      <c r="D106" s="183">
        <v>88.22999999999999</v>
      </c>
      <c r="F106" s="184">
        <f t="shared" si="7"/>
        <v>4.6559366754617413</v>
      </c>
      <c r="G106" s="184">
        <f t="shared" si="8"/>
        <v>0.38799472295514509</v>
      </c>
      <c r="H106" s="184"/>
      <c r="I106" s="185">
        <f t="shared" si="9"/>
        <v>2.6871439442276168</v>
      </c>
      <c r="M106" s="187">
        <f t="shared" si="13"/>
        <v>12.51117204217428</v>
      </c>
      <c r="N106" s="187"/>
      <c r="O106" s="188">
        <f t="shared" si="11"/>
        <v>21.637143944227617</v>
      </c>
      <c r="P106" s="187">
        <f t="shared" si="12"/>
        <v>100.74117204217427</v>
      </c>
    </row>
    <row r="107" spans="1:16" s="186" customFormat="1" ht="12" customHeight="1">
      <c r="A107" s="178" t="s">
        <v>147</v>
      </c>
      <c r="B107" s="178" t="s">
        <v>148</v>
      </c>
      <c r="C107" s="182">
        <v>20.78</v>
      </c>
      <c r="D107" s="183">
        <v>8070.18</v>
      </c>
      <c r="F107" s="184">
        <f t="shared" si="7"/>
        <v>388.36284889316647</v>
      </c>
      <c r="G107" s="184">
        <f t="shared" si="8"/>
        <v>32.363570741097206</v>
      </c>
      <c r="H107" s="184"/>
      <c r="I107" s="185">
        <f t="shared" si="9"/>
        <v>2.9466412222189908</v>
      </c>
      <c r="M107" s="187">
        <f t="shared" si="13"/>
        <v>1144.3659797270093</v>
      </c>
      <c r="N107" s="187"/>
      <c r="O107" s="188">
        <f t="shared" si="11"/>
        <v>23.726641222218991</v>
      </c>
      <c r="P107" s="187">
        <f t="shared" si="12"/>
        <v>9214.5459797270087</v>
      </c>
    </row>
    <row r="108" spans="1:16" s="186" customFormat="1" ht="12" customHeight="1">
      <c r="A108" s="178" t="s">
        <v>468</v>
      </c>
      <c r="B108" s="178" t="s">
        <v>469</v>
      </c>
      <c r="C108" s="182">
        <v>15.56</v>
      </c>
      <c r="D108" s="183">
        <v>15.56</v>
      </c>
      <c r="F108" s="184">
        <f t="shared" si="7"/>
        <v>1</v>
      </c>
      <c r="G108" s="184">
        <f t="shared" si="8"/>
        <v>8.3333333333333329E-2</v>
      </c>
      <c r="H108" s="184"/>
      <c r="I108" s="185">
        <f t="shared" si="9"/>
        <v>2.2064358718829404</v>
      </c>
      <c r="M108" s="187">
        <f t="shared" si="13"/>
        <v>2.20643587188294</v>
      </c>
      <c r="N108" s="187"/>
      <c r="O108" s="188">
        <f t="shared" si="11"/>
        <v>17.76643587188294</v>
      </c>
      <c r="P108" s="187">
        <f t="shared" si="12"/>
        <v>17.76643587188294</v>
      </c>
    </row>
    <row r="109" spans="1:16" s="186" customFormat="1" ht="12" customHeight="1">
      <c r="A109" s="178" t="s">
        <v>153</v>
      </c>
      <c r="B109" s="178" t="s">
        <v>154</v>
      </c>
      <c r="C109" s="182">
        <v>10.66</v>
      </c>
      <c r="D109" s="183">
        <v>32438.83</v>
      </c>
      <c r="F109" s="184">
        <f t="shared" si="7"/>
        <v>3043.0422138836775</v>
      </c>
      <c r="G109" s="184">
        <f t="shared" si="8"/>
        <v>253.58685115697313</v>
      </c>
      <c r="H109" s="184"/>
      <c r="I109" s="185">
        <f t="shared" si="9"/>
        <v>1.511607094747567</v>
      </c>
      <c r="M109" s="187">
        <f t="shared" si="13"/>
        <v>4599.8842001229104</v>
      </c>
      <c r="N109" s="187"/>
      <c r="O109" s="188">
        <f t="shared" si="11"/>
        <v>12.171607094747568</v>
      </c>
      <c r="P109" s="187">
        <f t="shared" si="12"/>
        <v>37038.714200122915</v>
      </c>
    </row>
    <row r="110" spans="1:16" s="230" customFormat="1" ht="12" customHeight="1">
      <c r="A110" s="178" t="s">
        <v>155</v>
      </c>
      <c r="B110" s="178" t="s">
        <v>156</v>
      </c>
      <c r="C110" s="182">
        <v>23.51</v>
      </c>
      <c r="D110" s="183">
        <v>82.29</v>
      </c>
      <c r="F110" s="184">
        <f t="shared" si="7"/>
        <v>3.5002126754572522</v>
      </c>
      <c r="G110" s="184">
        <f t="shared" si="8"/>
        <v>0.29168438962143767</v>
      </c>
      <c r="H110" s="184"/>
      <c r="I110" s="185">
        <f t="shared" si="9"/>
        <v>3.3337601123372704</v>
      </c>
      <c r="J110" s="186"/>
      <c r="K110" s="186"/>
      <c r="L110" s="186"/>
      <c r="M110" s="187">
        <f t="shared" si="13"/>
        <v>11.668869402136707</v>
      </c>
      <c r="N110" s="187"/>
      <c r="O110" s="188">
        <f t="shared" si="11"/>
        <v>26.843760112337272</v>
      </c>
      <c r="P110" s="187">
        <f t="shared" si="12"/>
        <v>93.958869402136713</v>
      </c>
    </row>
    <row r="111" spans="1:16" s="186" customFormat="1" ht="12" customHeight="1">
      <c r="A111" s="178" t="s">
        <v>149</v>
      </c>
      <c r="B111" s="178" t="s">
        <v>150</v>
      </c>
      <c r="C111" s="182">
        <v>12.81</v>
      </c>
      <c r="D111" s="183">
        <v>14565.029999999999</v>
      </c>
      <c r="F111" s="184">
        <f t="shared" si="7"/>
        <v>1137.0046838407493</v>
      </c>
      <c r="G111" s="184">
        <f t="shared" si="8"/>
        <v>94.750390320062436</v>
      </c>
      <c r="H111" s="184"/>
      <c r="I111" s="185">
        <f t="shared" si="9"/>
        <v>1.8164809459396185</v>
      </c>
      <c r="M111" s="187">
        <f t="shared" si="13"/>
        <v>2065.3473436408212</v>
      </c>
      <c r="N111" s="187"/>
      <c r="O111" s="188">
        <f t="shared" si="11"/>
        <v>14.626480945939619</v>
      </c>
      <c r="P111" s="187">
        <f t="shared" si="12"/>
        <v>16630.377343640819</v>
      </c>
    </row>
    <row r="112" spans="1:16" s="186" customFormat="1" ht="12" customHeight="1">
      <c r="A112" s="178" t="s">
        <v>151</v>
      </c>
      <c r="B112" s="178" t="s">
        <v>152</v>
      </c>
      <c r="C112" s="182">
        <v>25.86</v>
      </c>
      <c r="D112" s="183">
        <v>51.72</v>
      </c>
      <c r="F112" s="184">
        <f t="shared" si="7"/>
        <v>2</v>
      </c>
      <c r="G112" s="184">
        <f t="shared" si="8"/>
        <v>0.16666666666666666</v>
      </c>
      <c r="H112" s="184"/>
      <c r="I112" s="185">
        <f t="shared" si="9"/>
        <v>3.6669943217797449</v>
      </c>
      <c r="M112" s="187">
        <f t="shared" si="13"/>
        <v>7.333988643559489</v>
      </c>
      <c r="N112" s="187"/>
      <c r="O112" s="188">
        <f t="shared" si="11"/>
        <v>29.526994321779746</v>
      </c>
      <c r="P112" s="187">
        <f t="shared" si="12"/>
        <v>59.053988643559485</v>
      </c>
    </row>
    <row r="113" spans="1:16" s="230" customFormat="1" ht="12" customHeight="1">
      <c r="A113" s="178" t="s">
        <v>157</v>
      </c>
      <c r="B113" s="178" t="s">
        <v>158</v>
      </c>
      <c r="C113" s="182">
        <v>17.59</v>
      </c>
      <c r="D113" s="183">
        <v>12475.750000000002</v>
      </c>
      <c r="F113" s="184">
        <f t="shared" ref="F113:F129" si="14">IFERROR(D113/C113,0)</f>
        <v>709.25241614553738</v>
      </c>
      <c r="G113" s="184">
        <f t="shared" ref="G113:G129" si="15">F113/12</f>
        <v>59.104368012128113</v>
      </c>
      <c r="H113" s="184"/>
      <c r="I113" s="185">
        <f t="shared" ref="I113:I129" si="16">$I$5*C113</f>
        <v>2.4942935081247377</v>
      </c>
      <c r="J113" s="186"/>
      <c r="K113" s="186"/>
      <c r="L113" s="186"/>
      <c r="M113" s="187">
        <f t="shared" si="13"/>
        <v>1769.0836972135987</v>
      </c>
      <c r="N113" s="187"/>
      <c r="O113" s="188">
        <f t="shared" ref="O113:O129" si="17">+C113+SUM(I113:J113)</f>
        <v>20.084293508124738</v>
      </c>
      <c r="P113" s="187">
        <f t="shared" si="12"/>
        <v>14244.8336972136</v>
      </c>
    </row>
    <row r="114" spans="1:16" s="186" customFormat="1" ht="12" customHeight="1">
      <c r="A114" s="178" t="s">
        <v>159</v>
      </c>
      <c r="B114" s="178" t="s">
        <v>160</v>
      </c>
      <c r="C114" s="182">
        <v>35.26</v>
      </c>
      <c r="D114" s="183">
        <v>644.11</v>
      </c>
      <c r="F114" s="184">
        <f t="shared" si="14"/>
        <v>18.267441860465119</v>
      </c>
      <c r="G114" s="184">
        <f t="shared" si="15"/>
        <v>1.5222868217054266</v>
      </c>
      <c r="H114" s="184"/>
      <c r="I114" s="185">
        <f t="shared" si="16"/>
        <v>4.9999311595496447</v>
      </c>
      <c r="M114" s="187">
        <f t="shared" si="13"/>
        <v>91.335951763401084</v>
      </c>
      <c r="N114" s="187"/>
      <c r="O114" s="188">
        <f t="shared" si="17"/>
        <v>40.259931159549645</v>
      </c>
      <c r="P114" s="187">
        <f t="shared" ref="P114:P129" si="18">D114+M114</f>
        <v>735.44595176340113</v>
      </c>
    </row>
    <row r="115" spans="1:16" s="186" customFormat="1" ht="12" customHeight="1">
      <c r="A115" s="178" t="s">
        <v>161</v>
      </c>
      <c r="B115" s="178" t="s">
        <v>162</v>
      </c>
      <c r="C115" s="182">
        <v>21.71</v>
      </c>
      <c r="D115" s="183">
        <v>9636.7900000000009</v>
      </c>
      <c r="F115" s="184">
        <f t="shared" si="14"/>
        <v>443.8871487793644</v>
      </c>
      <c r="G115" s="184">
        <f t="shared" si="15"/>
        <v>36.990595731613702</v>
      </c>
      <c r="H115" s="184"/>
      <c r="I115" s="185">
        <f t="shared" si="16"/>
        <v>3.0785168880834597</v>
      </c>
      <c r="M115" s="187">
        <f t="shared" si="13"/>
        <v>1366.5140839204887</v>
      </c>
      <c r="N115" s="187"/>
      <c r="O115" s="188">
        <f t="shared" si="17"/>
        <v>24.788516888083461</v>
      </c>
      <c r="P115" s="187">
        <f t="shared" si="18"/>
        <v>11003.30408392049</v>
      </c>
    </row>
    <row r="116" spans="1:16" s="186" customFormat="1" ht="12" customHeight="1">
      <c r="A116" s="178" t="s">
        <v>163</v>
      </c>
      <c r="B116" s="178" t="s">
        <v>164</v>
      </c>
      <c r="C116" s="182">
        <v>42.3</v>
      </c>
      <c r="D116" s="183">
        <v>2093.85</v>
      </c>
      <c r="F116" s="184">
        <f t="shared" si="14"/>
        <v>49.5</v>
      </c>
      <c r="G116" s="184">
        <f t="shared" si="15"/>
        <v>4.125</v>
      </c>
      <c r="H116" s="184"/>
      <c r="I116" s="185">
        <f t="shared" si="16"/>
        <v>5.9982157699645473</v>
      </c>
      <c r="M116" s="187">
        <f t="shared" si="13"/>
        <v>296.9116806132451</v>
      </c>
      <c r="N116" s="187"/>
      <c r="O116" s="188">
        <f t="shared" si="17"/>
        <v>48.298215769964543</v>
      </c>
      <c r="P116" s="187">
        <f t="shared" si="18"/>
        <v>2390.7616806132451</v>
      </c>
    </row>
    <row r="117" spans="1:16" s="186" customFormat="1" ht="12" customHeight="1">
      <c r="A117" s="178" t="s">
        <v>165</v>
      </c>
      <c r="B117" s="178" t="s">
        <v>166</v>
      </c>
      <c r="C117" s="182">
        <v>24.58</v>
      </c>
      <c r="D117" s="183">
        <v>6741.15</v>
      </c>
      <c r="F117" s="184">
        <f t="shared" si="14"/>
        <v>274.25345809601305</v>
      </c>
      <c r="G117" s="184">
        <f t="shared" si="15"/>
        <v>22.85445484133442</v>
      </c>
      <c r="H117" s="184"/>
      <c r="I117" s="185">
        <f t="shared" si="16"/>
        <v>3.4854880289770351</v>
      </c>
      <c r="M117" s="187">
        <f t="shared" si="13"/>
        <v>955.90714509920838</v>
      </c>
      <c r="N117" s="187"/>
      <c r="O117" s="188">
        <f t="shared" si="17"/>
        <v>28.065488028977033</v>
      </c>
      <c r="P117" s="187">
        <f t="shared" si="18"/>
        <v>7697.0571450992084</v>
      </c>
    </row>
    <row r="118" spans="1:16" s="186" customFormat="1" ht="12" customHeight="1">
      <c r="A118" s="178" t="s">
        <v>167</v>
      </c>
      <c r="B118" s="178" t="s">
        <v>168</v>
      </c>
      <c r="C118" s="182">
        <v>47.01</v>
      </c>
      <c r="D118" s="183">
        <v>3868.1099999999997</v>
      </c>
      <c r="F118" s="184">
        <f t="shared" si="14"/>
        <v>82.28270580727505</v>
      </c>
      <c r="G118" s="184">
        <f t="shared" si="15"/>
        <v>6.8568921506062539</v>
      </c>
      <c r="H118" s="184"/>
      <c r="I118" s="185">
        <f t="shared" si="16"/>
        <v>6.6661022067620186</v>
      </c>
      <c r="M118" s="187">
        <f t="shared" si="13"/>
        <v>548.50492676022611</v>
      </c>
      <c r="N118" s="187"/>
      <c r="O118" s="188">
        <f t="shared" si="17"/>
        <v>53.676102206762017</v>
      </c>
      <c r="P118" s="187">
        <f t="shared" si="18"/>
        <v>4416.6149267602259</v>
      </c>
    </row>
    <row r="119" spans="1:16" s="186" customFormat="1" ht="12" customHeight="1">
      <c r="A119" s="178" t="s">
        <v>169</v>
      </c>
      <c r="B119" s="178" t="s">
        <v>170</v>
      </c>
      <c r="C119" s="182">
        <v>32.56</v>
      </c>
      <c r="D119" s="183">
        <v>5421.3500000000013</v>
      </c>
      <c r="F119" s="184">
        <f t="shared" si="14"/>
        <v>166.50337837837841</v>
      </c>
      <c r="G119" s="184">
        <f t="shared" si="15"/>
        <v>13.875281531531535</v>
      </c>
      <c r="H119" s="184"/>
      <c r="I119" s="185">
        <f t="shared" si="16"/>
        <v>4.6170663231689293</v>
      </c>
      <c r="M119" s="187">
        <f t="shared" si="13"/>
        <v>768.75714100466462</v>
      </c>
      <c r="N119" s="187"/>
      <c r="O119" s="188">
        <f t="shared" si="17"/>
        <v>37.17706632316893</v>
      </c>
      <c r="P119" s="187">
        <f t="shared" si="18"/>
        <v>6190.1071410046661</v>
      </c>
    </row>
    <row r="120" spans="1:16" s="186" customFormat="1" ht="12" customHeight="1">
      <c r="A120" s="178" t="s">
        <v>171</v>
      </c>
      <c r="B120" s="178" t="s">
        <v>172</v>
      </c>
      <c r="C120" s="182">
        <v>39.36</v>
      </c>
      <c r="D120" s="183">
        <v>944.64000000000021</v>
      </c>
      <c r="F120" s="184">
        <f t="shared" si="14"/>
        <v>24.000000000000007</v>
      </c>
      <c r="G120" s="184">
        <f t="shared" si="15"/>
        <v>2.0000000000000004</v>
      </c>
      <c r="H120" s="184"/>
      <c r="I120" s="185">
        <f t="shared" si="16"/>
        <v>5.5813185036833239</v>
      </c>
      <c r="M120" s="187">
        <f t="shared" si="13"/>
        <v>133.9516440883998</v>
      </c>
      <c r="N120" s="187"/>
      <c r="O120" s="188">
        <f t="shared" si="17"/>
        <v>44.94131850368332</v>
      </c>
      <c r="P120" s="187">
        <f t="shared" si="18"/>
        <v>1078.5916440884</v>
      </c>
    </row>
    <row r="121" spans="1:16" s="186" customFormat="1" ht="12" customHeight="1">
      <c r="A121" s="178" t="s">
        <v>470</v>
      </c>
      <c r="B121" s="178" t="s">
        <v>471</v>
      </c>
      <c r="C121" s="182">
        <v>25.35</v>
      </c>
      <c r="D121" s="183">
        <v>25.35</v>
      </c>
      <c r="F121" s="184">
        <f t="shared" si="14"/>
        <v>1</v>
      </c>
      <c r="G121" s="184">
        <f t="shared" si="15"/>
        <v>8.3333333333333329E-2</v>
      </c>
      <c r="H121" s="184"/>
      <c r="I121" s="185">
        <f t="shared" si="16"/>
        <v>3.5946754082411654</v>
      </c>
      <c r="M121" s="187">
        <f t="shared" si="13"/>
        <v>3.5946754082411649</v>
      </c>
      <c r="N121" s="187"/>
      <c r="O121" s="188">
        <f t="shared" si="17"/>
        <v>28.944675408241167</v>
      </c>
      <c r="P121" s="187">
        <f t="shared" si="18"/>
        <v>28.944675408241167</v>
      </c>
    </row>
    <row r="122" spans="1:16" s="186" customFormat="1" ht="12" customHeight="1">
      <c r="A122" s="178" t="s">
        <v>472</v>
      </c>
      <c r="B122" s="178" t="s">
        <v>473</v>
      </c>
      <c r="C122" s="182">
        <v>3.64</v>
      </c>
      <c r="D122" s="183">
        <v>88.27000000000001</v>
      </c>
      <c r="F122" s="184">
        <f t="shared" si="14"/>
        <v>24.250000000000004</v>
      </c>
      <c r="G122" s="184">
        <f t="shared" si="15"/>
        <v>2.0208333333333335</v>
      </c>
      <c r="H122" s="184"/>
      <c r="I122" s="185">
        <f t="shared" si="16"/>
        <v>0.5161585201577058</v>
      </c>
      <c r="M122" s="187">
        <f t="shared" si="13"/>
        <v>12.516844113824366</v>
      </c>
      <c r="N122" s="187"/>
      <c r="O122" s="188">
        <f t="shared" si="17"/>
        <v>4.1561585201577058</v>
      </c>
      <c r="P122" s="187">
        <f t="shared" si="18"/>
        <v>100.78684411382437</v>
      </c>
    </row>
    <row r="123" spans="1:16" s="186" customFormat="1" ht="12" customHeight="1">
      <c r="A123" s="178" t="s">
        <v>173</v>
      </c>
      <c r="B123" s="178" t="s">
        <v>174</v>
      </c>
      <c r="C123" s="182">
        <v>54.65</v>
      </c>
      <c r="D123" s="183">
        <v>5199.1499999999996</v>
      </c>
      <c r="F123" s="184">
        <f t="shared" si="14"/>
        <v>95.135407136322044</v>
      </c>
      <c r="G123" s="184">
        <f t="shared" si="15"/>
        <v>7.9279505946935034</v>
      </c>
      <c r="H123" s="184"/>
      <c r="I123" s="185">
        <f t="shared" si="16"/>
        <v>7.7494678919281927</v>
      </c>
      <c r="M123" s="187">
        <f t="shared" si="13"/>
        <v>737.24878298844396</v>
      </c>
      <c r="N123" s="187"/>
      <c r="O123" s="188">
        <f t="shared" si="17"/>
        <v>62.39946789192819</v>
      </c>
      <c r="P123" s="187">
        <f t="shared" si="18"/>
        <v>5936.3987829884436</v>
      </c>
    </row>
    <row r="124" spans="1:16" s="186" customFormat="1" ht="12" customHeight="1">
      <c r="A124" s="178" t="s">
        <v>175</v>
      </c>
      <c r="B124" s="178" t="s">
        <v>176</v>
      </c>
      <c r="C124" s="182">
        <v>56.46</v>
      </c>
      <c r="D124" s="183">
        <v>56.46</v>
      </c>
      <c r="F124" s="184">
        <f t="shared" si="14"/>
        <v>1</v>
      </c>
      <c r="G124" s="184">
        <f t="shared" si="15"/>
        <v>8.3333333333333329E-2</v>
      </c>
      <c r="H124" s="184"/>
      <c r="I124" s="185">
        <f t="shared" si="16"/>
        <v>8.0061291340945253</v>
      </c>
      <c r="M124" s="187">
        <f t="shared" si="13"/>
        <v>8.0061291340945253</v>
      </c>
      <c r="N124" s="187"/>
      <c r="O124" s="188">
        <f t="shared" si="17"/>
        <v>64.46612913409453</v>
      </c>
      <c r="P124" s="187">
        <f t="shared" si="18"/>
        <v>64.46612913409453</v>
      </c>
    </row>
    <row r="125" spans="1:16" s="186" customFormat="1" ht="12" customHeight="1">
      <c r="A125" s="178" t="s">
        <v>354</v>
      </c>
      <c r="B125" s="178" t="s">
        <v>355</v>
      </c>
      <c r="C125" s="182">
        <v>6.97</v>
      </c>
      <c r="D125" s="183">
        <v>501.84</v>
      </c>
      <c r="F125" s="184">
        <f t="shared" si="14"/>
        <v>72</v>
      </c>
      <c r="G125" s="184">
        <f t="shared" si="15"/>
        <v>6</v>
      </c>
      <c r="H125" s="184"/>
      <c r="I125" s="185">
        <f t="shared" si="16"/>
        <v>0.98835848502725532</v>
      </c>
      <c r="M125" s="187">
        <f t="shared" si="13"/>
        <v>71.16181092196237</v>
      </c>
      <c r="N125" s="187"/>
      <c r="O125" s="188">
        <f t="shared" si="17"/>
        <v>7.9583584850272553</v>
      </c>
      <c r="P125" s="187">
        <f t="shared" si="18"/>
        <v>573.00181092196237</v>
      </c>
    </row>
    <row r="126" spans="1:16" s="186" customFormat="1" ht="12" customHeight="1">
      <c r="A126" s="178" t="s">
        <v>177</v>
      </c>
      <c r="B126" s="178" t="s">
        <v>178</v>
      </c>
      <c r="C126" s="182">
        <v>13.83</v>
      </c>
      <c r="D126" s="183">
        <v>179.79000000000002</v>
      </c>
      <c r="F126" s="184">
        <f t="shared" si="14"/>
        <v>13.000000000000002</v>
      </c>
      <c r="G126" s="184">
        <f t="shared" si="15"/>
        <v>1.0833333333333335</v>
      </c>
      <c r="H126" s="184"/>
      <c r="I126" s="185">
        <f t="shared" si="16"/>
        <v>1.9611187730167778</v>
      </c>
      <c r="M126" s="187">
        <f t="shared" si="13"/>
        <v>25.494544049218117</v>
      </c>
      <c r="N126" s="187"/>
      <c r="O126" s="188">
        <f t="shared" si="17"/>
        <v>15.791118773016779</v>
      </c>
      <c r="P126" s="187">
        <f t="shared" si="18"/>
        <v>205.28454404921814</v>
      </c>
    </row>
    <row r="127" spans="1:16" s="186" customFormat="1" ht="12" customHeight="1">
      <c r="A127" s="178" t="s">
        <v>179</v>
      </c>
      <c r="B127" s="178" t="s">
        <v>180</v>
      </c>
      <c r="C127" s="182">
        <v>5.89</v>
      </c>
      <c r="D127" s="183">
        <v>212.04000000000008</v>
      </c>
      <c r="F127" s="184">
        <f t="shared" si="14"/>
        <v>36.000000000000014</v>
      </c>
      <c r="G127" s="184">
        <f t="shared" si="15"/>
        <v>3.0000000000000013</v>
      </c>
      <c r="H127" s="184"/>
      <c r="I127" s="185">
        <f t="shared" si="16"/>
        <v>0.8352125504749689</v>
      </c>
      <c r="M127" s="187">
        <f t="shared" si="13"/>
        <v>30.067651817098895</v>
      </c>
      <c r="N127" s="187"/>
      <c r="O127" s="188">
        <f t="shared" si="17"/>
        <v>6.7252125504749687</v>
      </c>
      <c r="P127" s="187">
        <f t="shared" si="18"/>
        <v>242.10765181709897</v>
      </c>
    </row>
    <row r="128" spans="1:16" s="186" customFormat="1" ht="12" customHeight="1">
      <c r="A128" s="178" t="s">
        <v>181</v>
      </c>
      <c r="B128" s="178" t="s">
        <v>182</v>
      </c>
      <c r="C128" s="182">
        <v>40.33</v>
      </c>
      <c r="D128" s="183">
        <v>80.66</v>
      </c>
      <c r="F128" s="184">
        <f t="shared" si="14"/>
        <v>2</v>
      </c>
      <c r="G128" s="184">
        <f t="shared" si="15"/>
        <v>0.16666666666666666</v>
      </c>
      <c r="H128" s="184"/>
      <c r="I128" s="185">
        <f t="shared" si="16"/>
        <v>5.718866241197877</v>
      </c>
      <c r="M128" s="187">
        <f t="shared" si="13"/>
        <v>11.437732482395752</v>
      </c>
      <c r="N128" s="187"/>
      <c r="O128" s="188">
        <f t="shared" si="17"/>
        <v>46.048866241197878</v>
      </c>
      <c r="P128" s="187">
        <f t="shared" si="18"/>
        <v>92.097732482395742</v>
      </c>
    </row>
    <row r="129" spans="1:19" s="186" customFormat="1" ht="12" customHeight="1">
      <c r="A129" s="178" t="s">
        <v>183</v>
      </c>
      <c r="B129" s="178" t="s">
        <v>184</v>
      </c>
      <c r="C129" s="182">
        <v>10.78</v>
      </c>
      <c r="D129" s="183">
        <v>388.07999999999987</v>
      </c>
      <c r="F129" s="184">
        <f t="shared" si="14"/>
        <v>35.999999999999993</v>
      </c>
      <c r="G129" s="184">
        <f t="shared" si="15"/>
        <v>2.9999999999999996</v>
      </c>
      <c r="H129" s="184"/>
      <c r="I129" s="185">
        <f t="shared" si="16"/>
        <v>1.528623309697821</v>
      </c>
      <c r="M129" s="187">
        <f t="shared" si="13"/>
        <v>55.030439149121548</v>
      </c>
      <c r="N129" s="187"/>
      <c r="O129" s="188">
        <f t="shared" si="17"/>
        <v>12.30862330969782</v>
      </c>
      <c r="P129" s="187">
        <f t="shared" si="18"/>
        <v>443.11043914912142</v>
      </c>
    </row>
    <row r="130" spans="1:19" s="186" customFormat="1" ht="6.75" customHeight="1" thickBot="1">
      <c r="A130" s="231"/>
      <c r="B130" s="231"/>
      <c r="C130" s="182"/>
      <c r="D130" s="184"/>
      <c r="F130" s="184"/>
      <c r="G130" s="184"/>
      <c r="H130" s="184"/>
      <c r="I130" s="178"/>
      <c r="J130" s="178"/>
      <c r="K130" s="178"/>
      <c r="L130" s="178"/>
      <c r="M130" s="180"/>
      <c r="N130" s="180"/>
      <c r="O130" s="181"/>
      <c r="P130" s="180"/>
    </row>
    <row r="131" spans="1:19" s="186" customFormat="1" ht="12" customHeight="1" thickBot="1">
      <c r="A131" s="231"/>
      <c r="B131" s="232" t="s">
        <v>185</v>
      </c>
      <c r="C131" s="182"/>
      <c r="D131" s="191">
        <f>SUM(D49:D130)</f>
        <v>1039943.5900000001</v>
      </c>
      <c r="F131" s="223"/>
      <c r="G131" s="224">
        <f>SUM(G49:G94)</f>
        <v>762.62845719017207</v>
      </c>
      <c r="H131" s="184"/>
      <c r="I131" s="194"/>
      <c r="J131" s="178"/>
      <c r="K131" s="178"/>
      <c r="L131" s="178"/>
      <c r="M131" s="195">
        <f>SUM(M49:M129)</f>
        <v>147465.86386315705</v>
      </c>
      <c r="N131" s="180"/>
      <c r="O131" s="196"/>
      <c r="P131" s="195">
        <f>SUM(P49:P129)</f>
        <v>1187409.4538631581</v>
      </c>
    </row>
    <row r="132" spans="1:19" s="186" customFormat="1" ht="6.75" customHeight="1">
      <c r="A132" s="231"/>
      <c r="B132" s="231"/>
      <c r="C132" s="182"/>
      <c r="D132" s="184"/>
      <c r="F132" s="184"/>
      <c r="G132" s="184"/>
      <c r="H132" s="184"/>
      <c r="I132" s="194"/>
      <c r="J132" s="178"/>
      <c r="K132" s="178"/>
      <c r="L132" s="178"/>
      <c r="M132" s="180"/>
      <c r="N132" s="180"/>
      <c r="O132" s="181"/>
      <c r="P132" s="180"/>
    </row>
    <row r="133" spans="1:19" ht="12" customHeight="1">
      <c r="A133" s="177" t="s">
        <v>356</v>
      </c>
      <c r="B133" s="177" t="s">
        <v>474</v>
      </c>
      <c r="F133" s="179"/>
      <c r="G133" s="179"/>
      <c r="H133" s="179"/>
    </row>
    <row r="134" spans="1:19" ht="12" customHeight="1">
      <c r="A134" s="178" t="s">
        <v>357</v>
      </c>
      <c r="B134" s="178" t="s">
        <v>358</v>
      </c>
      <c r="C134" s="182">
        <v>20</v>
      </c>
      <c r="D134" s="183">
        <v>7280</v>
      </c>
      <c r="F134" s="184">
        <f>D134/C134</f>
        <v>364</v>
      </c>
      <c r="G134" s="184">
        <f>F134/12</f>
        <v>30.333333333333332</v>
      </c>
      <c r="H134" s="179"/>
      <c r="I134" s="185"/>
      <c r="J134" s="185"/>
      <c r="K134" s="185"/>
      <c r="L134" s="186"/>
      <c r="M134" s="187">
        <f>G134*SUM(I134:J134)*12</f>
        <v>0</v>
      </c>
      <c r="N134" s="187"/>
      <c r="O134" s="188"/>
      <c r="P134" s="187"/>
    </row>
    <row r="135" spans="1:19" ht="12" customHeight="1" thickBot="1">
      <c r="A135" s="189"/>
      <c r="B135" s="189"/>
      <c r="F135" s="179"/>
      <c r="G135" s="179"/>
      <c r="H135" s="179"/>
    </row>
    <row r="136" spans="1:19" ht="12" customHeight="1" thickBot="1">
      <c r="A136" s="189"/>
      <c r="B136" s="190" t="s">
        <v>359</v>
      </c>
      <c r="D136" s="191">
        <f>SUM(D134:D135)</f>
        <v>7280</v>
      </c>
      <c r="F136" s="192"/>
      <c r="G136" s="193">
        <f>SUM(G134)</f>
        <v>30.333333333333332</v>
      </c>
      <c r="H136" s="179"/>
      <c r="I136" s="194"/>
      <c r="M136" s="195">
        <f>SUM(M134)</f>
        <v>0</v>
      </c>
      <c r="O136" s="196"/>
      <c r="P136" s="195">
        <f>SUM(P134)</f>
        <v>0</v>
      </c>
    </row>
    <row r="137" spans="1:19" ht="6.75" customHeight="1">
      <c r="A137" s="189"/>
      <c r="B137" s="190"/>
      <c r="D137" s="233"/>
      <c r="F137" s="179"/>
      <c r="G137" s="179"/>
      <c r="H137" s="179"/>
    </row>
    <row r="138" spans="1:19" ht="12" customHeight="1">
      <c r="A138" s="177" t="s">
        <v>360</v>
      </c>
      <c r="B138" s="177" t="s">
        <v>360</v>
      </c>
      <c r="D138" s="233"/>
      <c r="F138" s="179"/>
      <c r="G138" s="179"/>
      <c r="H138" s="179"/>
    </row>
    <row r="139" spans="1:19" s="186" customFormat="1" ht="12" customHeight="1">
      <c r="A139" s="178" t="s">
        <v>361</v>
      </c>
      <c r="B139" s="178" t="s">
        <v>362</v>
      </c>
      <c r="C139" s="182">
        <v>33.630000000000003</v>
      </c>
      <c r="D139" s="183">
        <v>5808.2699999999995</v>
      </c>
      <c r="F139" s="184">
        <f>D139/C139</f>
        <v>172.71097234611952</v>
      </c>
      <c r="G139" s="184">
        <f>F139/12</f>
        <v>14.392581028843294</v>
      </c>
      <c r="I139" s="185"/>
      <c r="K139" s="185">
        <f>C139*$K$5</f>
        <v>24.534737143993446</v>
      </c>
      <c r="M139" s="187">
        <f>G139*SUM(K139)*12</f>
        <v>4237.4183083955631</v>
      </c>
      <c r="N139" s="187"/>
      <c r="O139" s="188">
        <f>+C139+SUM(K139)</f>
        <v>58.164737143993449</v>
      </c>
      <c r="P139" s="187">
        <f t="shared" ref="P139:P141" si="19">D139+M139</f>
        <v>10045.688308395562</v>
      </c>
      <c r="S139" s="234"/>
    </row>
    <row r="140" spans="1:19" s="186" customFormat="1" ht="12" customHeight="1">
      <c r="A140" s="178" t="s">
        <v>475</v>
      </c>
      <c r="B140" s="178" t="s">
        <v>476</v>
      </c>
      <c r="C140" s="182">
        <v>21.52</v>
      </c>
      <c r="D140" s="183">
        <v>1592.48</v>
      </c>
      <c r="F140" s="184">
        <f>D140/C140</f>
        <v>74</v>
      </c>
      <c r="G140" s="184">
        <f>F140/12</f>
        <v>6.166666666666667</v>
      </c>
      <c r="I140" s="185"/>
      <c r="K140" s="185">
        <f>C140*$K$5</f>
        <v>15.69989721494912</v>
      </c>
      <c r="M140" s="187">
        <f>G140*SUM(K140)*12</f>
        <v>1161.7923939062348</v>
      </c>
      <c r="N140" s="187"/>
      <c r="O140" s="188">
        <f>+C140+SUM(K140)</f>
        <v>37.219897214949121</v>
      </c>
      <c r="P140" s="187">
        <f t="shared" si="19"/>
        <v>2754.2723939062348</v>
      </c>
      <c r="S140" s="234"/>
    </row>
    <row r="141" spans="1:19" s="186" customFormat="1" ht="12" customHeight="1">
      <c r="A141" s="178" t="s">
        <v>477</v>
      </c>
      <c r="B141" s="178" t="s">
        <v>478</v>
      </c>
      <c r="C141" s="182">
        <v>26.963000000000001</v>
      </c>
      <c r="D141" s="183">
        <v>6659.12</v>
      </c>
      <c r="F141" s="184">
        <f>D141/C141</f>
        <v>246.972517894893</v>
      </c>
      <c r="G141" s="184">
        <f>F141/12</f>
        <v>20.58104315790775</v>
      </c>
      <c r="I141" s="185"/>
      <c r="K141" s="185">
        <f>C141*$K$5</f>
        <v>19.670833113692989</v>
      </c>
      <c r="M141" s="187">
        <f>G141*SUM(K141)*12</f>
        <v>4858.1551831789957</v>
      </c>
      <c r="N141" s="187"/>
      <c r="O141" s="188">
        <f>+C141+SUM(K141)</f>
        <v>46.633833113692987</v>
      </c>
      <c r="P141" s="187">
        <f t="shared" si="19"/>
        <v>11517.275183178996</v>
      </c>
      <c r="S141" s="234"/>
    </row>
    <row r="142" spans="1:19" ht="12" customHeight="1" thickBot="1">
      <c r="A142" s="189"/>
      <c r="B142" s="190"/>
    </row>
    <row r="143" spans="1:19" ht="12" customHeight="1" thickBot="1">
      <c r="A143" s="189"/>
      <c r="B143" s="190" t="s">
        <v>363</v>
      </c>
      <c r="D143" s="191">
        <f>SUM(D138:D142)</f>
        <v>14059.869999999999</v>
      </c>
      <c r="F143" s="235"/>
      <c r="G143" s="236">
        <f>SUM(G139:G141)</f>
        <v>41.14029085341771</v>
      </c>
      <c r="M143" s="195">
        <f>SUM(M139:M141)</f>
        <v>10257.365885480795</v>
      </c>
      <c r="O143" s="196"/>
      <c r="P143" s="195">
        <f>SUM(P139:P141)</f>
        <v>24317.23588548079</v>
      </c>
    </row>
    <row r="144" spans="1:19" ht="6.75" customHeight="1">
      <c r="A144" s="186"/>
      <c r="B144" s="186"/>
    </row>
    <row r="145" spans="1:16" ht="12" customHeight="1">
      <c r="A145" s="219" t="s">
        <v>364</v>
      </c>
      <c r="B145" s="219" t="s">
        <v>364</v>
      </c>
    </row>
    <row r="146" spans="1:16" ht="6.75" customHeight="1">
      <c r="A146" s="227"/>
      <c r="B146" s="227"/>
    </row>
    <row r="147" spans="1:16" ht="12" customHeight="1">
      <c r="A147" s="237" t="s">
        <v>365</v>
      </c>
      <c r="B147" s="237" t="s">
        <v>365</v>
      </c>
    </row>
    <row r="148" spans="1:16" ht="12" customHeight="1">
      <c r="A148" s="178" t="s">
        <v>366</v>
      </c>
      <c r="B148" s="178" t="s">
        <v>367</v>
      </c>
      <c r="C148" s="182">
        <v>241.93</v>
      </c>
      <c r="D148" s="183">
        <v>7628.3900000000012</v>
      </c>
      <c r="F148" s="184">
        <f>D148/C148</f>
        <v>31.531393378249913</v>
      </c>
      <c r="G148" s="184">
        <f>F148/12</f>
        <v>2.6276161148541592</v>
      </c>
      <c r="H148" s="186"/>
      <c r="I148" s="185">
        <f t="shared" ref="I148:I155" si="20">$I$5*C148</f>
        <v>34.306107357624661</v>
      </c>
      <c r="J148" s="186"/>
      <c r="K148" s="186"/>
      <c r="L148" s="186"/>
      <c r="M148" s="187">
        <f t="shared" ref="M148:M155" si="21">G148*SUM(I148:J148)*12</f>
        <v>1081.7193663697367</v>
      </c>
      <c r="N148" s="187"/>
      <c r="O148" s="188">
        <f t="shared" ref="O148:O155" si="22">+C148+SUM(I148:J148)</f>
        <v>276.23610735762469</v>
      </c>
      <c r="P148" s="187">
        <f t="shared" ref="P148:P155" si="23">D148+M148</f>
        <v>8710.1093663697375</v>
      </c>
    </row>
    <row r="149" spans="1:16" ht="12" customHeight="1">
      <c r="A149" s="178" t="s">
        <v>368</v>
      </c>
      <c r="B149" s="178" t="s">
        <v>369</v>
      </c>
      <c r="C149" s="182">
        <v>223.49</v>
      </c>
      <c r="D149" s="183">
        <v>16091.28</v>
      </c>
      <c r="F149" s="184">
        <f t="shared" ref="F149:F155" si="24">D149/C149</f>
        <v>72</v>
      </c>
      <c r="G149" s="184">
        <f t="shared" ref="G149:G155" si="25">F149/12</f>
        <v>6</v>
      </c>
      <c r="H149" s="186"/>
      <c r="I149" s="185">
        <f t="shared" si="20"/>
        <v>31.691282326935625</v>
      </c>
      <c r="J149" s="186"/>
      <c r="K149" s="186"/>
      <c r="L149" s="186"/>
      <c r="M149" s="187">
        <f t="shared" si="21"/>
        <v>2281.7723275393651</v>
      </c>
      <c r="N149" s="187"/>
      <c r="O149" s="188">
        <f t="shared" si="22"/>
        <v>255.18128232693564</v>
      </c>
      <c r="P149" s="187">
        <f t="shared" si="23"/>
        <v>18373.052327539364</v>
      </c>
    </row>
    <row r="150" spans="1:16" ht="12" customHeight="1">
      <c r="A150" s="178" t="s">
        <v>370</v>
      </c>
      <c r="B150" s="178" t="s">
        <v>371</v>
      </c>
      <c r="C150" s="182">
        <v>346.56</v>
      </c>
      <c r="D150" s="183">
        <v>3171.8399999999997</v>
      </c>
      <c r="F150" s="184">
        <f t="shared" si="24"/>
        <v>9.1523545706371188</v>
      </c>
      <c r="G150" s="184">
        <f t="shared" si="25"/>
        <v>0.76269621421975986</v>
      </c>
      <c r="H150" s="186"/>
      <c r="I150" s="185">
        <f t="shared" si="20"/>
        <v>49.142828776333658</v>
      </c>
      <c r="J150" s="186"/>
      <c r="K150" s="186"/>
      <c r="L150" s="186"/>
      <c r="M150" s="187">
        <f t="shared" si="21"/>
        <v>449.77259356511468</v>
      </c>
      <c r="N150" s="187"/>
      <c r="O150" s="188">
        <f t="shared" si="22"/>
        <v>395.70282877633366</v>
      </c>
      <c r="P150" s="187">
        <f t="shared" si="23"/>
        <v>3621.6125935651144</v>
      </c>
    </row>
    <row r="151" spans="1:16" ht="12" customHeight="1">
      <c r="A151" s="178" t="s">
        <v>372</v>
      </c>
      <c r="B151" s="178" t="s">
        <v>373</v>
      </c>
      <c r="C151" s="182">
        <v>330.7</v>
      </c>
      <c r="D151" s="183">
        <v>24471.800000000003</v>
      </c>
      <c r="F151" s="184">
        <f t="shared" si="24"/>
        <v>74.000000000000014</v>
      </c>
      <c r="G151" s="184">
        <f t="shared" si="25"/>
        <v>6.1666666666666679</v>
      </c>
      <c r="H151" s="186"/>
      <c r="I151" s="185">
        <f t="shared" si="20"/>
        <v>46.893852367075084</v>
      </c>
      <c r="J151" s="186"/>
      <c r="K151" s="186"/>
      <c r="L151" s="186"/>
      <c r="M151" s="187">
        <f t="shared" si="21"/>
        <v>3470.1450751635566</v>
      </c>
      <c r="N151" s="187"/>
      <c r="O151" s="188">
        <f t="shared" si="22"/>
        <v>377.5938523670751</v>
      </c>
      <c r="P151" s="187">
        <f t="shared" si="23"/>
        <v>27941.94507516356</v>
      </c>
    </row>
    <row r="152" spans="1:16" ht="12" customHeight="1">
      <c r="A152" s="178" t="s">
        <v>374</v>
      </c>
      <c r="B152" s="178" t="s">
        <v>375</v>
      </c>
      <c r="C152" s="182">
        <v>101.52</v>
      </c>
      <c r="D152" s="183">
        <v>5320.44</v>
      </c>
      <c r="F152" s="184">
        <f t="shared" si="24"/>
        <v>52.407801418439718</v>
      </c>
      <c r="G152" s="184">
        <f t="shared" si="25"/>
        <v>4.3673167848699768</v>
      </c>
      <c r="H152" s="186"/>
      <c r="I152" s="185">
        <f t="shared" si="20"/>
        <v>14.395717847914915</v>
      </c>
      <c r="J152" s="186"/>
      <c r="K152" s="186"/>
      <c r="L152" s="186"/>
      <c r="M152" s="187">
        <f t="shared" si="21"/>
        <v>754.4479222494133</v>
      </c>
      <c r="N152" s="187"/>
      <c r="O152" s="188">
        <f t="shared" si="22"/>
        <v>115.91571784791491</v>
      </c>
      <c r="P152" s="187">
        <f t="shared" si="23"/>
        <v>6074.8879222494124</v>
      </c>
    </row>
    <row r="153" spans="1:16" ht="12" customHeight="1">
      <c r="A153" s="178" t="s">
        <v>376</v>
      </c>
      <c r="B153" s="178" t="s">
        <v>377</v>
      </c>
      <c r="C153" s="182">
        <v>126.82</v>
      </c>
      <c r="D153" s="183">
        <v>7435.5899999999992</v>
      </c>
      <c r="F153" s="184">
        <f t="shared" si="24"/>
        <v>58.63105188456079</v>
      </c>
      <c r="G153" s="184">
        <f t="shared" si="25"/>
        <v>4.8859209903800656</v>
      </c>
      <c r="H153" s="186"/>
      <c r="I153" s="185">
        <f t="shared" si="20"/>
        <v>17.983303166593473</v>
      </c>
      <c r="J153" s="186"/>
      <c r="K153" s="186"/>
      <c r="L153" s="186"/>
      <c r="M153" s="187">
        <f t="shared" si="21"/>
        <v>1054.3799810163282</v>
      </c>
      <c r="N153" s="187"/>
      <c r="O153" s="188">
        <f t="shared" si="22"/>
        <v>144.80330316659348</v>
      </c>
      <c r="P153" s="187">
        <f t="shared" si="23"/>
        <v>8489.9699810163274</v>
      </c>
    </row>
    <row r="154" spans="1:16" ht="12" customHeight="1">
      <c r="A154" s="178" t="s">
        <v>378</v>
      </c>
      <c r="B154" s="178" t="s">
        <v>379</v>
      </c>
      <c r="C154" s="182">
        <v>74.37</v>
      </c>
      <c r="D154" s="183">
        <v>6172.68</v>
      </c>
      <c r="F154" s="184">
        <f t="shared" si="24"/>
        <v>82.999596611536916</v>
      </c>
      <c r="G154" s="184">
        <f t="shared" si="25"/>
        <v>6.9166330509614093</v>
      </c>
      <c r="H154" s="186"/>
      <c r="I154" s="185">
        <f t="shared" si="20"/>
        <v>10.54579921541994</v>
      </c>
      <c r="J154" s="186"/>
      <c r="K154" s="186"/>
      <c r="L154" s="186"/>
      <c r="M154" s="187">
        <f t="shared" si="21"/>
        <v>875.29708082611751</v>
      </c>
      <c r="N154" s="187"/>
      <c r="O154" s="188">
        <f t="shared" si="22"/>
        <v>84.915799215419952</v>
      </c>
      <c r="P154" s="187">
        <f t="shared" si="23"/>
        <v>7047.9770808261183</v>
      </c>
    </row>
    <row r="155" spans="1:16" ht="12" customHeight="1">
      <c r="A155" s="178" t="s">
        <v>380</v>
      </c>
      <c r="B155" s="178" t="s">
        <v>381</v>
      </c>
      <c r="C155" s="182">
        <v>5.54</v>
      </c>
      <c r="D155" s="183">
        <v>22641.980000000003</v>
      </c>
      <c r="F155" s="184">
        <f t="shared" si="24"/>
        <v>4087.0000000000005</v>
      </c>
      <c r="G155" s="184">
        <f t="shared" si="25"/>
        <v>340.58333333333337</v>
      </c>
      <c r="H155" s="186"/>
      <c r="I155" s="185">
        <f t="shared" si="20"/>
        <v>0.78558192353672807</v>
      </c>
      <c r="J155" s="186"/>
      <c r="K155" s="186"/>
      <c r="L155" s="186"/>
      <c r="M155" s="187">
        <f t="shared" si="21"/>
        <v>3210.673321494608</v>
      </c>
      <c r="N155" s="187"/>
      <c r="O155" s="188">
        <f t="shared" si="22"/>
        <v>6.3255819235367277</v>
      </c>
      <c r="P155" s="187">
        <f t="shared" si="23"/>
        <v>25852.65332149461</v>
      </c>
    </row>
    <row r="156" spans="1:16" ht="6.75" customHeight="1">
      <c r="C156" s="182"/>
      <c r="D156" s="183"/>
      <c r="F156" s="184"/>
    </row>
    <row r="157" spans="1:16" s="186" customFormat="1" ht="6.75" customHeight="1" thickBot="1">
      <c r="A157" s="178"/>
      <c r="B157" s="178"/>
      <c r="C157" s="182"/>
      <c r="D157" s="184"/>
      <c r="I157" s="178"/>
      <c r="J157" s="178"/>
      <c r="K157" s="178"/>
      <c r="L157" s="178"/>
      <c r="M157" s="180"/>
      <c r="N157" s="180"/>
      <c r="O157" s="181"/>
      <c r="P157" s="180"/>
    </row>
    <row r="158" spans="1:16" s="186" customFormat="1" ht="12" customHeight="1" thickBot="1">
      <c r="A158" s="178"/>
      <c r="B158" s="190" t="s">
        <v>382</v>
      </c>
      <c r="C158" s="182"/>
      <c r="D158" s="191">
        <f>SUM(D148:D157)</f>
        <v>92934</v>
      </c>
      <c r="F158" s="235"/>
      <c r="G158" s="236">
        <f>SUM(G148:G151)</f>
        <v>15.556978995740588</v>
      </c>
      <c r="I158" s="178"/>
      <c r="J158" s="178"/>
      <c r="K158" s="178"/>
      <c r="L158" s="178"/>
      <c r="M158" s="195">
        <f>SUM(M148:M155)</f>
        <v>13178.20766822424</v>
      </c>
      <c r="N158" s="180"/>
      <c r="O158" s="196"/>
      <c r="P158" s="195">
        <f>SUM(P148:P155)</f>
        <v>106112.20766822425</v>
      </c>
    </row>
    <row r="159" spans="1:16" ht="6.75" customHeight="1">
      <c r="A159" s="189"/>
      <c r="B159" s="189"/>
    </row>
    <row r="160" spans="1:16" ht="12" customHeight="1">
      <c r="A160" s="237" t="s">
        <v>383</v>
      </c>
      <c r="B160" s="237" t="s">
        <v>383</v>
      </c>
    </row>
    <row r="161" spans="1:16" ht="12" customHeight="1">
      <c r="A161" s="178" t="s">
        <v>384</v>
      </c>
      <c r="B161" s="178" t="s">
        <v>385</v>
      </c>
      <c r="C161" s="182">
        <v>106</v>
      </c>
      <c r="D161" s="183">
        <v>69478.92</v>
      </c>
      <c r="F161" s="184">
        <f>D161/C161</f>
        <v>655.46150943396219</v>
      </c>
      <c r="G161" s="184">
        <f>F161/12</f>
        <v>54.621792452830185</v>
      </c>
      <c r="I161" s="185"/>
      <c r="J161" s="186"/>
      <c r="K161" s="186"/>
      <c r="L161" s="186"/>
      <c r="M161" s="187">
        <f>G161*SUM(I161:J161)*12</f>
        <v>0</v>
      </c>
      <c r="N161" s="187"/>
      <c r="O161" s="188">
        <f>+C161+SUM(I161:J161)</f>
        <v>106</v>
      </c>
      <c r="P161" s="187">
        <f t="shared" ref="P161" si="26">D161+M161</f>
        <v>69478.92</v>
      </c>
    </row>
    <row r="162" spans="1:16" ht="6.75" customHeight="1"/>
    <row r="163" spans="1:16" ht="12" customHeight="1">
      <c r="A163" s="189"/>
      <c r="B163" s="190" t="s">
        <v>386</v>
      </c>
      <c r="D163" s="191">
        <f>SUM(D161:D162)</f>
        <v>69478.92</v>
      </c>
      <c r="M163" s="195">
        <f>SUM(M161)</f>
        <v>0</v>
      </c>
      <c r="O163" s="196"/>
      <c r="P163" s="195">
        <f>SUM(P161)</f>
        <v>69478.92</v>
      </c>
    </row>
    <row r="164" spans="1:16" ht="6.75" customHeight="1">
      <c r="A164" s="189"/>
      <c r="B164" s="190"/>
      <c r="D164" s="233"/>
    </row>
    <row r="165" spans="1:16" s="186" customFormat="1" ht="12" customHeight="1">
      <c r="A165" s="227" t="s">
        <v>387</v>
      </c>
      <c r="B165" s="227" t="s">
        <v>387</v>
      </c>
      <c r="C165" s="182"/>
      <c r="F165" s="184"/>
      <c r="I165" s="178"/>
      <c r="J165" s="178"/>
      <c r="K165" s="178"/>
      <c r="L165" s="178"/>
      <c r="M165" s="238" t="s">
        <v>479</v>
      </c>
      <c r="N165" s="180"/>
      <c r="O165" s="181"/>
      <c r="P165" s="180"/>
    </row>
    <row r="166" spans="1:16" s="186" customFormat="1" ht="12" customHeight="1">
      <c r="A166" s="178" t="s">
        <v>388</v>
      </c>
      <c r="B166" s="178" t="s">
        <v>389</v>
      </c>
      <c r="C166" s="182">
        <v>1</v>
      </c>
      <c r="D166" s="183">
        <v>3441.6700000000005</v>
      </c>
      <c r="F166" s="184"/>
      <c r="J166" s="180"/>
      <c r="K166" s="180"/>
      <c r="L166" s="239" t="s">
        <v>480</v>
      </c>
      <c r="M166" s="240">
        <v>83352.586916825763</v>
      </c>
      <c r="O166" s="241" t="s">
        <v>481</v>
      </c>
      <c r="P166" s="180">
        <v>206881.77713080705</v>
      </c>
    </row>
    <row r="167" spans="1:16" s="186" customFormat="1" ht="12" customHeight="1">
      <c r="A167" s="178" t="s">
        <v>390</v>
      </c>
      <c r="B167" s="178" t="s">
        <v>391</v>
      </c>
      <c r="C167" s="182">
        <v>19.010000000000002</v>
      </c>
      <c r="D167" s="183">
        <v>190.10000000000002</v>
      </c>
      <c r="F167" s="184"/>
      <c r="I167" s="178"/>
      <c r="L167" s="242" t="s">
        <v>482</v>
      </c>
      <c r="M167" s="243">
        <f>SUM(M38+M131+M158)</f>
        <v>311833.49941391125</v>
      </c>
      <c r="N167" s="180"/>
      <c r="O167" s="244" t="s">
        <v>483</v>
      </c>
      <c r="P167" s="180">
        <v>170051.98410623468</v>
      </c>
    </row>
    <row r="168" spans="1:16" s="186" customFormat="1" ht="12" customHeight="1">
      <c r="A168" s="178" t="s">
        <v>392</v>
      </c>
      <c r="B168" s="178" t="s">
        <v>393</v>
      </c>
      <c r="C168" s="182">
        <v>0</v>
      </c>
      <c r="D168" s="183">
        <v>-76.989999999999995</v>
      </c>
      <c r="F168" s="184"/>
      <c r="I168" s="178"/>
      <c r="J168" s="178"/>
      <c r="K168" s="178"/>
      <c r="L168" s="178"/>
      <c r="M168" s="245">
        <f>SUM(M166:M167)</f>
        <v>395186.08633073699</v>
      </c>
      <c r="N168" s="180"/>
      <c r="O168" s="244" t="s">
        <v>484</v>
      </c>
      <c r="P168" s="246">
        <v>18252.32509369529</v>
      </c>
    </row>
    <row r="169" spans="1:16" s="186" customFormat="1" ht="9.75" customHeight="1">
      <c r="A169" s="222"/>
      <c r="B169" s="222"/>
      <c r="C169" s="182"/>
      <c r="F169" s="184"/>
      <c r="I169" s="178"/>
      <c r="J169" s="247" t="s">
        <v>485</v>
      </c>
      <c r="K169" s="247" t="s">
        <v>485</v>
      </c>
      <c r="L169" s="248"/>
      <c r="M169" s="249">
        <v>395447.05513210944</v>
      </c>
      <c r="N169" s="180"/>
      <c r="O169" s="181"/>
      <c r="P169" s="180">
        <f>SUM(P166:P168)</f>
        <v>395186.08633073705</v>
      </c>
    </row>
    <row r="170" spans="1:16" s="186" customFormat="1" ht="12" customHeight="1">
      <c r="A170" s="189"/>
      <c r="B170" s="190" t="s">
        <v>394</v>
      </c>
      <c r="C170" s="182"/>
      <c r="D170" s="191">
        <f>SUM(D166:D168)</f>
        <v>3554.7800000000007</v>
      </c>
      <c r="F170" s="184"/>
      <c r="I170" s="178"/>
      <c r="J170" s="178"/>
      <c r="K170" s="178"/>
      <c r="L170" s="178"/>
      <c r="M170" s="250">
        <f>M168-M169</f>
        <v>-260.96880137245171</v>
      </c>
      <c r="N170" s="180"/>
      <c r="O170" s="181"/>
      <c r="P170" s="180"/>
    </row>
    <row r="171" spans="1:16" ht="6.75" customHeight="1">
      <c r="A171" s="189"/>
      <c r="B171" s="190"/>
    </row>
    <row r="172" spans="1:16" ht="12" customHeight="1">
      <c r="A172" s="251"/>
      <c r="B172" s="232" t="s">
        <v>395</v>
      </c>
      <c r="D172" s="191">
        <f>SUM(D38,D43,D131,D136,D158,D163,D170,D143)</f>
        <v>2298269.0449999999</v>
      </c>
    </row>
    <row r="173" spans="1:16" ht="6.75" customHeight="1">
      <c r="A173" s="251"/>
      <c r="B173" s="251"/>
    </row>
    <row r="174" spans="1:16" ht="7.5" customHeight="1">
      <c r="C174" s="252"/>
      <c r="D174" s="253"/>
    </row>
    <row r="175" spans="1:16">
      <c r="C175" s="252"/>
      <c r="D175" s="254"/>
      <c r="F175" s="255"/>
      <c r="G175" s="255"/>
      <c r="H175" s="255"/>
    </row>
  </sheetData>
  <mergeCells count="2">
    <mergeCell ref="M4:M5"/>
    <mergeCell ref="O4:P4"/>
  </mergeCells>
  <pageMargins left="0.7" right="0.7" top="0.75" bottom="0.75" header="0.3" footer="0.3"/>
  <pageSetup scale="66" orientation="landscape" r:id="rId1"/>
  <rowBreaks count="2" manualBreakCount="2">
    <brk id="45" max="15" man="1"/>
    <brk id="109" max="15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1EBFB6EF7E230438F08E4E250B91A29" ma:contentTypeVersion="52" ma:contentTypeDescription="" ma:contentTypeScope="" ma:versionID="90c7cb71237008007a4c376de41e71e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2020-11-10T08:00:00+00:00</OpenedDate>
    <SignificantOrder xmlns="dc463f71-b30c-4ab2-9473-d307f9d35888">false</SignificantOrder>
    <Date1 xmlns="dc463f71-b30c-4ab2-9473-d307f9d35888">2020-11-10T08:00:00+00:00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EMPIRE DISPOSAL INC</CaseCompanyNames>
    <Nickname xmlns="http://schemas.microsoft.com/sharepoint/v3" xsi:nil="true"/>
    <DocketNumber xmlns="dc463f71-b30c-4ab2-9473-d307f9d35888">200917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F9F4212-6675-4744-BFD8-7AAC7EF5B62C}"/>
</file>

<file path=customXml/itemProps2.xml><?xml version="1.0" encoding="utf-8"?>
<ds:datastoreItem xmlns:ds="http://schemas.openxmlformats.org/officeDocument/2006/customXml" ds:itemID="{4F344937-486A-4B6A-ABA9-C083EFDB0DE5}"/>
</file>

<file path=customXml/itemProps3.xml><?xml version="1.0" encoding="utf-8"?>
<ds:datastoreItem xmlns:ds="http://schemas.openxmlformats.org/officeDocument/2006/customXml" ds:itemID="{7417AD7F-AE4E-459F-9B8C-E2DA0B17E7B5}"/>
</file>

<file path=customXml/itemProps4.xml><?xml version="1.0" encoding="utf-8"?>
<ds:datastoreItem xmlns:ds="http://schemas.openxmlformats.org/officeDocument/2006/customXml" ds:itemID="{8191BF8F-21EC-431D-B864-F5448A5AB8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References</vt:lpstr>
      <vt:lpstr>Whitman DF Calc</vt:lpstr>
      <vt:lpstr>Proposed Rates</vt:lpstr>
      <vt:lpstr>Disposal Schedule</vt:lpstr>
      <vt:lpstr>Whitman Reg - Price Out</vt:lpstr>
      <vt:lpstr>'Disposal Schedule'!Print_Area</vt:lpstr>
      <vt:lpstr>'Proposed Rates'!Print_Area</vt:lpstr>
      <vt:lpstr>'Whitman DF Calc'!Print_Area</vt:lpstr>
      <vt:lpstr>'Whitman Reg - Price Out'!Print_Area</vt:lpstr>
      <vt:lpstr>'Proposed Rates'!Print_Titles</vt:lpstr>
      <vt:lpstr>'Whitman DF Calc'!Print_Titles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Irmgard R Wilcox</dc:creator>
  <cp:lastModifiedBy>Heather Garland</cp:lastModifiedBy>
  <cp:lastPrinted>2020-11-10T17:25:30Z</cp:lastPrinted>
  <dcterms:created xsi:type="dcterms:W3CDTF">2014-11-03T21:22:13Z</dcterms:created>
  <dcterms:modified xsi:type="dcterms:W3CDTF">2020-11-10T22:41:45Z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0x0101006E56B4D1795A2E4DB2F0B01679ED314A00B1EBFB6EF7E230438F08E4E250B91A29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