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0\"/>
    </mc:Choice>
  </mc:AlternateContent>
  <bookViews>
    <workbookView xWindow="0" yWindow="0" windowWidth="23040" windowHeight="9360" firstSheet="3" activeTab="14"/>
  </bookViews>
  <sheets>
    <sheet name="Output - Summary" sheetId="45" r:id="rId1"/>
    <sheet name="Output - 5yr Baseload" sheetId="42" r:id="rId2"/>
    <sheet name="Output - 10yr Baseload" sheetId="39" r:id="rId3"/>
    <sheet name="Output - 15yr Baseload" sheetId="13" r:id="rId4"/>
    <sheet name="Output - 10yr Wind" sheetId="40" r:id="rId5"/>
    <sheet name="Output - 15yr Wind" sheetId="26" r:id="rId6"/>
    <sheet name="Output - 10yr Solar" sheetId="41" r:id="rId7"/>
    <sheet name="Output - 15yr Solar" sheetId="27" r:id="rId8"/>
    <sheet name="Electric EES CE Std Energy" sheetId="5" r:id="rId9"/>
    <sheet name="FlatLoadShapeEnergy_perMWh" sheetId="9" r:id="rId10"/>
    <sheet name="Baseload Avoided Capacity Calcs" sheetId="7" r:id="rId11"/>
    <sheet name="Wind Avoided Capacity Calcs" sheetId="43" r:id="rId12"/>
    <sheet name="Solar Avoided Capacity Calcs" sheetId="44" r:id="rId13"/>
    <sheet name="Inputs-----&gt;" sheetId="38" r:id="rId14"/>
    <sheet name="Energy Prices" sheetId="22" r:id="rId15"/>
    <sheet name="Capacity Delivered" sheetId="23" r:id="rId16"/>
    <sheet name="Cost of Capital" sheetId="37" r:id="rId17"/>
  </sheets>
  <externalReferences>
    <externalReference r:id="rId18"/>
    <externalReference r:id="rId19"/>
  </externalReferences>
  <definedNames>
    <definedName name="_ftn1" localSheetId="10">'Baseload Avoided Capacity Calcs'!#REF!</definedName>
    <definedName name="_ftn1" localSheetId="12">'Solar Avoided Capacity Calcs'!#REF!</definedName>
    <definedName name="_ftn1" localSheetId="11">'Wind Avoided Capacity Calcs'!#REF!</definedName>
    <definedName name="_ftnref1" localSheetId="10">'Baseload Avoided Capacity Calcs'!#REF!</definedName>
    <definedName name="_ftnref1" localSheetId="12">'Solar Avoided Capacity Calcs'!#REF!</definedName>
    <definedName name="_ftnref1" localSheetId="11">'Wind Avoided Capacity Calcs'!#REF!</definedName>
    <definedName name="CaseDescription">[1]Assumptions!$A$2</definedName>
    <definedName name="MeasureList" localSheetId="2">#REF!</definedName>
    <definedName name="MeasureList" localSheetId="6">#REF!</definedName>
    <definedName name="MeasureList" localSheetId="4">#REF!</definedName>
    <definedName name="MeasureList" localSheetId="7">#REF!</definedName>
    <definedName name="MeasureList" localSheetId="5">#REF!</definedName>
    <definedName name="MeasureList" localSheetId="1">#REF!</definedName>
    <definedName name="MeasureList" localSheetId="0">#REF!</definedName>
    <definedName name="MeasureList" localSheetId="12">#REF!</definedName>
    <definedName name="MeasureList" localSheetId="11">#REF!</definedName>
    <definedName name="MeasureList">#REF!</definedName>
    <definedName name="PreTaxWACC">[2]Assumptions!$O$24</definedName>
    <definedName name="_xlnm.Print_Area" localSheetId="10">'Baseload Avoided Capacity Calcs'!$B$4:$K$30</definedName>
    <definedName name="_xlnm.Print_Area" localSheetId="15">'Capacity Delivered'!$B$3:$S$28</definedName>
    <definedName name="_xlnm.Print_Area" localSheetId="8">'Electric EES CE Std Energy'!$B$2:$F$29</definedName>
    <definedName name="_xlnm.Print_Area" localSheetId="9">FlatLoadShapeEnergy_perMWh!$B$4:$P$33</definedName>
    <definedName name="_xlnm.Print_Area" localSheetId="2">'Output - 10yr Baseload'!$B$2:$AC$35</definedName>
    <definedName name="_xlnm.Print_Area" localSheetId="6">'Output - 10yr Solar'!$B$2:$AC$35</definedName>
    <definedName name="_xlnm.Print_Area" localSheetId="4">'Output - 10yr Wind'!$B$2:$AC$35</definedName>
    <definedName name="_xlnm.Print_Area" localSheetId="3">'Output - 15yr Baseload'!$B$2:$AD$35</definedName>
    <definedName name="_xlnm.Print_Area" localSheetId="7">'Output - 15yr Solar'!$B$2:$AD$35</definedName>
    <definedName name="_xlnm.Print_Area" localSheetId="5">'Output - 15yr Wind'!$B$2:$AD$35</definedName>
    <definedName name="_xlnm.Print_Area" localSheetId="1">'Output - 5yr Baseload'!$B$2:$AC$35</definedName>
    <definedName name="_xlnm.Print_Area" localSheetId="0">'Output - Summary'!$B$2:$AB$9</definedName>
    <definedName name="_xlnm.Print_Area" localSheetId="12">'Solar Avoided Capacity Calcs'!$B$4:$K$30</definedName>
    <definedName name="_xlnm.Print_Area" localSheetId="11">'Wind Avoided Capacity Calcs'!$B$4:$K$30</definedName>
    <definedName name="Rate_of_Return">'Cost of Capital'!$F$16</definedName>
    <definedName name="solver_typ" localSheetId="8" hidden="1">2</definedName>
    <definedName name="solver_typ" localSheetId="4" hidden="1">2</definedName>
    <definedName name="solver_typ" localSheetId="5" hidden="1">2</definedName>
    <definedName name="solver_ver" localSheetId="8" hidden="1">10</definedName>
    <definedName name="solver_ver" localSheetId="4" hidden="1">17</definedName>
    <definedName name="solver_ver" localSheetId="5" hidden="1">17</definedName>
    <definedName name="Title">[1]Assumptions!$A$1</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3" hidden="1">{#N/A,#N/A,FALSE,"Pg 6b CustCount_Gas";#N/A,#N/A,FALSE,"QA";#N/A,#N/A,FALSE,"Report";#N/A,#N/A,FALSE,"forecast"}</definedName>
    <definedName name="wrn.Customer._.Counts._.Gas." hidden="1">{#N/A,#N/A,FALSE,"Pg 6b CustCount_Gas";#N/A,#N/A,FALSE,"QA";#N/A,#N/A,FALSE,"Report";#N/A,#N/A,FALSE,"forecast"}</definedName>
    <definedName name="wrn.Incentive._.Overhead." localSheetId="13" hidden="1">{#N/A,#N/A,FALSE,"Coversheet";#N/A,#N/A,FALSE,"QA"}</definedName>
    <definedName name="wrn.Incentive._.Overhead." hidden="1">{#N/A,#N/A,FALSE,"Coversheet";#N/A,#N/A,FALSE,"QA"}</definedName>
    <definedName name="wrn.MARGIN_WO_QTR." localSheetId="13" hidden="1">{#N/A,#N/A,FALSE,"Month ";#N/A,#N/A,FALSE,"YTD";#N/A,#N/A,FALSE,"12 mo ended"}</definedName>
    <definedName name="wrn.MARGIN_WO_QTR." hidden="1">{#N/A,#N/A,FALSE,"Month ";#N/A,#N/A,FALSE,"YTD";#N/A,#N/A,FALSE,"12 mo ended"}</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3"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F5" i="27" l="1"/>
  <c r="F5" i="41"/>
  <c r="F5" i="26"/>
  <c r="F5" i="40"/>
  <c r="F5" i="13"/>
  <c r="F5" i="39"/>
  <c r="F5" i="42"/>
  <c r="H7" i="43"/>
  <c r="H8" i="43"/>
  <c r="H9" i="43"/>
  <c r="H10" i="43"/>
  <c r="H11" i="43"/>
  <c r="H12" i="43"/>
  <c r="H13" i="43"/>
  <c r="H14" i="43"/>
  <c r="H15" i="43"/>
  <c r="H16" i="43"/>
  <c r="H17" i="43"/>
  <c r="H18" i="43"/>
  <c r="H19" i="43"/>
  <c r="H20" i="43"/>
  <c r="H21" i="43"/>
  <c r="H22" i="43"/>
  <c r="H23" i="43"/>
  <c r="H24" i="43"/>
  <c r="H25" i="43"/>
  <c r="H26" i="43"/>
  <c r="H27" i="43"/>
  <c r="B8" i="23"/>
  <c r="B9" i="23"/>
  <c r="B10" i="23" s="1"/>
  <c r="B11" i="23" s="1"/>
  <c r="B12" i="23" s="1"/>
  <c r="B13" i="23" s="1"/>
  <c r="B14" i="23" s="1"/>
  <c r="B15" i="23" s="1"/>
  <c r="B16" i="23" s="1"/>
  <c r="B17" i="23" s="1"/>
  <c r="B18" i="23" s="1"/>
  <c r="B19" i="23" s="1"/>
  <c r="B20" i="23" s="1"/>
  <c r="B21" i="23" s="1"/>
  <c r="B22" i="23" s="1"/>
  <c r="B23" i="23" s="1"/>
  <c r="B24" i="23" s="1"/>
  <c r="B25" i="23" s="1"/>
  <c r="B26" i="23" s="1"/>
  <c r="B27" i="23" s="1"/>
  <c r="B28" i="23" s="1"/>
  <c r="H7" i="44"/>
  <c r="H8" i="44"/>
  <c r="H9" i="44"/>
  <c r="H10" i="44"/>
  <c r="H11" i="44"/>
  <c r="H12" i="44"/>
  <c r="H13" i="44"/>
  <c r="H14" i="44"/>
  <c r="H15" i="44"/>
  <c r="H16" i="44"/>
  <c r="H17" i="44"/>
  <c r="H18" i="44"/>
  <c r="H19" i="44"/>
  <c r="H20" i="44"/>
  <c r="H21" i="44"/>
  <c r="H22" i="44"/>
  <c r="H23" i="44"/>
  <c r="H24" i="44"/>
  <c r="H25" i="44"/>
  <c r="H26" i="44"/>
  <c r="H27" i="44"/>
  <c r="S8" i="23"/>
  <c r="R8" i="23"/>
  <c r="Q7" i="23"/>
  <c r="P7" i="23"/>
  <c r="O7" i="23"/>
  <c r="O8" i="23"/>
  <c r="I7" i="23"/>
  <c r="H7" i="23"/>
  <c r="K7" i="23" l="1"/>
  <c r="D15" i="7" l="1"/>
  <c r="F7" i="7" l="1"/>
  <c r="F7" i="44" l="1"/>
  <c r="F7" i="43"/>
  <c r="G7" i="9"/>
  <c r="E27" i="23" l="1"/>
  <c r="C8" i="23"/>
  <c r="P29" i="22"/>
  <c r="P28" i="22"/>
  <c r="E19" i="37"/>
  <c r="C8" i="22"/>
  <c r="C9" i="22" s="1"/>
  <c r="C10" i="22" s="1"/>
  <c r="C11" i="22" s="1"/>
  <c r="C12" i="22" s="1"/>
  <c r="C13" i="22" s="1"/>
  <c r="C14" i="22" s="1"/>
  <c r="C15" i="22" s="1"/>
  <c r="C16" i="22" s="1"/>
  <c r="C17" i="22" s="1"/>
  <c r="C18" i="22" s="1"/>
  <c r="C19" i="22" s="1"/>
  <c r="C20" i="22" s="1"/>
  <c r="C21" i="22" s="1"/>
  <c r="C22" i="22" s="1"/>
  <c r="C23" i="22" s="1"/>
  <c r="C24" i="22" s="1"/>
  <c r="C25" i="22" s="1"/>
  <c r="C26" i="22" s="1"/>
  <c r="C7" i="22"/>
  <c r="C9" i="23" l="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D12" i="44"/>
  <c r="C11" i="44"/>
  <c r="F8" i="44"/>
  <c r="F9" i="44" s="1"/>
  <c r="F10" i="44" s="1"/>
  <c r="F11" i="44" s="1"/>
  <c r="F12" i="44" s="1"/>
  <c r="F13" i="44" s="1"/>
  <c r="F14" i="44" s="1"/>
  <c r="F15" i="44" s="1"/>
  <c r="F16" i="44" s="1"/>
  <c r="F17" i="44" s="1"/>
  <c r="F18" i="44" s="1"/>
  <c r="F19" i="44" s="1"/>
  <c r="F20" i="44" s="1"/>
  <c r="F21" i="44" s="1"/>
  <c r="F22" i="44" s="1"/>
  <c r="F23" i="44" s="1"/>
  <c r="F24" i="44" s="1"/>
  <c r="F25" i="44" s="1"/>
  <c r="F26" i="44" s="1"/>
  <c r="F27" i="44" s="1"/>
  <c r="D12" i="43"/>
  <c r="C11" i="43"/>
  <c r="C10" i="23" l="1"/>
  <c r="K9" i="23"/>
  <c r="N8" i="23"/>
  <c r="N9" i="23"/>
  <c r="N10" i="23"/>
  <c r="N11" i="23"/>
  <c r="N12" i="23"/>
  <c r="N13" i="23"/>
  <c r="N14" i="23"/>
  <c r="N15" i="23"/>
  <c r="N16" i="23"/>
  <c r="N17" i="23"/>
  <c r="N18" i="23"/>
  <c r="N19" i="23"/>
  <c r="N20" i="23"/>
  <c r="N21" i="23"/>
  <c r="N22" i="23"/>
  <c r="N23" i="23"/>
  <c r="N24" i="23"/>
  <c r="N25" i="23"/>
  <c r="N26" i="23"/>
  <c r="N27" i="23"/>
  <c r="N28" i="23"/>
  <c r="N7" i="23"/>
  <c r="R9" i="23"/>
  <c r="R10" i="23"/>
  <c r="R11" i="23"/>
  <c r="R12" i="23"/>
  <c r="R13" i="23"/>
  <c r="R14" i="23"/>
  <c r="R15" i="23"/>
  <c r="R16" i="23"/>
  <c r="R17" i="23"/>
  <c r="R18" i="23"/>
  <c r="R19" i="23"/>
  <c r="R20" i="23"/>
  <c r="R21" i="23"/>
  <c r="R22" i="23"/>
  <c r="R23" i="23"/>
  <c r="R24" i="23"/>
  <c r="R25" i="23"/>
  <c r="R26" i="23"/>
  <c r="R27" i="23"/>
  <c r="R28" i="23"/>
  <c r="R7" i="23"/>
  <c r="P8" i="23"/>
  <c r="P9" i="23"/>
  <c r="P10" i="23"/>
  <c r="P11" i="23"/>
  <c r="P12" i="23"/>
  <c r="P13" i="23"/>
  <c r="P14" i="23"/>
  <c r="P15" i="23"/>
  <c r="P16" i="23"/>
  <c r="P17" i="23"/>
  <c r="P18" i="23"/>
  <c r="P19" i="23"/>
  <c r="P20" i="23"/>
  <c r="P21" i="23"/>
  <c r="P22" i="23"/>
  <c r="P23" i="23"/>
  <c r="P24" i="23"/>
  <c r="P25" i="23"/>
  <c r="P26" i="23"/>
  <c r="P27" i="23"/>
  <c r="P28" i="23"/>
  <c r="C11" i="23" l="1"/>
  <c r="K10" i="23"/>
  <c r="G7" i="23"/>
  <c r="H7" i="7" l="1"/>
  <c r="I7" i="7" s="1"/>
  <c r="C12" i="23"/>
  <c r="K11" i="23"/>
  <c r="S7" i="23"/>
  <c r="C13" i="23" l="1"/>
  <c r="K12" i="23"/>
  <c r="G19" i="42"/>
  <c r="F12" i="42"/>
  <c r="G12" i="42" s="1"/>
  <c r="H12" i="42" s="1"/>
  <c r="I12" i="42" s="1"/>
  <c r="J12" i="42" s="1"/>
  <c r="K12" i="42" s="1"/>
  <c r="L12" i="42" s="1"/>
  <c r="F12" i="27"/>
  <c r="F12" i="41"/>
  <c r="F12" i="26"/>
  <c r="F12" i="40"/>
  <c r="F12" i="13"/>
  <c r="F12" i="39"/>
  <c r="I27" i="9"/>
  <c r="J27" i="9" s="1"/>
  <c r="K27" i="9"/>
  <c r="I8" i="9"/>
  <c r="I7" i="9"/>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K13" i="23"/>
  <c r="J7" i="9"/>
  <c r="H19" i="42"/>
  <c r="I19" i="9"/>
  <c r="J19" i="9" s="1"/>
  <c r="E28" i="23"/>
  <c r="I13" i="23"/>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K14" i="23"/>
  <c r="S13" i="23"/>
  <c r="I19" i="42"/>
  <c r="J19" i="41"/>
  <c r="I19" i="40"/>
  <c r="H19" i="39"/>
  <c r="C16" i="23" l="1"/>
  <c r="K15" i="23"/>
  <c r="F11" i="7"/>
  <c r="F10" i="43"/>
  <c r="J19" i="42"/>
  <c r="K19" i="41"/>
  <c r="J19" i="40"/>
  <c r="I19" i="39"/>
  <c r="F12" i="7" l="1"/>
  <c r="F11" i="43"/>
  <c r="C17" i="23"/>
  <c r="K16" i="23"/>
  <c r="L19" i="41"/>
  <c r="K19" i="40"/>
  <c r="J19" i="39"/>
  <c r="F13" i="7" l="1"/>
  <c r="F12" i="43"/>
  <c r="C18" i="23"/>
  <c r="K17" i="23"/>
  <c r="M19" i="41"/>
  <c r="L19" i="40"/>
  <c r="K19" i="39"/>
  <c r="C19" i="23" l="1"/>
  <c r="K18" i="23"/>
  <c r="F14" i="7"/>
  <c r="F13" i="43"/>
  <c r="N19" i="41"/>
  <c r="M19" i="40"/>
  <c r="L19" i="39"/>
  <c r="F15" i="7" l="1"/>
  <c r="F14" i="43"/>
  <c r="C20" i="23"/>
  <c r="K19" i="23"/>
  <c r="O19" i="41"/>
  <c r="N19" i="40"/>
  <c r="M19" i="39"/>
  <c r="F16" i="7" l="1"/>
  <c r="F15" i="43"/>
  <c r="C21" i="23"/>
  <c r="K20" i="23"/>
  <c r="O19" i="40"/>
  <c r="N19" i="39"/>
  <c r="C22" i="23" l="1"/>
  <c r="K21" i="23"/>
  <c r="F17" i="7"/>
  <c r="F16" i="43"/>
  <c r="O19" i="39"/>
  <c r="C23" i="23" l="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I10" i="9"/>
  <c r="I11" i="9"/>
  <c r="I12" i="9"/>
  <c r="I13" i="9"/>
  <c r="I14" i="9"/>
  <c r="I15" i="9"/>
  <c r="I16" i="9"/>
  <c r="I17" i="9"/>
  <c r="I18" i="9"/>
  <c r="I20" i="9"/>
  <c r="I21" i="9"/>
  <c r="I22" i="9"/>
  <c r="I23" i="9"/>
  <c r="I24" i="9"/>
  <c r="I25" i="9"/>
  <c r="I26" i="9"/>
  <c r="J26" i="9" s="1"/>
  <c r="F19" i="7" l="1"/>
  <c r="F18" i="43"/>
  <c r="C24" i="23"/>
  <c r="K23" i="23"/>
  <c r="E18" i="37"/>
  <c r="F18" i="37" s="1"/>
  <c r="F20" i="7" l="1"/>
  <c r="F19" i="43"/>
  <c r="C25" i="23"/>
  <c r="K24" i="23"/>
  <c r="C11" i="7"/>
  <c r="D12" i="7"/>
  <c r="C26" i="23" l="1"/>
  <c r="K25" i="23"/>
  <c r="F21" i="7"/>
  <c r="F20" i="43"/>
  <c r="C13" i="7"/>
  <c r="D4" i="5"/>
  <c r="F19" i="37"/>
  <c r="F20" i="37" s="1"/>
  <c r="F15" i="37"/>
  <c r="F14" i="37"/>
  <c r="F22" i="7" l="1"/>
  <c r="F21" i="43"/>
  <c r="C27" i="23"/>
  <c r="K26" i="23"/>
  <c r="D13" i="7"/>
  <c r="O7" i="7" s="1"/>
  <c r="C13" i="43"/>
  <c r="D13" i="43" s="1"/>
  <c r="O7" i="43" s="1"/>
  <c r="O8" i="43" s="1"/>
  <c r="O9" i="43" s="1"/>
  <c r="O10" i="43" s="1"/>
  <c r="O11" i="43" s="1"/>
  <c r="O12" i="43" s="1"/>
  <c r="O13" i="43" s="1"/>
  <c r="O14" i="43" s="1"/>
  <c r="O15" i="43" s="1"/>
  <c r="O16" i="43" s="1"/>
  <c r="O17" i="43" s="1"/>
  <c r="O18" i="43" s="1"/>
  <c r="O19" i="43" s="1"/>
  <c r="O20" i="43" s="1"/>
  <c r="O21" i="43" s="1"/>
  <c r="O22" i="43" s="1"/>
  <c r="O23" i="43" s="1"/>
  <c r="O24" i="43" s="1"/>
  <c r="O25" i="43" s="1"/>
  <c r="O26" i="43" s="1"/>
  <c r="C13" i="44"/>
  <c r="D13" i="44" s="1"/>
  <c r="O7" i="44" s="1"/>
  <c r="O8" i="44" s="1"/>
  <c r="O9" i="44" s="1"/>
  <c r="O10" i="44" s="1"/>
  <c r="O11" i="44" s="1"/>
  <c r="O12" i="44" s="1"/>
  <c r="F16" i="37"/>
  <c r="D8" i="43"/>
  <c r="D8" i="44"/>
  <c r="O8" i="7"/>
  <c r="O9" i="7" s="1"/>
  <c r="O10" i="7" s="1"/>
  <c r="O11" i="7" s="1"/>
  <c r="O12" i="7" s="1"/>
  <c r="O13" i="7" s="1"/>
  <c r="O14" i="7" s="1"/>
  <c r="O15" i="7" s="1"/>
  <c r="O16" i="7" s="1"/>
  <c r="O17" i="7" s="1"/>
  <c r="O18" i="7" s="1"/>
  <c r="O19" i="7" s="1"/>
  <c r="O20" i="7" s="1"/>
  <c r="O21" i="7" s="1"/>
  <c r="O22" i="7" s="1"/>
  <c r="O23" i="7" s="1"/>
  <c r="O24" i="7" s="1"/>
  <c r="O25" i="7" s="1"/>
  <c r="O26" i="7" s="1"/>
  <c r="O27" i="7" s="1"/>
  <c r="X19" i="40"/>
  <c r="Y19" i="40" s="1"/>
  <c r="X19" i="39"/>
  <c r="Y19" i="39" s="1"/>
  <c r="X19" i="41"/>
  <c r="Y19" i="41" s="1"/>
  <c r="X19" i="42"/>
  <c r="Y19" i="42" s="1"/>
  <c r="C28" i="23" l="1"/>
  <c r="K28" i="23" s="1"/>
  <c r="K27" i="23"/>
  <c r="F23" i="7"/>
  <c r="F22" i="43"/>
  <c r="O13" i="44"/>
  <c r="O14" i="44" s="1"/>
  <c r="O15" i="44" s="1"/>
  <c r="O16" i="44" s="1"/>
  <c r="O17" i="44" s="1"/>
  <c r="O18" i="44" s="1"/>
  <c r="O19" i="44" s="1"/>
  <c r="O20" i="44" s="1"/>
  <c r="O21" i="44" s="1"/>
  <c r="O22" i="44" s="1"/>
  <c r="O23" i="44" s="1"/>
  <c r="O24" i="44" s="1"/>
  <c r="O25" i="44" s="1"/>
  <c r="O26" i="44" s="1"/>
  <c r="O27" i="44" s="1"/>
  <c r="P12" i="44"/>
  <c r="I12" i="44"/>
  <c r="Q12" i="44"/>
  <c r="O27" i="43"/>
  <c r="F20" i="42"/>
  <c r="J20" i="42"/>
  <c r="G20" i="42"/>
  <c r="H20" i="42"/>
  <c r="I20" i="42"/>
  <c r="I20" i="41"/>
  <c r="M20" i="41"/>
  <c r="F20" i="41"/>
  <c r="J20" i="41"/>
  <c r="N20" i="41"/>
  <c r="G20" i="41"/>
  <c r="K20" i="41"/>
  <c r="O20" i="41"/>
  <c r="L20" i="41"/>
  <c r="H20" i="41"/>
  <c r="I20" i="39"/>
  <c r="M20" i="39"/>
  <c r="F20" i="39"/>
  <c r="J20" i="39"/>
  <c r="N20" i="39"/>
  <c r="G20" i="39"/>
  <c r="K20" i="39"/>
  <c r="O20" i="39"/>
  <c r="H20" i="39"/>
  <c r="L20" i="39"/>
  <c r="H20" i="40"/>
  <c r="L20" i="40"/>
  <c r="I20" i="40"/>
  <c r="M20" i="40"/>
  <c r="F20" i="40"/>
  <c r="J20" i="40"/>
  <c r="N20" i="40"/>
  <c r="G20" i="40"/>
  <c r="K20" i="40"/>
  <c r="O20" i="40"/>
  <c r="G12" i="23"/>
  <c r="H12" i="7" s="1"/>
  <c r="F24" i="7" l="1"/>
  <c r="F23" i="43"/>
  <c r="X20" i="41"/>
  <c r="Y20" i="41" s="1"/>
  <c r="O12" i="23"/>
  <c r="X20" i="39"/>
  <c r="Y20" i="39" s="1"/>
  <c r="X20" i="40"/>
  <c r="Y20" i="40" s="1"/>
  <c r="X20" i="42"/>
  <c r="Y20" i="42" s="1"/>
  <c r="G8" i="23"/>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I10" i="23"/>
  <c r="I11" i="23"/>
  <c r="I12" i="23"/>
  <c r="I14" i="23"/>
  <c r="I15" i="23"/>
  <c r="I16" i="23"/>
  <c r="I17" i="23"/>
  <c r="I18" i="23"/>
  <c r="I19" i="23"/>
  <c r="I20" i="23"/>
  <c r="I21" i="23"/>
  <c r="I22" i="23"/>
  <c r="I23" i="23"/>
  <c r="I24" i="23"/>
  <c r="I25" i="23"/>
  <c r="I26" i="23"/>
  <c r="I27" i="23"/>
  <c r="H9" i="23"/>
  <c r="H10" i="23"/>
  <c r="H11" i="23"/>
  <c r="H12" i="23"/>
  <c r="H13" i="23"/>
  <c r="H14" i="23"/>
  <c r="H15" i="23"/>
  <c r="H16" i="23"/>
  <c r="H17" i="23"/>
  <c r="H18" i="23"/>
  <c r="H19" i="23"/>
  <c r="H20" i="23"/>
  <c r="H21" i="23"/>
  <c r="H22" i="23"/>
  <c r="H23" i="23"/>
  <c r="H24" i="23"/>
  <c r="H25" i="23"/>
  <c r="H26" i="23"/>
  <c r="H27" i="23"/>
  <c r="H8" i="23"/>
  <c r="P7" i="7" l="1"/>
  <c r="H8" i="7"/>
  <c r="F25" i="7"/>
  <c r="F24" i="43"/>
  <c r="O18" i="23"/>
  <c r="H18" i="7"/>
  <c r="O10" i="23"/>
  <c r="H10" i="7"/>
  <c r="O22" i="23"/>
  <c r="H22" i="7"/>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P8" i="44"/>
  <c r="Q8" i="44" s="1"/>
  <c r="I7" i="44"/>
  <c r="J7" i="44" s="1"/>
  <c r="K7" i="44" s="1"/>
  <c r="L7" i="44" s="1"/>
  <c r="P7" i="44"/>
  <c r="Q7" i="44" s="1"/>
  <c r="R7" i="44" s="1"/>
  <c r="S7" i="44" s="1"/>
  <c r="P7" i="43"/>
  <c r="Q7" i="43" s="1"/>
  <c r="R7" i="43" s="1"/>
  <c r="S7" i="43" s="1"/>
  <c r="I7" i="43"/>
  <c r="J7" i="43" s="1"/>
  <c r="K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8"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2" i="7"/>
  <c r="P20" i="7"/>
  <c r="P12" i="7"/>
  <c r="D8" i="7"/>
  <c r="E7" i="9"/>
  <c r="D5" i="5"/>
  <c r="F26" i="7" l="1"/>
  <c r="F25" i="43"/>
  <c r="I27" i="44"/>
  <c r="P27" i="44"/>
  <c r="Q27" i="44" s="1"/>
  <c r="I27" i="43"/>
  <c r="P27" i="43"/>
  <c r="Q27" i="43" s="1"/>
  <c r="T7" i="43"/>
  <c r="U7" i="43" s="1"/>
  <c r="R8" i="43"/>
  <c r="S8" i="43" s="1"/>
  <c r="T7" i="44"/>
  <c r="U7" i="44" s="1"/>
  <c r="R8" i="44"/>
  <c r="S8" i="44" s="1"/>
  <c r="L7" i="43"/>
  <c r="J8" i="43"/>
  <c r="K8" i="43" s="1"/>
  <c r="J8" i="44"/>
  <c r="K8" i="44" s="1"/>
  <c r="Q8" i="7"/>
  <c r="Q12" i="7"/>
  <c r="Q16" i="7"/>
  <c r="Q20" i="7"/>
  <c r="Q24" i="7"/>
  <c r="Q9" i="7"/>
  <c r="Q13" i="7"/>
  <c r="Q17" i="7"/>
  <c r="Q21" i="7"/>
  <c r="Q25" i="7"/>
  <c r="Q10" i="7"/>
  <c r="Q14" i="7"/>
  <c r="Q18" i="7"/>
  <c r="Q22" i="7"/>
  <c r="Q26" i="7"/>
  <c r="Q11" i="7"/>
  <c r="Q15" i="7"/>
  <c r="Q19" i="7"/>
  <c r="Q23" i="7"/>
  <c r="Q7" i="7"/>
  <c r="R7" i="7" s="1"/>
  <c r="S7" i="7" s="1"/>
  <c r="I8" i="7"/>
  <c r="I12" i="7"/>
  <c r="I16" i="7"/>
  <c r="I20" i="7"/>
  <c r="I24" i="7"/>
  <c r="I14" i="7"/>
  <c r="I26" i="7"/>
  <c r="I15" i="7"/>
  <c r="I19" i="7"/>
  <c r="I9" i="7"/>
  <c r="I13" i="7"/>
  <c r="I17" i="7"/>
  <c r="I21" i="7"/>
  <c r="I25" i="7"/>
  <c r="I10" i="7"/>
  <c r="I18" i="7"/>
  <c r="I22" i="7"/>
  <c r="I11" i="7"/>
  <c r="I23" i="7"/>
  <c r="Q28" i="23"/>
  <c r="S28" i="23"/>
  <c r="N7" i="9"/>
  <c r="P27" i="7"/>
  <c r="Q27" i="7" s="1"/>
  <c r="N26" i="9"/>
  <c r="N27" i="9"/>
  <c r="B2" i="5"/>
  <c r="B4" i="5"/>
  <c r="F27" i="7" l="1"/>
  <c r="F27" i="43" s="1"/>
  <c r="F26" i="43"/>
  <c r="M7" i="43"/>
  <c r="W7" i="43"/>
  <c r="X7" i="43" s="1"/>
  <c r="J9" i="44"/>
  <c r="K9" i="44" s="1"/>
  <c r="L8" i="44"/>
  <c r="T8" i="44"/>
  <c r="U8" i="44" s="1"/>
  <c r="R9" i="44"/>
  <c r="S9" i="44" s="1"/>
  <c r="M7" i="44"/>
  <c r="W7" i="44"/>
  <c r="X7" i="44" s="1"/>
  <c r="L8" i="43"/>
  <c r="J9" i="43"/>
  <c r="K9" i="43" s="1"/>
  <c r="T8" i="43"/>
  <c r="U8" i="43" s="1"/>
  <c r="R9" i="43"/>
  <c r="S9" i="43" s="1"/>
  <c r="R8" i="7"/>
  <c r="S8" i="7" s="1"/>
  <c r="I27" i="7"/>
  <c r="G19" i="27"/>
  <c r="G19" i="26"/>
  <c r="T9" i="43" l="1"/>
  <c r="U9" i="43" s="1"/>
  <c r="R10" i="43"/>
  <c r="S10" i="43" s="1"/>
  <c r="M8" i="44"/>
  <c r="W8" i="44"/>
  <c r="X8" i="44" s="1"/>
  <c r="M8" i="43"/>
  <c r="W8" i="43"/>
  <c r="X8" i="43" s="1"/>
  <c r="J10" i="44"/>
  <c r="K10" i="44" s="1"/>
  <c r="L9" i="44"/>
  <c r="J10" i="43"/>
  <c r="K10" i="43" s="1"/>
  <c r="L9" i="43"/>
  <c r="T9" i="44"/>
  <c r="U9" i="44" s="1"/>
  <c r="R10" i="44"/>
  <c r="S10" i="44" s="1"/>
  <c r="T7" i="7"/>
  <c r="U7" i="7" s="1"/>
  <c r="R9" i="7"/>
  <c r="S9" i="7" s="1"/>
  <c r="H19" i="26"/>
  <c r="H19" i="27"/>
  <c r="I19" i="26"/>
  <c r="L10" i="43" l="1"/>
  <c r="J11" i="43"/>
  <c r="K11" i="43" s="1"/>
  <c r="T10" i="44"/>
  <c r="U10" i="44" s="1"/>
  <c r="R11" i="44"/>
  <c r="S11" i="44" s="1"/>
  <c r="M9" i="44"/>
  <c r="W9" i="44"/>
  <c r="X9" i="44" s="1"/>
  <c r="L10" i="44"/>
  <c r="J11" i="44"/>
  <c r="K11" i="44" s="1"/>
  <c r="M9" i="43"/>
  <c r="W9" i="43"/>
  <c r="X9" i="43" s="1"/>
  <c r="T10" i="43"/>
  <c r="U10" i="43" s="1"/>
  <c r="R11" i="43"/>
  <c r="S11" i="43" s="1"/>
  <c r="T8" i="7"/>
  <c r="U8" i="7" s="1"/>
  <c r="R10" i="7"/>
  <c r="S10" i="7" s="1"/>
  <c r="I19" i="27"/>
  <c r="J19" i="26"/>
  <c r="T11" i="43" l="1"/>
  <c r="U11" i="43" s="1"/>
  <c r="R12" i="43"/>
  <c r="S12" i="43" s="1"/>
  <c r="L11" i="44"/>
  <c r="J12" i="44"/>
  <c r="K12" i="44" s="1"/>
  <c r="T11" i="44"/>
  <c r="U11" i="44" s="1"/>
  <c r="R12" i="44"/>
  <c r="S12" i="44" s="1"/>
  <c r="M10" i="44"/>
  <c r="W10" i="44"/>
  <c r="X10" i="44" s="1"/>
  <c r="J12" i="43"/>
  <c r="K12" i="43" s="1"/>
  <c r="L11" i="43"/>
  <c r="M10" i="43"/>
  <c r="W10" i="43"/>
  <c r="X10" i="43" s="1"/>
  <c r="T9" i="7"/>
  <c r="U9" i="7" s="1"/>
  <c r="R11" i="7"/>
  <c r="S11" i="7" s="1"/>
  <c r="J19" i="27"/>
  <c r="K19" i="26"/>
  <c r="L12" i="43" l="1"/>
  <c r="J13" i="43"/>
  <c r="K13" i="43" s="1"/>
  <c r="J13" i="44"/>
  <c r="K13" i="44" s="1"/>
  <c r="L12" i="44"/>
  <c r="M11" i="44"/>
  <c r="W11" i="44"/>
  <c r="X11" i="44" s="1"/>
  <c r="W11" i="43"/>
  <c r="X11" i="43" s="1"/>
  <c r="M11" i="43"/>
  <c r="T12" i="44"/>
  <c r="U12" i="44" s="1"/>
  <c r="R13" i="44"/>
  <c r="S13" i="44" s="1"/>
  <c r="T12" i="43"/>
  <c r="U12" i="43" s="1"/>
  <c r="R13" i="43"/>
  <c r="S13" i="43" s="1"/>
  <c r="T10" i="7"/>
  <c r="U10" i="7" s="1"/>
  <c r="R12" i="7"/>
  <c r="S12" i="7" s="1"/>
  <c r="L19" i="26"/>
  <c r="K19" i="27"/>
  <c r="M12" i="44" l="1"/>
  <c r="W12" i="44"/>
  <c r="X12" i="44" s="1"/>
  <c r="L13" i="44"/>
  <c r="J14" i="44"/>
  <c r="K14" i="44" s="1"/>
  <c r="T13" i="43"/>
  <c r="U13" i="43" s="1"/>
  <c r="R14" i="43"/>
  <c r="S14" i="43" s="1"/>
  <c r="T13" i="44"/>
  <c r="U13" i="44" s="1"/>
  <c r="R14" i="44"/>
  <c r="S14" i="44" s="1"/>
  <c r="J14" i="43"/>
  <c r="K14" i="43" s="1"/>
  <c r="L13" i="43"/>
  <c r="W12" i="43"/>
  <c r="X12" i="43" s="1"/>
  <c r="M12" i="43"/>
  <c r="T11" i="7"/>
  <c r="R13" i="7"/>
  <c r="S13" i="7" s="1"/>
  <c r="L19" i="27"/>
  <c r="M19" i="26"/>
  <c r="U11" i="7" l="1"/>
  <c r="T14" i="44"/>
  <c r="U14" i="44" s="1"/>
  <c r="R15" i="44"/>
  <c r="S15" i="44" s="1"/>
  <c r="J15" i="44"/>
  <c r="K15" i="44" s="1"/>
  <c r="L14" i="44"/>
  <c r="W13" i="44"/>
  <c r="X13" i="44" s="1"/>
  <c r="M13" i="44"/>
  <c r="M13" i="43"/>
  <c r="W13" i="43"/>
  <c r="X13" i="43" s="1"/>
  <c r="T14" i="43"/>
  <c r="U14" i="43" s="1"/>
  <c r="R15" i="43"/>
  <c r="S15" i="43" s="1"/>
  <c r="J15" i="43"/>
  <c r="K15" i="43" s="1"/>
  <c r="L14" i="43"/>
  <c r="T12" i="7"/>
  <c r="U12" i="7" s="1"/>
  <c r="R14" i="7"/>
  <c r="S14" i="7" s="1"/>
  <c r="M19" i="27"/>
  <c r="N19" i="26"/>
  <c r="W14" i="44" l="1"/>
  <c r="X14" i="44" s="1"/>
  <c r="M14" i="44"/>
  <c r="L15" i="44"/>
  <c r="J16" i="44"/>
  <c r="K16" i="44" s="1"/>
  <c r="M14" i="43"/>
  <c r="W14" i="43"/>
  <c r="X14" i="43" s="1"/>
  <c r="L15" i="43"/>
  <c r="J16" i="43"/>
  <c r="K16" i="43" s="1"/>
  <c r="T15" i="43"/>
  <c r="U15" i="43" s="1"/>
  <c r="R16" i="43"/>
  <c r="S16" i="43" s="1"/>
  <c r="T15" i="44"/>
  <c r="U15" i="44" s="1"/>
  <c r="R16" i="44"/>
  <c r="S16" i="44" s="1"/>
  <c r="T13" i="7"/>
  <c r="U13" i="7" s="1"/>
  <c r="R15" i="7"/>
  <c r="S15" i="7" s="1"/>
  <c r="N19" i="27"/>
  <c r="O19" i="26"/>
  <c r="T16" i="44" l="1"/>
  <c r="U16" i="44" s="1"/>
  <c r="R17" i="44"/>
  <c r="S17" i="44" s="1"/>
  <c r="L16" i="43"/>
  <c r="J17" i="43"/>
  <c r="K17" i="43" s="1"/>
  <c r="J17" i="44"/>
  <c r="K17" i="44" s="1"/>
  <c r="L16" i="44"/>
  <c r="M15" i="44"/>
  <c r="W15" i="44"/>
  <c r="X15" i="44" s="1"/>
  <c r="M15" i="43"/>
  <c r="W15" i="43"/>
  <c r="X15" i="43" s="1"/>
  <c r="T16" i="43"/>
  <c r="U16" i="43" s="1"/>
  <c r="R17" i="43"/>
  <c r="S17" i="43" s="1"/>
  <c r="T14" i="7"/>
  <c r="U14" i="7" s="1"/>
  <c r="R16" i="7"/>
  <c r="S16" i="7" s="1"/>
  <c r="O19" i="27"/>
  <c r="P19" i="26"/>
  <c r="T17" i="43" l="1"/>
  <c r="U17" i="43" s="1"/>
  <c r="R18" i="43"/>
  <c r="S18" i="43" s="1"/>
  <c r="L17" i="43"/>
  <c r="J18" i="43"/>
  <c r="K18" i="43" s="1"/>
  <c r="M16" i="43"/>
  <c r="W16" i="43"/>
  <c r="X16" i="43" s="1"/>
  <c r="I5" i="40" s="1"/>
  <c r="W16" i="44"/>
  <c r="X16" i="44" s="1"/>
  <c r="I5" i="41" s="1"/>
  <c r="M16" i="44"/>
  <c r="T17" i="44"/>
  <c r="U17" i="44" s="1"/>
  <c r="R18" i="44"/>
  <c r="S18" i="44" s="1"/>
  <c r="J18" i="44"/>
  <c r="K18" i="44" s="1"/>
  <c r="L17" i="44"/>
  <c r="T15" i="7"/>
  <c r="U15" i="7" s="1"/>
  <c r="R17" i="7"/>
  <c r="S17" i="7" s="1"/>
  <c r="P19" i="27"/>
  <c r="Q19" i="26"/>
  <c r="J25" i="9"/>
  <c r="K24" i="9"/>
  <c r="K25" i="9"/>
  <c r="M17" i="44" l="1"/>
  <c r="W17" i="44"/>
  <c r="X17" i="44" s="1"/>
  <c r="J19" i="43"/>
  <c r="K19" i="43" s="1"/>
  <c r="L18" i="43"/>
  <c r="M17" i="43"/>
  <c r="W17" i="43"/>
  <c r="X17" i="43" s="1"/>
  <c r="J19" i="44"/>
  <c r="K19" i="44" s="1"/>
  <c r="L18" i="44"/>
  <c r="T18" i="44"/>
  <c r="U18" i="44" s="1"/>
  <c r="R19" i="44"/>
  <c r="S19" i="44" s="1"/>
  <c r="T18" i="43"/>
  <c r="U18" i="43" s="1"/>
  <c r="R19" i="43"/>
  <c r="S19" i="43" s="1"/>
  <c r="T16" i="7"/>
  <c r="U16" i="7" s="1"/>
  <c r="R18" i="7"/>
  <c r="S18" i="7" s="1"/>
  <c r="Q19" i="27"/>
  <c r="R19" i="26"/>
  <c r="N25" i="9"/>
  <c r="J24" i="9"/>
  <c r="W18" i="43" l="1"/>
  <c r="X18" i="43" s="1"/>
  <c r="M18" i="43"/>
  <c r="M18" i="44"/>
  <c r="W18" i="44"/>
  <c r="X18" i="44" s="1"/>
  <c r="L19" i="43"/>
  <c r="J20" i="43"/>
  <c r="K20" i="43" s="1"/>
  <c r="T19" i="43"/>
  <c r="U19" i="43" s="1"/>
  <c r="R20" i="43"/>
  <c r="S20" i="43" s="1"/>
  <c r="T19" i="44"/>
  <c r="U19" i="44" s="1"/>
  <c r="R20" i="44"/>
  <c r="S20" i="44" s="1"/>
  <c r="L19" i="44"/>
  <c r="J20" i="44"/>
  <c r="K20" i="44" s="1"/>
  <c r="T17" i="7"/>
  <c r="U17" i="7" s="1"/>
  <c r="R19" i="7"/>
  <c r="S19" i="7" s="1"/>
  <c r="R19" i="27"/>
  <c r="S19" i="26"/>
  <c r="N24" i="9"/>
  <c r="J23" i="9"/>
  <c r="J20" i="9"/>
  <c r="J16" i="9"/>
  <c r="J14" i="9"/>
  <c r="J12" i="9"/>
  <c r="J11" i="9"/>
  <c r="J8" i="9"/>
  <c r="J9" i="9"/>
  <c r="J17" i="9"/>
  <c r="K8" i="9"/>
  <c r="K9" i="9"/>
  <c r="K10" i="9"/>
  <c r="K11" i="9"/>
  <c r="K12" i="9"/>
  <c r="J13" i="9"/>
  <c r="K13" i="9"/>
  <c r="K14" i="9"/>
  <c r="K15" i="9"/>
  <c r="K16" i="9"/>
  <c r="K17" i="9"/>
  <c r="K18" i="9"/>
  <c r="K19" i="9"/>
  <c r="K20" i="9"/>
  <c r="K21" i="9"/>
  <c r="K22" i="9"/>
  <c r="K23" i="9"/>
  <c r="G19" i="13"/>
  <c r="J18" i="9"/>
  <c r="J21" i="9"/>
  <c r="J21" i="44" l="1"/>
  <c r="K21" i="44" s="1"/>
  <c r="L20" i="44"/>
  <c r="T20" i="43"/>
  <c r="U20" i="43" s="1"/>
  <c r="R21" i="43"/>
  <c r="S21" i="43" s="1"/>
  <c r="W19" i="44"/>
  <c r="X19" i="44" s="1"/>
  <c r="M19" i="44"/>
  <c r="T20" i="44"/>
  <c r="U20" i="44" s="1"/>
  <c r="R21" i="44"/>
  <c r="S21" i="44" s="1"/>
  <c r="L20" i="43"/>
  <c r="J21" i="43"/>
  <c r="K21" i="43" s="1"/>
  <c r="M19" i="43"/>
  <c r="W19" i="43"/>
  <c r="X19" i="43" s="1"/>
  <c r="T18" i="7"/>
  <c r="U18" i="7" s="1"/>
  <c r="R20" i="7"/>
  <c r="S20" i="7" s="1"/>
  <c r="N12" i="9"/>
  <c r="N14" i="9"/>
  <c r="N21" i="9"/>
  <c r="H19" i="13"/>
  <c r="I19" i="13" s="1"/>
  <c r="J19" i="13" s="1"/>
  <c r="K19" i="13" s="1"/>
  <c r="S19" i="27"/>
  <c r="T19" i="26"/>
  <c r="J7" i="7"/>
  <c r="K7" i="7" s="1"/>
  <c r="N17" i="9"/>
  <c r="N13" i="9"/>
  <c r="N19" i="9"/>
  <c r="N9" i="9"/>
  <c r="J10" i="9"/>
  <c r="J15" i="9"/>
  <c r="O7" i="9"/>
  <c r="P7" i="9" s="1"/>
  <c r="N11" i="9"/>
  <c r="N23" i="9"/>
  <c r="N8" i="9"/>
  <c r="N20" i="9"/>
  <c r="N18" i="9"/>
  <c r="J22" i="9"/>
  <c r="N16" i="9"/>
  <c r="J22" i="44" l="1"/>
  <c r="K22" i="44" s="1"/>
  <c r="L21" i="44"/>
  <c r="T21" i="44"/>
  <c r="U21" i="44" s="1"/>
  <c r="R22" i="44"/>
  <c r="S22" i="44" s="1"/>
  <c r="T21" i="43"/>
  <c r="R22" i="43"/>
  <c r="S22" i="43" s="1"/>
  <c r="J22" i="43"/>
  <c r="K22" i="43" s="1"/>
  <c r="L21" i="43"/>
  <c r="M20" i="44"/>
  <c r="W20" i="44"/>
  <c r="X20" i="44" s="1"/>
  <c r="W20" i="43"/>
  <c r="X20" i="43" s="1"/>
  <c r="M20" i="43"/>
  <c r="T19" i="7"/>
  <c r="U19" i="7" s="1"/>
  <c r="R21" i="7"/>
  <c r="S21" i="7" s="1"/>
  <c r="C9" i="5"/>
  <c r="D9" i="5" s="1"/>
  <c r="X19" i="26"/>
  <c r="Y19" i="26" s="1"/>
  <c r="F20" i="26" s="1"/>
  <c r="T19" i="27"/>
  <c r="X19" i="27" s="1"/>
  <c r="Y19" i="27" s="1"/>
  <c r="F20" i="27" s="1"/>
  <c r="L19" i="13"/>
  <c r="J8" i="7"/>
  <c r="N15" i="9"/>
  <c r="O8" i="9"/>
  <c r="N10" i="9"/>
  <c r="N22" i="9"/>
  <c r="P8" i="9" l="1"/>
  <c r="C10" i="5" s="1"/>
  <c r="D10" i="5" s="1"/>
  <c r="K8" i="7"/>
  <c r="L8" i="7" s="1"/>
  <c r="U21" i="43"/>
  <c r="W21" i="43"/>
  <c r="J23" i="44"/>
  <c r="K23" i="44" s="1"/>
  <c r="L22" i="44"/>
  <c r="M21" i="43"/>
  <c r="X21" i="43"/>
  <c r="I5" i="26" s="1"/>
  <c r="T22" i="44"/>
  <c r="U22" i="44" s="1"/>
  <c r="R23" i="44"/>
  <c r="S23" i="44" s="1"/>
  <c r="L22" i="43"/>
  <c r="J23" i="43"/>
  <c r="K23" i="43" s="1"/>
  <c r="T22" i="43"/>
  <c r="U22" i="43" s="1"/>
  <c r="R23" i="43"/>
  <c r="S23" i="43" s="1"/>
  <c r="M21" i="44"/>
  <c r="W21" i="44"/>
  <c r="X21" i="44" s="1"/>
  <c r="I5" i="27" s="1"/>
  <c r="L7" i="7"/>
  <c r="T20" i="7"/>
  <c r="U20" i="7" s="1"/>
  <c r="R22" i="7"/>
  <c r="S22" i="7" s="1"/>
  <c r="G20" i="26"/>
  <c r="H20" i="26"/>
  <c r="I20" i="26"/>
  <c r="J20" i="26"/>
  <c r="K20" i="26"/>
  <c r="L20" i="26"/>
  <c r="M20" i="26"/>
  <c r="N20" i="26"/>
  <c r="O20" i="26"/>
  <c r="P20" i="26"/>
  <c r="Q20" i="26"/>
  <c r="R20" i="26"/>
  <c r="S20" i="26"/>
  <c r="T20" i="26"/>
  <c r="M19" i="13"/>
  <c r="J9" i="7"/>
  <c r="O9" i="9"/>
  <c r="O10" i="9" l="1"/>
  <c r="P10" i="9" s="1"/>
  <c r="P9" i="9"/>
  <c r="W8" i="7"/>
  <c r="X8" i="7" s="1"/>
  <c r="M8" i="7"/>
  <c r="K9" i="7"/>
  <c r="L9" i="7" s="1"/>
  <c r="J24" i="44"/>
  <c r="K24" i="44" s="1"/>
  <c r="L23" i="44"/>
  <c r="J24" i="43"/>
  <c r="K24" i="43" s="1"/>
  <c r="L23" i="43"/>
  <c r="W22" i="43"/>
  <c r="X22" i="43" s="1"/>
  <c r="M22" i="43"/>
  <c r="T23" i="43"/>
  <c r="U23" i="43" s="1"/>
  <c r="R24" i="43"/>
  <c r="S24" i="43" s="1"/>
  <c r="T23" i="44"/>
  <c r="U23" i="44" s="1"/>
  <c r="R24" i="44"/>
  <c r="S24" i="44" s="1"/>
  <c r="M22" i="44"/>
  <c r="W22" i="44"/>
  <c r="X22" i="44" s="1"/>
  <c r="M7" i="7"/>
  <c r="W7" i="7"/>
  <c r="X7" i="7" s="1"/>
  <c r="T21" i="7"/>
  <c r="U21" i="7" s="1"/>
  <c r="I6" i="40"/>
  <c r="R23" i="7"/>
  <c r="S23" i="7" s="1"/>
  <c r="I6" i="41"/>
  <c r="X20" i="26"/>
  <c r="Y20" i="26" s="1"/>
  <c r="J10" i="7"/>
  <c r="G20" i="27"/>
  <c r="H20" i="27"/>
  <c r="I20" i="27"/>
  <c r="J20" i="27"/>
  <c r="K20" i="27"/>
  <c r="L20" i="27"/>
  <c r="M20" i="27"/>
  <c r="N20" i="27"/>
  <c r="O20" i="27"/>
  <c r="P20" i="27"/>
  <c r="Q20" i="27"/>
  <c r="R20" i="27"/>
  <c r="S20" i="27"/>
  <c r="T20" i="27"/>
  <c r="N19" i="13"/>
  <c r="O11" i="9"/>
  <c r="P11" i="9" s="1"/>
  <c r="W9" i="7" l="1"/>
  <c r="X9" i="7" s="1"/>
  <c r="M9" i="7"/>
  <c r="K10" i="7"/>
  <c r="L10" i="7" s="1"/>
  <c r="T24" i="43"/>
  <c r="U24" i="43" s="1"/>
  <c r="R25" i="43"/>
  <c r="S25" i="43" s="1"/>
  <c r="M23" i="43"/>
  <c r="W23" i="43"/>
  <c r="X23" i="43" s="1"/>
  <c r="J25" i="43"/>
  <c r="K25" i="43" s="1"/>
  <c r="L24" i="43"/>
  <c r="T24" i="44"/>
  <c r="U24" i="44" s="1"/>
  <c r="R25" i="44"/>
  <c r="S25" i="44" s="1"/>
  <c r="M23" i="44"/>
  <c r="W23" i="44"/>
  <c r="X23" i="44" s="1"/>
  <c r="J25" i="44"/>
  <c r="K25" i="44" s="1"/>
  <c r="L24" i="44"/>
  <c r="T22" i="7"/>
  <c r="U22" i="7" s="1"/>
  <c r="R24" i="7"/>
  <c r="S24" i="7" s="1"/>
  <c r="X20" i="27"/>
  <c r="Y20" i="27" s="1"/>
  <c r="C12" i="5"/>
  <c r="D12" i="5" s="1"/>
  <c r="C11" i="5"/>
  <c r="D11" i="5" s="1"/>
  <c r="J11" i="7"/>
  <c r="O19" i="13"/>
  <c r="O12" i="9"/>
  <c r="P12" i="9" s="1"/>
  <c r="W10" i="7" l="1"/>
  <c r="X10" i="7" s="1"/>
  <c r="M10" i="7"/>
  <c r="K11" i="7"/>
  <c r="L11" i="7" s="1"/>
  <c r="W24" i="44"/>
  <c r="X24" i="44" s="1"/>
  <c r="M24" i="44"/>
  <c r="T25" i="44"/>
  <c r="U25" i="44" s="1"/>
  <c r="R26" i="44"/>
  <c r="S26" i="44" s="1"/>
  <c r="L25" i="44"/>
  <c r="J26" i="44"/>
  <c r="K26" i="44" s="1"/>
  <c r="M24" i="43"/>
  <c r="W24" i="43"/>
  <c r="X24" i="43" s="1"/>
  <c r="T25" i="43"/>
  <c r="U25" i="43" s="1"/>
  <c r="R26" i="43"/>
  <c r="S26" i="43" s="1"/>
  <c r="L25" i="43"/>
  <c r="J26" i="43"/>
  <c r="K26" i="43" s="1"/>
  <c r="T23" i="7"/>
  <c r="U23" i="7" s="1"/>
  <c r="R25" i="7"/>
  <c r="S25" i="7" s="1"/>
  <c r="C13" i="5"/>
  <c r="D13" i="5" s="1"/>
  <c r="H5" i="42" s="1"/>
  <c r="H6" i="42" s="1"/>
  <c r="J12" i="7"/>
  <c r="K12" i="7" s="1"/>
  <c r="P19" i="13"/>
  <c r="O13" i="9"/>
  <c r="P13" i="9" l="1"/>
  <c r="C15" i="5" s="1"/>
  <c r="M11" i="7"/>
  <c r="W11" i="7"/>
  <c r="X11" i="7" s="1"/>
  <c r="I5" i="42" s="1"/>
  <c r="I6" i="42" s="1"/>
  <c r="L26" i="43"/>
  <c r="J27" i="43"/>
  <c r="T26" i="44"/>
  <c r="U26" i="44" s="1"/>
  <c r="R27" i="44"/>
  <c r="M25" i="43"/>
  <c r="W25" i="43"/>
  <c r="X25" i="43" s="1"/>
  <c r="T26" i="43"/>
  <c r="U26" i="43" s="1"/>
  <c r="R27" i="43"/>
  <c r="J27" i="44"/>
  <c r="L26" i="44"/>
  <c r="W25" i="44"/>
  <c r="X25" i="44" s="1"/>
  <c r="M25" i="44"/>
  <c r="T24" i="7"/>
  <c r="U24" i="7" s="1"/>
  <c r="R26" i="7"/>
  <c r="S26" i="7" s="1"/>
  <c r="I6" i="27"/>
  <c r="L12" i="7"/>
  <c r="W12" i="7" s="1"/>
  <c r="X12" i="7" s="1"/>
  <c r="J13" i="7"/>
  <c r="C14" i="5"/>
  <c r="D14" i="5" s="1"/>
  <c r="Q19" i="13"/>
  <c r="O14" i="9"/>
  <c r="P14" i="9" s="1"/>
  <c r="K27" i="44" l="1"/>
  <c r="L27" i="44" s="1"/>
  <c r="S27" i="43"/>
  <c r="T27" i="43" s="1"/>
  <c r="U27" i="43" s="1"/>
  <c r="K13" i="7"/>
  <c r="L13" i="7" s="1"/>
  <c r="S27" i="44"/>
  <c r="T27" i="44" s="1"/>
  <c r="U27" i="44" s="1"/>
  <c r="K27" i="43"/>
  <c r="L27" i="43" s="1"/>
  <c r="M26" i="44"/>
  <c r="W26" i="44"/>
  <c r="X26" i="44" s="1"/>
  <c r="M26" i="43"/>
  <c r="W26" i="43"/>
  <c r="X26" i="43" s="1"/>
  <c r="T25" i="7"/>
  <c r="U25" i="7" s="1"/>
  <c r="R27" i="7"/>
  <c r="S27" i="7" s="1"/>
  <c r="M12" i="7"/>
  <c r="J14" i="7"/>
  <c r="D15" i="5"/>
  <c r="R19" i="13"/>
  <c r="O15" i="9"/>
  <c r="P15" i="9" s="1"/>
  <c r="M27" i="43" l="1"/>
  <c r="W27" i="43"/>
  <c r="X27" i="43" s="1"/>
  <c r="W13" i="7"/>
  <c r="X13" i="7" s="1"/>
  <c r="M13" i="7"/>
  <c r="M27" i="44"/>
  <c r="W27" i="44"/>
  <c r="X27" i="44" s="1"/>
  <c r="K14" i="7"/>
  <c r="L14" i="7" s="1"/>
  <c r="T27" i="7"/>
  <c r="U27" i="7" s="1"/>
  <c r="T26" i="7"/>
  <c r="U26" i="7" s="1"/>
  <c r="I6" i="26"/>
  <c r="J15" i="7"/>
  <c r="C16" i="5"/>
  <c r="D16" i="5" s="1"/>
  <c r="S19" i="13"/>
  <c r="O16" i="9"/>
  <c r="P16" i="9" s="1"/>
  <c r="W14" i="7" l="1"/>
  <c r="X14" i="7" s="1"/>
  <c r="M14" i="7"/>
  <c r="K15" i="7"/>
  <c r="L15" i="7" s="1"/>
  <c r="J16" i="7"/>
  <c r="C17" i="5"/>
  <c r="D17" i="5" s="1"/>
  <c r="T19" i="13"/>
  <c r="X19" i="13" s="1"/>
  <c r="Y19" i="13" s="1"/>
  <c r="F20" i="13" s="1"/>
  <c r="O17" i="9"/>
  <c r="P17" i="9" s="1"/>
  <c r="W15" i="7" l="1"/>
  <c r="X15" i="7" s="1"/>
  <c r="M15" i="7"/>
  <c r="K16" i="7"/>
  <c r="L16" i="7" s="1"/>
  <c r="J17" i="7"/>
  <c r="C18" i="5"/>
  <c r="D18" i="5" s="1"/>
  <c r="O18" i="9"/>
  <c r="P18" i="9" s="1"/>
  <c r="W16" i="7" l="1"/>
  <c r="X16" i="7" s="1"/>
  <c r="I5" i="39" s="1"/>
  <c r="I6" i="39" s="1"/>
  <c r="M16" i="7"/>
  <c r="K17" i="7"/>
  <c r="L17" i="7" s="1"/>
  <c r="J18" i="7"/>
  <c r="K18" i="7" s="1"/>
  <c r="L18" i="7" s="1"/>
  <c r="W18" i="7" s="1"/>
  <c r="X18" i="7" s="1"/>
  <c r="H5" i="41"/>
  <c r="H6" i="41" s="1"/>
  <c r="H5" i="39"/>
  <c r="H6" i="39" s="1"/>
  <c r="H5" i="40"/>
  <c r="H6" i="40" s="1"/>
  <c r="C19" i="5"/>
  <c r="D19" i="5" s="1"/>
  <c r="O19" i="9"/>
  <c r="P19" i="9" s="1"/>
  <c r="W17" i="7" l="1"/>
  <c r="X17" i="7" s="1"/>
  <c r="M17" i="7"/>
  <c r="M18" i="7"/>
  <c r="J19" i="7"/>
  <c r="K19" i="7" s="1"/>
  <c r="L19" i="7" s="1"/>
  <c r="W19" i="7" s="1"/>
  <c r="X19" i="7" s="1"/>
  <c r="J5" i="42"/>
  <c r="C20" i="5"/>
  <c r="D20" i="5" s="1"/>
  <c r="H20" i="13"/>
  <c r="I20" i="13"/>
  <c r="J20" i="13"/>
  <c r="G20" i="13"/>
  <c r="K20" i="13"/>
  <c r="L20" i="13"/>
  <c r="M20" i="13"/>
  <c r="N20" i="13"/>
  <c r="O20" i="13"/>
  <c r="P20" i="13"/>
  <c r="Q20" i="13"/>
  <c r="R20" i="13"/>
  <c r="S20" i="13"/>
  <c r="T20" i="13"/>
  <c r="C21" i="5"/>
  <c r="O20" i="9"/>
  <c r="O21" i="9" l="1"/>
  <c r="P20" i="9"/>
  <c r="K5" i="42"/>
  <c r="L5" i="42" s="1"/>
  <c r="J6" i="42"/>
  <c r="M19" i="7"/>
  <c r="J20" i="7"/>
  <c r="X20" i="13"/>
  <c r="Y20" i="13" s="1"/>
  <c r="D21" i="5"/>
  <c r="P21" i="9" l="1"/>
  <c r="C23" i="5" s="1"/>
  <c r="D23" i="5" s="1"/>
  <c r="J21" i="7"/>
  <c r="K21" i="7" s="1"/>
  <c r="K20" i="7"/>
  <c r="L20" i="7" s="1"/>
  <c r="W20" i="7" s="1"/>
  <c r="X20" i="7" s="1"/>
  <c r="L6" i="42"/>
  <c r="F9" i="42" s="1"/>
  <c r="K6" i="42"/>
  <c r="J5" i="40"/>
  <c r="J5" i="41"/>
  <c r="L21" i="7"/>
  <c r="W21" i="7" s="1"/>
  <c r="X21" i="7" s="1"/>
  <c r="C22" i="5"/>
  <c r="D22" i="5" s="1"/>
  <c r="J22" i="7"/>
  <c r="K22" i="7" s="1"/>
  <c r="O22" i="9"/>
  <c r="P22" i="9" s="1"/>
  <c r="H5" i="27" l="1"/>
  <c r="H5" i="13"/>
  <c r="H6" i="13" s="1"/>
  <c r="H5" i="26"/>
  <c r="H6" i="26" s="1"/>
  <c r="F6" i="45"/>
  <c r="F13" i="42"/>
  <c r="F27" i="45" s="1"/>
  <c r="M20" i="7"/>
  <c r="I5" i="13"/>
  <c r="K5" i="41"/>
  <c r="J6" i="41"/>
  <c r="K5" i="40"/>
  <c r="J6" i="40"/>
  <c r="M21" i="7"/>
  <c r="G9" i="42"/>
  <c r="J5" i="39"/>
  <c r="L22" i="7"/>
  <c r="W22" i="7" s="1"/>
  <c r="X22" i="7" s="1"/>
  <c r="J23" i="7"/>
  <c r="K23" i="7" s="1"/>
  <c r="O23" i="9"/>
  <c r="O24" i="9" l="1"/>
  <c r="P24" i="9" s="1"/>
  <c r="P23" i="9"/>
  <c r="H6" i="27"/>
  <c r="J5" i="27"/>
  <c r="J6" i="27" s="1"/>
  <c r="L5" i="40"/>
  <c r="L6" i="40" s="1"/>
  <c r="F9" i="40" s="1"/>
  <c r="F13" i="45" s="1"/>
  <c r="K6" i="40"/>
  <c r="L5" i="41"/>
  <c r="L6" i="41" s="1"/>
  <c r="F9" i="41" s="1"/>
  <c r="F19" i="45" s="1"/>
  <c r="K6" i="41"/>
  <c r="H9" i="42"/>
  <c r="G13" i="42"/>
  <c r="G27" i="45" s="1"/>
  <c r="M22" i="7"/>
  <c r="K5" i="39"/>
  <c r="J6" i="39"/>
  <c r="J5" i="13"/>
  <c r="I6" i="13"/>
  <c r="J5" i="26"/>
  <c r="J6" i="26" s="1"/>
  <c r="C24" i="5"/>
  <c r="D24" i="5" s="1"/>
  <c r="L23" i="7"/>
  <c r="W23" i="7" s="1"/>
  <c r="X23" i="7" s="1"/>
  <c r="J24" i="7"/>
  <c r="K24" i="7" s="1"/>
  <c r="C26" i="5"/>
  <c r="O25" i="9"/>
  <c r="P25" i="9" s="1"/>
  <c r="G9" i="41" l="1"/>
  <c r="F13" i="41"/>
  <c r="F40" i="45" s="1"/>
  <c r="G9" i="40"/>
  <c r="F13" i="40"/>
  <c r="F34" i="45" s="1"/>
  <c r="M23" i="7"/>
  <c r="K5" i="13"/>
  <c r="J6" i="13"/>
  <c r="L5" i="39"/>
  <c r="L6" i="39" s="1"/>
  <c r="F9" i="39" s="1"/>
  <c r="F7" i="45" s="1"/>
  <c r="K6" i="39"/>
  <c r="I9" i="42"/>
  <c r="H13" i="42"/>
  <c r="H27" i="45" s="1"/>
  <c r="C27" i="5"/>
  <c r="O26" i="9"/>
  <c r="P26" i="9" s="1"/>
  <c r="C25" i="5"/>
  <c r="D25" i="5" s="1"/>
  <c r="K5" i="26"/>
  <c r="K5" i="27"/>
  <c r="J25" i="7"/>
  <c r="K25" i="7" s="1"/>
  <c r="L24" i="7"/>
  <c r="W24" i="7" s="1"/>
  <c r="X24" i="7" s="1"/>
  <c r="D26" i="5"/>
  <c r="L5" i="26" l="1"/>
  <c r="L6" i="26" s="1"/>
  <c r="F9" i="26" s="1"/>
  <c r="F14" i="45"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L25" i="7"/>
  <c r="W25" i="7" s="1"/>
  <c r="X25" i="7" s="1"/>
  <c r="J26" i="7"/>
  <c r="K26" i="7" s="1"/>
  <c r="D27" i="5"/>
  <c r="P27" i="9" l="1"/>
  <c r="C29" i="5" s="1"/>
  <c r="D29" i="5" s="1"/>
  <c r="L6" i="27"/>
  <c r="F9" i="27" s="1"/>
  <c r="F13" i="13"/>
  <c r="F29" i="45" s="1"/>
  <c r="F8" i="45"/>
  <c r="K13" i="42"/>
  <c r="J27" i="45"/>
  <c r="I9" i="40"/>
  <c r="H13" i="40"/>
  <c r="H34" i="45" s="1"/>
  <c r="H13" i="41"/>
  <c r="H40" i="45" s="1"/>
  <c r="I9" i="41"/>
  <c r="G9" i="13"/>
  <c r="G13" i="13" s="1"/>
  <c r="G29" i="45" s="1"/>
  <c r="H9" i="39"/>
  <c r="G13" i="39"/>
  <c r="G28" i="45" s="1"/>
  <c r="M25" i="7"/>
  <c r="J27" i="7"/>
  <c r="F13" i="26"/>
  <c r="F35" i="45" s="1"/>
  <c r="G9" i="26"/>
  <c r="G13" i="26" s="1"/>
  <c r="G35" i="45" s="1"/>
  <c r="L26" i="7"/>
  <c r="W26" i="7" s="1"/>
  <c r="X26" i="7" s="1"/>
  <c r="F20" i="45" l="1"/>
  <c r="G9" i="27"/>
  <c r="F13" i="27"/>
  <c r="F41" i="45" s="1"/>
  <c r="K27" i="7"/>
  <c r="L27" i="7" s="1"/>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c r="L9" i="41" l="1"/>
  <c r="K13" i="41"/>
  <c r="K40" i="45" s="1"/>
  <c r="L9" i="40"/>
  <c r="K13" i="40"/>
  <c r="K34" i="45" s="1"/>
  <c r="J13" i="39"/>
  <c r="J28" i="45" s="1"/>
  <c r="K9" i="39"/>
  <c r="J9" i="27"/>
  <c r="K9" i="27" s="1"/>
  <c r="X9" i="42"/>
  <c r="Y9" i="42" s="1"/>
  <c r="I13" i="26"/>
  <c r="I35" i="45" s="1"/>
  <c r="J9" i="26"/>
  <c r="K9" i="26" s="1"/>
  <c r="L9" i="26" s="1"/>
  <c r="J13" i="13"/>
  <c r="J29" i="45" s="1"/>
  <c r="J13" i="27"/>
  <c r="J41" i="45" s="1"/>
  <c r="K9" i="13"/>
  <c r="M9" i="40" l="1"/>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sharedStrings.xml><?xml version="1.0" encoding="utf-8"?>
<sst xmlns="http://schemas.openxmlformats.org/spreadsheetml/2006/main" count="535" uniqueCount="144">
  <si>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</si>
  <si>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</si>
  <si>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</si>
  <si>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</si>
  <si>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</si>
  <si>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</si>
  <si>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</si>
  <si>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</si>
  <si>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</si>
  <si>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</si>
  <si>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</si>
  <si>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</si>
  <si>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</si>
  <si>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</si>
  <si>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</si>
  <si>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</si>
  <si>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</si>
  <si>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</si>
  <si>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</si>
  <si>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</si>
  <si>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</si>
  <si>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</si>
  <si>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</si>
  <si>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</si>
  <si>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</si>
  <si>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</si>
  <si>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</si>
  <si>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</si>
  <si>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</si>
  <si>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</si>
  <si>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</si>
  <si>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</si>
  <si>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</si>
  <si>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</si>
  <si>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</si>
  <si>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</si>
  <si>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</si>
  <si>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</si>
  <si>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</si>
  <si>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</si>
  <si>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</si>
  <si>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</si>
  <si>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</si>
  <si>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</si>
  <si>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</si>
  <si>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</si>
  <si>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Frame Peaker</t>
  </si>
  <si>
    <t>Wind</t>
  </si>
  <si>
    <t>Solar</t>
  </si>
  <si>
    <t>This model accounts for both avoided energy costs and avoided capacity costs.</t>
  </si>
  <si>
    <t>Note 1</t>
  </si>
  <si>
    <t>Note 2</t>
  </si>
  <si>
    <t>Nominal Discount Rate</t>
  </si>
  <si>
    <t>GDP Inflation</t>
  </si>
  <si>
    <t>T&amp;D Line Loss Reduction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</si>
  <si>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</si>
  <si>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</si>
  <si>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</si>
  <si>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</si>
  <si>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</si>
  <si>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</si>
  <si>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</si>
  <si>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</si>
  <si>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</si>
  <si>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</si>
  <si>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</si>
  <si>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</si>
  <si>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</si>
  <si>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</si>
  <si>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</si>
  <si>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</si>
  <si>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</si>
  <si>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</si>
  <si>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</si>
  <si>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</si>
  <si>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</si>
  <si>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</si>
  <si>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</si>
  <si>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</si>
  <si>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</si>
  <si>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</si>
  <si>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 T&amp;D Line Loss Reduction [4]</t>
  </si>
  <si>
    <t xml:space="preserve">Transmission losses updated as per section 15.7 Real Power Losses, PSE Current Effective OATT 8.7.18.
 </t>
  </si>
  <si>
    <t>http://www.oatioasis.com/webSmartOASIS/HomePage?ProviderName=PSEI&amp;Homepage=1</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</si>
  <si>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</si>
  <si>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</si>
  <si>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</si>
  <si>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</si>
  <si>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</si>
  <si>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</si>
  <si>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</si>
  <si>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</si>
  <si>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</si>
  <si>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</si>
  <si>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</si>
  <si>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</si>
  <si>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</si>
  <si>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</si>
  <si>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</si>
  <si>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</si>
  <si>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</si>
  <si>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</si>
  <si>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 Solar Resouce NCF is based on the generic resource "Central Station Solar Tracking PV"</t>
  </si>
  <si>
    <t>- Wind Resource NCF is based on the generic resource "Wind Plant - Washington"</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</si>
  <si>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</si>
  <si>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</si>
  <si>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</si>
  <si>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</si>
  <si>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</si>
  <si>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</si>
  <si>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</si>
  <si>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</si>
  <si>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</si>
  <si>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</si>
  <si>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</si>
  <si>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</si>
  <si>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Schedule 91 -- Purchases from Qualifying Facilities of Five Megawatts or Less - Net Output Delivered to PSE's Distribution System</t>
  </si>
  <si>
    <t>Flow Battery-4 hr</t>
  </si>
  <si>
    <r>
      <t>Note 1: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</si>
  <si>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t>Power prices have been updated to be consistent with PSE's 2021 IRP using the Mid-C prices for the “Base” scenario, and includes the 2020 power price forecast from Aurora.</t>
  </si>
  <si>
    <t>There are separate calculations for Baseload, Wind and Solar resources which have different capacity values as provided in the 2018 RFP (2020-2022 firm peaker and ELCC) and the 2017 IRP (2023-2040 firm resources, NCF, and hours of operation)</t>
  </si>
  <si>
    <t>As Used in UE-190529 and UG-190530</t>
  </si>
  <si>
    <t>PRO FORMA COST OF CAPITAL APPROVED IN UE-190529/UG-190530</t>
  </si>
  <si>
    <t>FOR THE TWELVE MONTHS ENDED DECEMBER 31, 2018</t>
  </si>
  <si>
    <t>- The source table provided cost from 2023 to 2037 so additional years and capacity costs were added for 2038-2041 in order to align with the current energy price forecast table. It is assumed that either a Frame Peaker or a Flow Battery is the incremental capacity resource in these years, therefore the "projected fixed costs of a simple-cycle combustion turbine" is used for cost.</t>
  </si>
  <si>
    <t>- 2020-2022 represents the capacity cost from the 2018 RFP results.</t>
  </si>
  <si>
    <r>
      <t xml:space="preserve">Forecast Mid-C Power Prices for Base Scenario (Nominal $/MWh) - The 2020-2040 Avoided Energy Costs are based on PSE’s current forecast of market prices for the Mid-C Market in PSE’s 2021 Integrated Resource Plan ("IRP"), pursuant to </t>
    </r>
    <r>
      <rPr>
        <b/>
        <i/>
        <sz val="12"/>
        <color rgb="FF7030A0"/>
        <rFont val="Arial"/>
        <family val="2"/>
      </rPr>
      <t>WAC 480-106-040(a)</t>
    </r>
  </si>
  <si>
    <r>
      <t xml:space="preserve">(b)=(a)*1.000                   
</t>
    </r>
    <r>
      <rPr>
        <u/>
        <sz val="10"/>
        <color theme="1"/>
        <rFont val="Arial"/>
        <family val="2"/>
      </rPr>
      <t>Baseload Resource</t>
    </r>
    <r>
      <rPr>
        <sz val="10"/>
        <rFont val="Arial"/>
        <family val="2"/>
      </rPr>
      <t xml:space="preserve"> ELCC=100.0%</t>
    </r>
  </si>
  <si>
    <r>
      <t xml:space="preserve">(c)=(a)*0.064         
</t>
    </r>
    <r>
      <rPr>
        <u/>
        <sz val="10"/>
        <color theme="1"/>
        <rFont val="Arial"/>
        <family val="2"/>
      </rPr>
      <t>Wind Resource</t>
    </r>
    <r>
      <rPr>
        <sz val="10"/>
        <rFont val="Arial"/>
        <family val="2"/>
      </rPr>
      <t xml:space="preserve"> ELCC=6.4%</t>
    </r>
  </si>
  <si>
    <r>
      <t xml:space="preserve">(d)=(a)*0.010      
</t>
    </r>
    <r>
      <rPr>
        <u/>
        <sz val="10"/>
        <color theme="1"/>
        <rFont val="Arial"/>
        <family val="2"/>
      </rPr>
      <t>Solar Resource</t>
    </r>
    <r>
      <rPr>
        <sz val="10"/>
        <rFont val="Arial"/>
        <family val="2"/>
      </rPr>
      <t xml:space="preserve"> ELCC=1.0%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</si>
  <si>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</si>
  <si>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</si>
  <si>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</si>
  <si>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</si>
  <si>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r>
      <t xml:space="preserve">(i)=(f)*0.300
</t>
    </r>
    <r>
      <rPr>
        <u/>
        <sz val="10"/>
        <color theme="1"/>
        <rFont val="Arial"/>
        <family val="2"/>
      </rPr>
      <t>Wind 
Resource</t>
    </r>
    <r>
      <rPr>
        <sz val="10"/>
        <color theme="1"/>
        <rFont val="Arial"/>
        <family val="2"/>
      </rPr>
      <t xml:space="preserve">
NCF=30.0%</t>
    </r>
  </si>
  <si>
    <t>(j)=(c)*(i)
Wind 
Resource</t>
  </si>
  <si>
    <r>
      <t xml:space="preserve">(k)=(f)*0.260
</t>
    </r>
    <r>
      <rPr>
        <u/>
        <sz val="10"/>
        <color theme="1"/>
        <rFont val="Arial"/>
        <family val="2"/>
      </rPr>
      <t>Solar 
Resource</t>
    </r>
    <r>
      <rPr>
        <sz val="10"/>
        <color theme="1"/>
        <rFont val="Arial"/>
        <family val="2"/>
      </rPr>
      <t xml:space="preserve">
NCF=26.0%</t>
    </r>
  </si>
  <si>
    <t>(l)=(d)*(k)
Wind 
Resource</t>
  </si>
  <si>
    <t>- Basis for table is PSE's 2017 IRP and 2018 RFP</t>
  </si>
  <si>
    <t xml:space="preserve">- Highlighted cells in yellow Source: 2018 RFP </t>
  </si>
  <si>
    <t xml:space="preserve">The Wind and Solar ELCC of 6.4% and 1.0% is based in the assumption used in the 2018 RFP.   </t>
  </si>
  <si>
    <t>- Not highlighted in Yellow Source: 2017 PSE IRP; Appendix N: Electical Analysis; Page N-67; Figure N-37: Indicative Avoided Capacity Resource Costs for Resources Delivered to PSE (Base + CAR Only Scenario)</t>
  </si>
  <si>
    <t>- Source: 2017 PSE IRP; Appendix N: Electical Analysis; Page N-67; Figure N-18: New Resource Cost Assumptions</t>
  </si>
  <si>
    <t>This Schedule 91 standard rate model is based upon the cost effectiveness standard model that has been used for evaluating individual measures of PSE's Energy Efficiency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</si>
</sst>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vertAlign val="superscript"/>
      <sz val="12"/>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b/>
      <i/>
      <sz val="12"/>
      <color rgb="FF7030A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46">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44" fontId="11" fillId="0" borderId="10" xfId="31" applyFont="1" applyFill="1" applyBorder="1" applyAlignment="1">
      <alignment horizontal="center" wrapText="1"/>
    </xf>
    <xf numFmtId="0" fontId="4" fillId="0" borderId="0" xfId="47" applyFont="1" applyFill="1" applyAlignment="1">
      <alignment horizontal="left"/>
    </xf>
    <xf numFmtId="44" fontId="4" fillId="0" borderId="0" xfId="31" applyFont="1" applyBorder="1"/>
    <xf numFmtId="0" fontId="4" fillId="0" borderId="0" xfId="47" applyFont="1"/>
    <xf numFmtId="0" fontId="8" fillId="0" borderId="0" xfId="46" applyFont="1" applyFill="1" applyBorder="1"/>
    <xf numFmtId="0" fontId="0" fillId="0" borderId="0" xfId="0" applyBorder="1"/>
    <xf numFmtId="44" fontId="0" fillId="0" borderId="10" xfId="31" applyFont="1" applyBorder="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44" fontId="4" fillId="0" borderId="0" xfId="31" applyFont="1"/>
    <xf numFmtId="44" fontId="4" fillId="0" borderId="0" xfId="31" applyFont="1" applyAlignment="1">
      <alignment horizontal="center"/>
    </xf>
    <xf numFmtId="0" fontId="8" fillId="0" borderId="0" xfId="0" applyFont="1" applyAlignment="1">
      <alignment horizontal="center"/>
    </xf>
    <xf numFmtId="8" fontId="0" fillId="0" borderId="0" xfId="0" applyNumberFormat="1" applyBorder="1"/>
    <xf numFmtId="0" fontId="4" fillId="0" borderId="0" xfId="47" applyFont="1" applyFill="1"/>
    <xf numFmtId="168"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7"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8" fontId="4" fillId="0" borderId="0" xfId="32" applyNumberFormat="1" applyFont="1" applyFill="1" applyBorder="1" applyAlignment="1">
      <alignment horizontal="right"/>
    </xf>
    <xf numFmtId="167" fontId="4" fillId="0" borderId="0" xfId="51" applyNumberFormat="1" applyFont="1" applyBorder="1"/>
    <xf numFmtId="0" fontId="4" fillId="0" borderId="0" xfId="0" applyFont="1"/>
    <xf numFmtId="44" fontId="4" fillId="0" borderId="0" xfId="47" applyNumberFormat="1" applyFont="1" applyFill="1"/>
    <xf numFmtId="172" fontId="4" fillId="0" borderId="0" xfId="47" applyNumberFormat="1" applyFont="1" applyFill="1"/>
    <xf numFmtId="172" fontId="4" fillId="0" borderId="0" xfId="32" applyNumberFormat="1" applyFont="1" applyFill="1" applyAlignment="1">
      <alignment horizontal="center"/>
    </xf>
    <xf numFmtId="0" fontId="34" fillId="0" borderId="0" xfId="40" applyFont="1" applyAlignment="1" applyProtection="1">
      <alignment vertical="center"/>
    </xf>
    <xf numFmtId="0" fontId="36" fillId="0" borderId="0" xfId="0" applyFont="1"/>
    <xf numFmtId="0" fontId="35" fillId="0" borderId="0" xfId="59" applyFont="1"/>
    <xf numFmtId="0" fontId="37" fillId="26" borderId="14" xfId="0" applyFont="1" applyFill="1" applyBorder="1" applyAlignment="1">
      <alignment vertical="center"/>
    </xf>
    <xf numFmtId="0" fontId="40" fillId="0" borderId="20" xfId="0" applyFont="1" applyBorder="1" applyAlignment="1">
      <alignment horizontal="right" vertical="center"/>
    </xf>
    <xf numFmtId="2" fontId="40" fillId="0" borderId="19" xfId="0" applyNumberFormat="1" applyFont="1" applyBorder="1" applyAlignment="1">
      <alignment horizontal="right" vertical="center"/>
    </xf>
    <xf numFmtId="0" fontId="40" fillId="0" borderId="0" xfId="0" applyFont="1" applyBorder="1" applyAlignment="1">
      <alignment horizontal="right" vertical="center"/>
    </xf>
    <xf numFmtId="2" fontId="40" fillId="0" borderId="0" xfId="0" applyNumberFormat="1" applyFont="1" applyBorder="1" applyAlignment="1">
      <alignment horizontal="right" vertical="center"/>
    </xf>
    <xf numFmtId="2" fontId="40" fillId="0" borderId="0" xfId="0" applyNumberFormat="1" applyFont="1" applyFill="1" applyBorder="1" applyAlignment="1">
      <alignment horizontal="right" vertical="center"/>
    </xf>
    <xf numFmtId="0" fontId="35" fillId="0" borderId="0" xfId="59" applyFont="1" applyAlignment="1">
      <alignment horizontal="right"/>
    </xf>
    <xf numFmtId="8" fontId="35" fillId="0" borderId="31" xfId="59" applyNumberFormat="1" applyFont="1" applyBorder="1"/>
    <xf numFmtId="0" fontId="38" fillId="26" borderId="15" xfId="0" applyFont="1" applyFill="1" applyBorder="1" applyAlignment="1">
      <alignment horizontal="center" vertical="center"/>
    </xf>
    <xf numFmtId="0" fontId="38" fillId="26" borderId="16" xfId="0" applyFont="1" applyFill="1" applyBorder="1" applyAlignment="1">
      <alignment horizontal="center" vertical="center"/>
    </xf>
    <xf numFmtId="0" fontId="39" fillId="27" borderId="17" xfId="0" applyFont="1" applyFill="1" applyBorder="1" applyAlignment="1">
      <alignment horizontal="centerContinuous" vertical="center"/>
    </xf>
    <xf numFmtId="0" fontId="39" fillId="27" borderId="18" xfId="0" applyFont="1" applyFill="1" applyBorder="1" applyAlignment="1">
      <alignment horizontal="centerContinuous" vertical="center"/>
    </xf>
    <xf numFmtId="0" fontId="39" fillId="27" borderId="19" xfId="0" applyFont="1" applyFill="1" applyBorder="1" applyAlignment="1">
      <alignment horizontal="centerContinuous" vertical="center"/>
    </xf>
    <xf numFmtId="0" fontId="35" fillId="0" borderId="0" xfId="59" applyFont="1" applyAlignment="1">
      <alignment horizontal="right" indent="1"/>
    </xf>
    <xf numFmtId="0" fontId="35" fillId="0" borderId="0" xfId="59" applyFont="1" applyBorder="1" applyAlignment="1">
      <alignment horizontal="right" indent="1"/>
    </xf>
    <xf numFmtId="177" fontId="35" fillId="0" borderId="0" xfId="50" applyNumberFormat="1" applyFont="1" applyAlignment="1">
      <alignment horizontal="right"/>
    </xf>
    <xf numFmtId="0" fontId="1" fillId="0" borderId="0" xfId="63"/>
    <xf numFmtId="0" fontId="41" fillId="0" borderId="14" xfId="63" applyFont="1" applyBorder="1" applyAlignment="1">
      <alignment vertical="center"/>
    </xf>
    <xf numFmtId="0" fontId="42" fillId="0" borderId="15" xfId="63" applyFont="1" applyBorder="1" applyAlignment="1">
      <alignment vertical="center"/>
    </xf>
    <xf numFmtId="0" fontId="41" fillId="0" borderId="16" xfId="63" applyFont="1" applyBorder="1" applyAlignment="1">
      <alignment horizontal="right" vertical="center"/>
    </xf>
    <xf numFmtId="0" fontId="43" fillId="0" borderId="41" xfId="63" applyFont="1" applyBorder="1" applyAlignment="1">
      <alignment vertical="center"/>
    </xf>
    <xf numFmtId="0" fontId="42" fillId="0" borderId="0" xfId="63" applyFont="1"/>
    <xf numFmtId="0" fontId="41" fillId="0" borderId="42" xfId="63" applyFont="1" applyBorder="1" applyAlignment="1">
      <alignment horizontal="right" vertical="center"/>
    </xf>
    <xf numFmtId="0" fontId="42" fillId="0" borderId="41" xfId="63" applyFont="1" applyBorder="1" applyAlignment="1">
      <alignment vertical="center"/>
    </xf>
    <xf numFmtId="0" fontId="41" fillId="0" borderId="41" xfId="63" applyFont="1" applyBorder="1" applyAlignment="1">
      <alignment horizontal="center" vertical="center"/>
    </xf>
    <xf numFmtId="0" fontId="41" fillId="0" borderId="42" xfId="63" applyFont="1" applyBorder="1" applyAlignment="1">
      <alignment vertical="center"/>
    </xf>
    <xf numFmtId="0" fontId="42" fillId="0" borderId="42" xfId="63" applyFont="1" applyBorder="1" applyAlignment="1">
      <alignment vertical="center"/>
    </xf>
    <xf numFmtId="0" fontId="42" fillId="0" borderId="0" xfId="63" applyFont="1" applyAlignment="1">
      <alignment horizontal="center" vertical="center"/>
    </xf>
    <xf numFmtId="0" fontId="42" fillId="0" borderId="42" xfId="63" applyFont="1" applyBorder="1" applyAlignment="1">
      <alignment horizontal="center" vertical="center"/>
    </xf>
    <xf numFmtId="0" fontId="41" fillId="0" borderId="43" xfId="63" applyFont="1" applyBorder="1" applyAlignment="1">
      <alignment horizontal="center" vertical="center"/>
    </xf>
    <xf numFmtId="0" fontId="41" fillId="0" borderId="21" xfId="63" applyFont="1" applyBorder="1" applyAlignment="1">
      <alignment vertical="center"/>
    </xf>
    <xf numFmtId="0" fontId="42" fillId="0" borderId="21" xfId="63" applyFont="1" applyBorder="1" applyAlignment="1">
      <alignment horizontal="center" vertical="center"/>
    </xf>
    <xf numFmtId="0" fontId="42" fillId="0" borderId="44" xfId="63" applyFont="1" applyBorder="1" applyAlignment="1">
      <alignment horizontal="center" vertical="center"/>
    </xf>
    <xf numFmtId="0" fontId="42" fillId="0" borderId="41" xfId="63" applyFont="1" applyBorder="1" applyAlignment="1">
      <alignment horizontal="center" vertical="center"/>
    </xf>
    <xf numFmtId="0" fontId="42" fillId="0" borderId="0" xfId="63" applyFont="1" applyAlignment="1">
      <alignment vertical="center"/>
    </xf>
    <xf numFmtId="10" fontId="42" fillId="29" borderId="0" xfId="63" applyNumberFormat="1" applyFont="1" applyFill="1" applyAlignment="1">
      <alignment horizontal="right" vertical="center"/>
    </xf>
    <xf numFmtId="10" fontId="42" fillId="29" borderId="42" xfId="63" applyNumberFormat="1" applyFont="1" applyFill="1" applyBorder="1" applyAlignment="1">
      <alignment horizontal="right" vertical="center"/>
    </xf>
    <xf numFmtId="10" fontId="42" fillId="29" borderId="21" xfId="63" applyNumberFormat="1" applyFont="1" applyFill="1" applyBorder="1" applyAlignment="1">
      <alignment horizontal="right" vertical="center"/>
    </xf>
    <xf numFmtId="10" fontId="42" fillId="29" borderId="15" xfId="63" applyNumberFormat="1" applyFont="1" applyFill="1" applyBorder="1" applyAlignment="1">
      <alignment horizontal="right" vertical="center"/>
    </xf>
    <xf numFmtId="0" fontId="42" fillId="29" borderId="0" xfId="63" applyFont="1" applyFill="1"/>
    <xf numFmtId="10" fontId="42" fillId="0" borderId="0" xfId="63" applyNumberFormat="1" applyFont="1" applyAlignment="1">
      <alignment horizontal="right" vertical="center"/>
    </xf>
    <xf numFmtId="10" fontId="42" fillId="0" borderId="42" xfId="63" applyNumberFormat="1" applyFont="1" applyBorder="1" applyAlignment="1">
      <alignment horizontal="right" vertical="center"/>
    </xf>
    <xf numFmtId="0" fontId="44" fillId="0" borderId="0" xfId="63" applyFont="1"/>
    <xf numFmtId="10" fontId="42" fillId="0" borderId="21" xfId="63" applyNumberFormat="1" applyFont="1" applyBorder="1" applyAlignment="1">
      <alignment horizontal="right" vertical="center"/>
    </xf>
    <xf numFmtId="10" fontId="42" fillId="0" borderId="15" xfId="63" applyNumberFormat="1" applyFont="1" applyBorder="1" applyAlignment="1">
      <alignment horizontal="right" vertical="center"/>
    </xf>
    <xf numFmtId="10" fontId="42" fillId="0" borderId="16" xfId="63" applyNumberFormat="1" applyFont="1" applyBorder="1" applyAlignment="1">
      <alignment horizontal="right" vertical="center"/>
    </xf>
    <xf numFmtId="0" fontId="42" fillId="0" borderId="43" xfId="63" applyFont="1" applyBorder="1" applyAlignment="1">
      <alignment horizontal="center" vertical="center"/>
    </xf>
    <xf numFmtId="0" fontId="42" fillId="0" borderId="21" xfId="63" applyFont="1" applyBorder="1" applyAlignment="1">
      <alignment vertical="center"/>
    </xf>
    <xf numFmtId="0" fontId="42" fillId="0" borderId="44" xfId="63" applyFont="1" applyBorder="1" applyAlignment="1">
      <alignment vertical="center"/>
    </xf>
    <xf numFmtId="10" fontId="42" fillId="29" borderId="45"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3" fontId="4" fillId="0" borderId="0" xfId="0" applyNumberFormat="1" applyFont="1"/>
    <xf numFmtId="44" fontId="4" fillId="0" borderId="0" xfId="0" applyNumberFormat="1" applyFont="1" applyBorder="1"/>
    <xf numFmtId="0" fontId="45" fillId="0" borderId="0" xfId="0" applyFont="1" applyBorder="1"/>
    <xf numFmtId="174" fontId="4" fillId="0" borderId="0" xfId="0" applyNumberFormat="1" applyFont="1"/>
    <xf numFmtId="8" fontId="4" fillId="0" borderId="0" xfId="0" applyNumberFormat="1" applyFont="1" applyBorder="1"/>
    <xf numFmtId="8" fontId="4" fillId="0" borderId="0" xfId="0" applyNumberFormat="1" applyFont="1"/>
    <xf numFmtId="0" fontId="4" fillId="0" borderId="36" xfId="0" applyFont="1" applyFill="1" applyBorder="1"/>
    <xf numFmtId="44" fontId="4" fillId="0" borderId="36" xfId="31" applyFont="1" applyFill="1" applyBorder="1"/>
    <xf numFmtId="175"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8" fontId="4" fillId="0" borderId="0" xfId="0" applyNumberFormat="1" applyFont="1" applyFill="1" applyBorder="1"/>
    <xf numFmtId="9" fontId="4" fillId="0" borderId="0" xfId="50" applyFont="1"/>
    <xf numFmtId="0" fontId="46" fillId="0" borderId="0" xfId="0" applyFont="1"/>
    <xf numFmtId="0" fontId="4" fillId="0" borderId="0" xfId="0" applyFont="1" applyFill="1"/>
    <xf numFmtId="2" fontId="4" fillId="0" borderId="0" xfId="0" applyNumberFormat="1" applyFont="1"/>
    <xf numFmtId="40" fontId="4" fillId="0" borderId="0" xfId="0" applyNumberFormat="1" applyFont="1"/>
    <xf numFmtId="17" fontId="47"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6" fontId="4" fillId="0" borderId="0" xfId="0" applyNumberFormat="1" applyFont="1"/>
    <xf numFmtId="0" fontId="4" fillId="0" borderId="34" xfId="0" applyFont="1" applyFill="1" applyBorder="1"/>
    <xf numFmtId="2" fontId="4" fillId="0" borderId="36" xfId="0" applyNumberFormat="1" applyFont="1" applyFill="1" applyBorder="1"/>
    <xf numFmtId="2" fontId="4" fillId="0" borderId="0" xfId="0" applyNumberFormat="1" applyFont="1" applyBorder="1"/>
    <xf numFmtId="164" fontId="4" fillId="0" borderId="0" xfId="0" applyNumberFormat="1" applyFont="1" applyBorder="1"/>
    <xf numFmtId="0" fontId="4" fillId="0" borderId="33" xfId="0" applyFont="1" applyFill="1" applyBorder="1"/>
    <xf numFmtId="40" fontId="4" fillId="0" borderId="33"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3" fontId="4" fillId="0" borderId="0" xfId="0" applyNumberFormat="1" applyFont="1" applyBorder="1"/>
    <xf numFmtId="171" fontId="4" fillId="0" borderId="36" xfId="28" applyNumberFormat="1" applyFont="1" applyFill="1" applyBorder="1"/>
    <xf numFmtId="173" fontId="4" fillId="0" borderId="36" xfId="28" applyNumberFormat="1" applyFont="1" applyFill="1" applyBorder="1"/>
    <xf numFmtId="1" fontId="4" fillId="0" borderId="36" xfId="0" applyNumberFormat="1" applyFont="1" applyFill="1" applyBorder="1" applyAlignment="1">
      <alignment horizontal="center"/>
    </xf>
    <xf numFmtId="0" fontId="4" fillId="0" borderId="36" xfId="0" applyFont="1" applyFill="1" applyBorder="1" applyAlignment="1">
      <alignment horizontal="center"/>
    </xf>
    <xf numFmtId="170" fontId="4" fillId="0" borderId="36" xfId="31" applyNumberFormat="1" applyFont="1" applyFill="1" applyBorder="1"/>
    <xf numFmtId="169" fontId="4" fillId="0" borderId="36" xfId="31" applyNumberFormat="1" applyFont="1" applyFill="1" applyBorder="1"/>
    <xf numFmtId="169" fontId="4" fillId="0" borderId="36" xfId="0" applyNumberFormat="1" applyFont="1" applyFill="1" applyBorder="1"/>
    <xf numFmtId="44" fontId="4" fillId="0" borderId="36" xfId="0" applyNumberFormat="1" applyFont="1" applyFill="1" applyBorder="1"/>
    <xf numFmtId="44" fontId="4" fillId="28" borderId="35" xfId="0" applyNumberFormat="1" applyFont="1" applyFill="1" applyBorder="1"/>
    <xf numFmtId="44" fontId="4" fillId="28" borderId="23" xfId="0" applyNumberFormat="1" applyFont="1" applyFill="1" applyBorder="1"/>
    <xf numFmtId="44" fontId="4" fillId="28" borderId="26" xfId="0" applyNumberFormat="1" applyFont="1" applyFill="1" applyBorder="1"/>
    <xf numFmtId="178" fontId="4" fillId="0" borderId="36" xfId="0" applyNumberFormat="1" applyFont="1" applyFill="1" applyBorder="1"/>
    <xf numFmtId="178" fontId="4" fillId="0" borderId="34" xfId="31" applyNumberFormat="1" applyFont="1" applyFill="1" applyBorder="1"/>
    <xf numFmtId="170" fontId="9" fillId="0" borderId="10" xfId="31" applyNumberFormat="1" applyFont="1" applyFill="1" applyBorder="1"/>
    <xf numFmtId="10" fontId="0" fillId="0" borderId="32" xfId="0" applyNumberFormat="1" applyFill="1" applyBorder="1"/>
    <xf numFmtId="10" fontId="0" fillId="0" borderId="37" xfId="50" applyNumberFormat="1" applyFont="1" applyFill="1" applyBorder="1"/>
    <xf numFmtId="0" fontId="8" fillId="0" borderId="33" xfId="46" applyFont="1" applyFill="1" applyBorder="1" applyAlignment="1">
      <alignment horizontal="center"/>
    </xf>
    <xf numFmtId="0" fontId="8" fillId="0" borderId="0" xfId="47" applyFont="1" applyFill="1" applyBorder="1" applyAlignment="1">
      <alignment horizontal="right"/>
    </xf>
    <xf numFmtId="0" fontId="8" fillId="0" borderId="33" xfId="47" applyNumberFormat="1" applyFont="1" applyFill="1" applyBorder="1" applyAlignment="1">
      <alignment horizontal="center"/>
    </xf>
    <xf numFmtId="0" fontId="45" fillId="0" borderId="0" xfId="47" applyFont="1" applyFill="1" applyAlignment="1">
      <alignment horizontal="center"/>
    </xf>
    <xf numFmtId="0" fontId="4" fillId="0" borderId="0" xfId="47" applyFont="1" applyBorder="1" applyAlignment="1">
      <alignment horizontal="center"/>
    </xf>
    <xf numFmtId="44" fontId="4" fillId="0" borderId="0" xfId="31" applyFont="1" applyBorder="1" applyAlignment="1">
      <alignment horizontal="center"/>
    </xf>
    <xf numFmtId="0" fontId="8" fillId="0" borderId="33"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8" fillId="0" borderId="0" xfId="47" applyFont="1"/>
    <xf numFmtId="0" fontId="5" fillId="0" borderId="0" xfId="0" applyFont="1"/>
    <xf numFmtId="44" fontId="5" fillId="0" borderId="0" xfId="0" applyNumberFormat="1" applyFont="1" applyFill="1"/>
    <xf numFmtId="8" fontId="48"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32" xfId="51" applyNumberFormat="1" applyFont="1" applyFill="1" applyBorder="1" applyAlignment="1">
      <alignment horizontal="right"/>
    </xf>
    <xf numFmtId="10" fontId="4" fillId="0" borderId="37" xfId="51" applyNumberFormat="1" applyFont="1" applyFill="1" applyBorder="1" applyAlignment="1">
      <alignment horizontal="right"/>
    </xf>
    <xf numFmtId="167"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7" fontId="4" fillId="0" borderId="0" xfId="51" applyNumberFormat="1" applyFont="1" applyFill="1" applyBorder="1"/>
    <xf numFmtId="0" fontId="30" fillId="0" borderId="0" xfId="47" applyFont="1" applyFill="1"/>
    <xf numFmtId="0" fontId="30" fillId="0" borderId="0" xfId="46" applyFont="1" applyFill="1"/>
    <xf numFmtId="0" fontId="49" fillId="0" borderId="0" xfId="46" applyFont="1" applyFill="1" applyAlignment="1">
      <alignment horizontal="right"/>
    </xf>
    <xf numFmtId="0" fontId="49"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36" xfId="31" applyNumberFormat="1" applyFont="1" applyFill="1" applyBorder="1"/>
    <xf numFmtId="8" fontId="45" fillId="0" borderId="0" xfId="0" applyNumberFormat="1" applyFont="1"/>
    <xf numFmtId="44" fontId="4" fillId="0" borderId="10" xfId="31" applyFont="1" applyFill="1" applyBorder="1" applyAlignment="1">
      <alignment horizontal="right"/>
    </xf>
    <xf numFmtId="44" fontId="4" fillId="0" borderId="33" xfId="31" applyFont="1" applyFill="1" applyBorder="1"/>
    <xf numFmtId="0" fontId="8" fillId="0" borderId="34" xfId="47" applyNumberFormat="1" applyFont="1" applyFill="1" applyBorder="1" applyAlignment="1">
      <alignment horizontal="center"/>
    </xf>
    <xf numFmtId="168" fontId="4" fillId="0" borderId="33" xfId="32" applyNumberFormat="1" applyFont="1" applyFill="1" applyBorder="1" applyAlignment="1">
      <alignment horizontal="center"/>
    </xf>
    <xf numFmtId="8" fontId="4" fillId="0" borderId="10" xfId="0" applyNumberFormat="1" applyFont="1" applyFill="1" applyBorder="1"/>
    <xf numFmtId="0" fontId="4" fillId="0" borderId="0" xfId="0" applyFont="1" applyFill="1" applyBorder="1" applyAlignment="1">
      <alignment horizontal="center"/>
    </xf>
    <xf numFmtId="0" fontId="50" fillId="0" borderId="0" xfId="0" applyFont="1" applyAlignment="1">
      <alignment vertical="center"/>
    </xf>
    <xf numFmtId="0" fontId="4" fillId="0" borderId="0" xfId="31" applyNumberFormat="1" applyFont="1" applyBorder="1" applyAlignment="1">
      <alignment horizontal="center"/>
    </xf>
    <xf numFmtId="0" fontId="4" fillId="25" borderId="32" xfId="0" applyFont="1" applyFill="1" applyBorder="1" applyAlignment="1">
      <alignment vertical="center" wrapText="1"/>
    </xf>
    <xf numFmtId="0" fontId="4" fillId="25" borderId="32" xfId="0" applyFont="1" applyFill="1" applyBorder="1" applyAlignment="1">
      <alignment horizontal="left" vertical="center" wrapText="1"/>
    </xf>
    <xf numFmtId="0" fontId="35" fillId="0" borderId="0" xfId="59" applyFont="1" applyAlignment="1">
      <alignment wrapText="1"/>
    </xf>
    <xf numFmtId="44" fontId="4" fillId="0" borderId="0" xfId="0" applyNumberFormat="1" applyFont="1" applyFill="1" applyBorder="1"/>
    <xf numFmtId="0" fontId="8" fillId="0" borderId="0" xfId="0" applyFont="1" applyAlignment="1">
      <alignment horizontal="left"/>
    </xf>
    <xf numFmtId="0" fontId="51" fillId="0" borderId="50" xfId="0" applyFont="1" applyBorder="1" applyAlignment="1">
      <alignment horizontal="center" vertical="center"/>
    </xf>
    <xf numFmtId="0" fontId="51" fillId="0" borderId="49"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51" xfId="0" applyFont="1" applyBorder="1" applyAlignment="1">
      <alignment horizontal="center" vertical="center"/>
    </xf>
    <xf numFmtId="1" fontId="51" fillId="0" borderId="12" xfId="0" applyNumberFormat="1" applyFont="1" applyBorder="1" applyAlignment="1">
      <alignment horizontal="center" vertical="center"/>
    </xf>
    <xf numFmtId="8" fontId="51" fillId="0" borderId="13" xfId="0" applyNumberFormat="1" applyFont="1" applyBorder="1" applyAlignment="1">
      <alignment horizontal="right" vertical="center"/>
    </xf>
    <xf numFmtId="1" fontId="51" fillId="0" borderId="50" xfId="0" applyNumberFormat="1" applyFont="1" applyBorder="1" applyAlignment="1">
      <alignment horizontal="center" vertical="center"/>
    </xf>
    <xf numFmtId="8" fontId="51" fillId="0" borderId="51" xfId="0" applyNumberFormat="1" applyFont="1" applyBorder="1" applyAlignment="1">
      <alignment horizontal="right" vertical="center"/>
    </xf>
    <xf numFmtId="1" fontId="51" fillId="0" borderId="25" xfId="0" applyNumberFormat="1" applyFont="1" applyBorder="1" applyAlignment="1">
      <alignment horizontal="center" vertical="center"/>
    </xf>
    <xf numFmtId="8" fontId="51" fillId="0" borderId="27" xfId="0" applyNumberFormat="1" applyFont="1" applyBorder="1" applyAlignment="1">
      <alignment horizontal="right" vertical="center"/>
    </xf>
    <xf numFmtId="0" fontId="51" fillId="0" borderId="0" xfId="59" applyFont="1"/>
    <xf numFmtId="0" fontId="5" fillId="0" borderId="0" xfId="0" applyFont="1" applyBorder="1"/>
    <xf numFmtId="0" fontId="5" fillId="0" borderId="0" xfId="0" applyFont="1" applyFill="1" applyBorder="1"/>
    <xf numFmtId="0" fontId="51" fillId="0" borderId="0" xfId="59" applyFont="1" applyBorder="1"/>
    <xf numFmtId="0" fontId="51" fillId="0" borderId="11" xfId="59" applyFont="1" applyBorder="1" applyAlignment="1">
      <alignment horizontal="center"/>
    </xf>
    <xf numFmtId="179" fontId="51" fillId="0" borderId="0" xfId="59" applyNumberFormat="1" applyFont="1"/>
    <xf numFmtId="44" fontId="5" fillId="0" borderId="0" xfId="60" applyNumberFormat="1" applyFont="1"/>
    <xf numFmtId="0" fontId="51" fillId="0" borderId="22" xfId="59" applyFont="1" applyFill="1" applyBorder="1"/>
    <xf numFmtId="0" fontId="51" fillId="0" borderId="25" xfId="0" applyFont="1" applyBorder="1" applyAlignment="1">
      <alignment horizontal="center" vertical="center"/>
    </xf>
    <xf numFmtId="169" fontId="51" fillId="0" borderId="60" xfId="31" applyNumberFormat="1" applyFont="1" applyBorder="1"/>
    <xf numFmtId="169" fontId="51" fillId="0" borderId="59" xfId="31" applyNumberFormat="1" applyFont="1" applyBorder="1"/>
    <xf numFmtId="169" fontId="5" fillId="0" borderId="29" xfId="31" applyNumberFormat="1" applyFont="1" applyBorder="1"/>
    <xf numFmtId="169" fontId="5" fillId="0" borderId="62" xfId="31" applyNumberFormat="1" applyFont="1" applyBorder="1"/>
    <xf numFmtId="1" fontId="51" fillId="0" borderId="23" xfId="0" applyNumberFormat="1" applyFont="1" applyBorder="1" applyAlignment="1">
      <alignment horizontal="center" vertical="center"/>
    </xf>
    <xf numFmtId="1" fontId="51" fillId="0" borderId="46" xfId="0" applyNumberFormat="1" applyFont="1" applyBorder="1" applyAlignment="1">
      <alignment horizontal="center" vertical="center"/>
    </xf>
    <xf numFmtId="1" fontId="51" fillId="0" borderId="58" xfId="0" applyNumberFormat="1" applyFont="1" applyBorder="1" applyAlignment="1">
      <alignment horizontal="center" vertical="center"/>
    </xf>
    <xf numFmtId="0" fontId="51" fillId="0" borderId="0" xfId="59" applyNumberFormat="1" applyFont="1"/>
    <xf numFmtId="0" fontId="51" fillId="0" borderId="0" xfId="59" quotePrefix="1" applyNumberFormat="1" applyFont="1" applyAlignment="1">
      <alignment vertical="top" wrapText="1"/>
    </xf>
    <xf numFmtId="9" fontId="4" fillId="0" borderId="32" xfId="0" applyNumberFormat="1" applyFont="1" applyFill="1" applyBorder="1" applyAlignment="1">
      <alignment horizontal="center"/>
    </xf>
    <xf numFmtId="0" fontId="4" fillId="0" borderId="0" xfId="0" applyFont="1" applyAlignment="1">
      <alignment horizontal="left" vertical="center" wrapText="1"/>
    </xf>
    <xf numFmtId="169" fontId="4" fillId="0" borderId="0" xfId="31" applyNumberFormat="1" applyFont="1" applyBorder="1" applyAlignment="1">
      <alignment horizontal="center"/>
    </xf>
    <xf numFmtId="169" fontId="4" fillId="0" borderId="0" xfId="31" applyNumberFormat="1" applyFont="1" applyAlignment="1">
      <alignment horizontal="center"/>
    </xf>
    <xf numFmtId="0" fontId="8" fillId="0" borderId="14" xfId="0" applyFont="1" applyBorder="1" applyAlignment="1">
      <alignment horizontal="center" wrapText="1"/>
    </xf>
    <xf numFmtId="0" fontId="8" fillId="0" borderId="16" xfId="0" applyFont="1" applyBorder="1" applyAlignment="1">
      <alignment horizontal="center" wrapText="1"/>
    </xf>
    <xf numFmtId="0" fontId="8" fillId="0" borderId="63" xfId="0" applyFont="1" applyBorder="1" applyAlignment="1">
      <alignment horizontal="center"/>
    </xf>
    <xf numFmtId="0" fontId="8" fillId="0" borderId="29" xfId="0" applyFont="1" applyBorder="1" applyAlignment="1">
      <alignment horizontal="center"/>
    </xf>
    <xf numFmtId="0" fontId="8" fillId="0" borderId="64" xfId="47" applyFont="1" applyFill="1" applyBorder="1" applyAlignment="1">
      <alignment horizontal="center"/>
    </xf>
    <xf numFmtId="0" fontId="8" fillId="0" borderId="65" xfId="47" applyFont="1" applyFill="1" applyBorder="1" applyAlignment="1">
      <alignment horizontal="center"/>
    </xf>
    <xf numFmtId="44" fontId="4" fillId="0" borderId="41" xfId="31" applyFont="1" applyBorder="1" applyAlignment="1">
      <alignment horizontal="center"/>
    </xf>
    <xf numFmtId="169" fontId="4" fillId="0" borderId="42" xfId="31" applyNumberFormat="1" applyFont="1" applyBorder="1" applyAlignment="1">
      <alignment horizontal="center"/>
    </xf>
    <xf numFmtId="44" fontId="4" fillId="0" borderId="43" xfId="31" applyFont="1" applyBorder="1" applyAlignment="1">
      <alignment horizontal="center"/>
    </xf>
    <xf numFmtId="169" fontId="4" fillId="0" borderId="44" xfId="31" applyNumberFormat="1" applyFont="1" applyBorder="1" applyAlignment="1">
      <alignment horizontal="center"/>
    </xf>
    <xf numFmtId="8" fontId="4" fillId="0" borderId="0" xfId="47" applyNumberFormat="1" applyFont="1"/>
    <xf numFmtId="2" fontId="51" fillId="0" borderId="0" xfId="59" applyNumberFormat="1" applyFont="1"/>
    <xf numFmtId="8" fontId="5" fillId="0" borderId="0" xfId="0" applyNumberFormat="1" applyFont="1"/>
    <xf numFmtId="8" fontId="35" fillId="0" borderId="24" xfId="31" applyNumberFormat="1" applyFont="1" applyBorder="1"/>
    <xf numFmtId="0" fontId="51" fillId="0" borderId="18" xfId="59" applyFont="1" applyBorder="1" applyAlignment="1">
      <alignment horizontal="center"/>
    </xf>
    <xf numFmtId="169" fontId="51" fillId="0" borderId="54" xfId="31" applyNumberFormat="1" applyFont="1" applyBorder="1"/>
    <xf numFmtId="169" fontId="51" fillId="0" borderId="68" xfId="31" applyNumberFormat="1" applyFont="1" applyBorder="1"/>
    <xf numFmtId="169" fontId="5" fillId="0" borderId="47" xfId="31" applyNumberFormat="1" applyFont="1" applyBorder="1"/>
    <xf numFmtId="167" fontId="4" fillId="0" borderId="0" xfId="51" applyNumberFormat="1" applyFont="1" applyFill="1" applyAlignment="1">
      <alignment horizontal="right"/>
    </xf>
    <xf numFmtId="44" fontId="4" fillId="0" borderId="0" xfId="31" applyFont="1" applyFill="1"/>
    <xf numFmtId="44" fontId="4" fillId="0" borderId="0" xfId="31" applyFont="1" applyFill="1" applyAlignment="1">
      <alignment horizontal="center"/>
    </xf>
    <xf numFmtId="169" fontId="4" fillId="0" borderId="0" xfId="31" applyNumberFormat="1" applyFont="1" applyFill="1" applyAlignment="1">
      <alignment horizontal="center"/>
    </xf>
    <xf numFmtId="44" fontId="4" fillId="0" borderId="41" xfId="31" applyFont="1" applyFill="1" applyBorder="1" applyAlignment="1">
      <alignment horizontal="center"/>
    </xf>
    <xf numFmtId="169" fontId="4" fillId="0" borderId="42" xfId="31" applyNumberFormat="1" applyFont="1" applyFill="1" applyBorder="1" applyAlignment="1">
      <alignment horizontal="center"/>
    </xf>
    <xf numFmtId="0" fontId="4" fillId="0" borderId="0" xfId="47" applyFont="1" applyFill="1" applyAlignment="1">
      <alignment horizontal="right"/>
    </xf>
    <xf numFmtId="9" fontId="4" fillId="0" borderId="0" xfId="50" applyFont="1" applyFill="1" applyBorder="1"/>
    <xf numFmtId="44" fontId="4" fillId="0" borderId="0" xfId="31" applyFont="1" applyFill="1" applyBorder="1"/>
    <xf numFmtId="0" fontId="48" fillId="0" borderId="0" xfId="47" applyFont="1" applyFill="1" applyBorder="1"/>
    <xf numFmtId="0" fontId="48" fillId="0" borderId="0" xfId="47" applyFont="1" applyFill="1"/>
    <xf numFmtId="44" fontId="48" fillId="0" borderId="0" xfId="47" applyNumberFormat="1" applyFont="1" applyFill="1"/>
    <xf numFmtId="0" fontId="5" fillId="0" borderId="0" xfId="0" applyFont="1" applyFill="1"/>
    <xf numFmtId="0" fontId="4" fillId="0" borderId="0" xfId="47" applyFont="1" applyFill="1" applyBorder="1" applyAlignment="1">
      <alignment horizontal="center"/>
    </xf>
    <xf numFmtId="44" fontId="4" fillId="0" borderId="0" xfId="31" applyFont="1" applyFill="1" applyBorder="1" applyAlignment="1">
      <alignment horizontal="center"/>
    </xf>
    <xf numFmtId="169" fontId="4" fillId="0" borderId="0" xfId="31" applyNumberFormat="1" applyFont="1" applyFill="1" applyBorder="1" applyAlignment="1">
      <alignment horizontal="center"/>
    </xf>
    <xf numFmtId="0" fontId="51" fillId="0" borderId="14" xfId="59" applyFont="1" applyFill="1" applyBorder="1" applyAlignment="1">
      <alignment horizontal="center" vertical="top" wrapText="1"/>
    </xf>
    <xf numFmtId="0" fontId="51" fillId="0" borderId="67" xfId="59" applyFont="1" applyBorder="1" applyAlignment="1">
      <alignment horizontal="center"/>
    </xf>
    <xf numFmtId="0" fontId="51" fillId="0" borderId="41" xfId="59" applyFont="1" applyFill="1" applyBorder="1" applyAlignment="1">
      <alignment horizontal="center" wrapText="1"/>
    </xf>
    <xf numFmtId="0" fontId="51" fillId="0" borderId="70" xfId="59" applyFont="1" applyFill="1" applyBorder="1" applyAlignment="1">
      <alignment horizontal="center" wrapText="1"/>
    </xf>
    <xf numFmtId="0" fontId="51" fillId="0" borderId="17" xfId="59" applyFont="1" applyFill="1" applyBorder="1" applyAlignment="1">
      <alignment horizontal="center" wrapText="1"/>
    </xf>
    <xf numFmtId="0" fontId="51" fillId="0" borderId="71" xfId="59" applyFont="1" applyFill="1" applyBorder="1" applyAlignment="1">
      <alignment horizontal="center" wrapText="1"/>
    </xf>
    <xf numFmtId="44" fontId="5" fillId="30" borderId="66" xfId="60" applyFont="1" applyFill="1" applyBorder="1"/>
    <xf numFmtId="44" fontId="5" fillId="30" borderId="62" xfId="60" applyFont="1" applyFill="1" applyBorder="1"/>
    <xf numFmtId="44" fontId="5" fillId="0" borderId="62" xfId="60" applyFont="1" applyBorder="1"/>
    <xf numFmtId="44" fontId="5" fillId="0" borderId="72" xfId="60" applyFont="1" applyBorder="1"/>
    <xf numFmtId="0" fontId="51" fillId="0" borderId="73" xfId="59" applyFont="1" applyFill="1" applyBorder="1"/>
    <xf numFmtId="44" fontId="5" fillId="0" borderId="47" xfId="60" applyFont="1" applyBorder="1"/>
    <xf numFmtId="44" fontId="0" fillId="0" borderId="0" xfId="60" quotePrefix="1" applyNumberFormat="1" applyFont="1" applyAlignment="1"/>
    <xf numFmtId="0" fontId="51" fillId="0" borderId="0" xfId="59" quotePrefix="1" applyFont="1" applyAlignment="1"/>
    <xf numFmtId="0" fontId="51" fillId="0" borderId="69" xfId="59" applyFont="1" applyFill="1" applyBorder="1" applyAlignment="1">
      <alignment horizontal="center" vertical="top" wrapText="1"/>
    </xf>
    <xf numFmtId="0" fontId="51" fillId="31" borderId="40" xfId="59" applyFont="1" applyFill="1" applyBorder="1" applyAlignment="1">
      <alignment horizontal="center"/>
    </xf>
    <xf numFmtId="0" fontId="51" fillId="31" borderId="39" xfId="59" applyFont="1" applyFill="1" applyBorder="1" applyAlignment="1">
      <alignment horizontal="center"/>
    </xf>
    <xf numFmtId="0" fontId="51" fillId="31" borderId="30" xfId="59" applyFont="1" applyFill="1" applyBorder="1" applyAlignment="1">
      <alignment horizontal="center"/>
    </xf>
    <xf numFmtId="0" fontId="4"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4" fillId="0" borderId="36" xfId="0" applyNumberFormat="1" applyFont="1" applyFill="1" applyBorder="1" applyAlignment="1">
      <alignment horizontal="right"/>
    </xf>
    <xf numFmtId="0" fontId="51" fillId="0" borderId="0" xfId="59" applyFont="1" applyFill="1"/>
    <xf numFmtId="0" fontId="51" fillId="0" borderId="53" xfId="59" applyFont="1" applyFill="1" applyBorder="1" applyAlignment="1">
      <alignment horizontal="center" vertical="top" wrapText="1"/>
    </xf>
    <xf numFmtId="0" fontId="51" fillId="0" borderId="61" xfId="59" applyFont="1" applyFill="1" applyBorder="1" applyAlignment="1">
      <alignment horizontal="center" vertical="top" wrapText="1"/>
    </xf>
    <xf numFmtId="0" fontId="51" fillId="0" borderId="48" xfId="59" applyFont="1" applyFill="1" applyBorder="1" applyAlignment="1">
      <alignment horizontal="centerContinuous" vertical="top" wrapText="1"/>
    </xf>
    <xf numFmtId="0" fontId="51" fillId="0" borderId="28" xfId="59" applyFont="1" applyFill="1" applyBorder="1" applyAlignment="1">
      <alignment horizontal="centerContinuous" vertical="top" wrapText="1"/>
    </xf>
    <xf numFmtId="0" fontId="51" fillId="0" borderId="52" xfId="59" applyFont="1" applyFill="1" applyBorder="1" applyAlignment="1">
      <alignment horizontal="centerContinuous" vertical="top" wrapText="1"/>
    </xf>
    <xf numFmtId="0" fontId="51" fillId="0" borderId="0" xfId="59" applyFont="1" applyFill="1" applyBorder="1"/>
    <xf numFmtId="179" fontId="51" fillId="0" borderId="12" xfId="59" applyNumberFormat="1" applyFont="1" applyFill="1" applyBorder="1" applyAlignment="1">
      <alignment horizontal="center"/>
    </xf>
    <xf numFmtId="0" fontId="51" fillId="0" borderId="27" xfId="59" applyFont="1" applyFill="1" applyBorder="1"/>
    <xf numFmtId="179" fontId="51" fillId="0" borderId="46" xfId="59" applyNumberFormat="1" applyFont="1" applyFill="1" applyBorder="1" applyAlignment="1">
      <alignment horizontal="center"/>
    </xf>
    <xf numFmtId="0" fontId="51" fillId="0" borderId="27" xfId="0" applyFont="1" applyFill="1" applyBorder="1" applyAlignment="1">
      <alignment horizontal="center" wrapText="1"/>
    </xf>
    <xf numFmtId="0" fontId="51" fillId="0" borderId="18" xfId="59" applyFont="1" applyFill="1" applyBorder="1"/>
    <xf numFmtId="0" fontId="51" fillId="0" borderId="54" xfId="59" applyFont="1" applyFill="1" applyBorder="1" applyAlignment="1">
      <alignment horizontal="centerContinuous"/>
    </xf>
    <xf numFmtId="0" fontId="51" fillId="0" borderId="47" xfId="59" applyFont="1" applyFill="1" applyBorder="1" applyAlignment="1">
      <alignment horizontal="centerContinuous"/>
    </xf>
    <xf numFmtId="0" fontId="51" fillId="0" borderId="50" xfId="59" applyFont="1" applyFill="1" applyBorder="1" applyAlignment="1">
      <alignment horizontal="center" wrapText="1"/>
    </xf>
    <xf numFmtId="0" fontId="51" fillId="0" borderId="51" xfId="59" applyFont="1" applyFill="1" applyBorder="1" applyAlignment="1">
      <alignment horizontal="center"/>
    </xf>
    <xf numFmtId="0" fontId="51" fillId="0" borderId="58" xfId="59" applyFont="1" applyFill="1" applyBorder="1" applyAlignment="1">
      <alignment horizontal="center" wrapText="1"/>
    </xf>
    <xf numFmtId="9" fontId="51" fillId="30" borderId="59" xfId="59" applyNumberFormat="1" applyFont="1" applyFill="1" applyBorder="1" applyAlignment="1">
      <alignment horizontal="center" wrapText="1"/>
    </xf>
    <xf numFmtId="167" fontId="51" fillId="30" borderId="59" xfId="59" applyNumberFormat="1" applyFont="1" applyFill="1" applyBorder="1" applyAlignment="1">
      <alignment horizontal="center" wrapText="1"/>
    </xf>
    <xf numFmtId="167" fontId="51" fillId="30" borderId="62" xfId="59" applyNumberFormat="1" applyFont="1" applyFill="1" applyBorder="1" applyAlignment="1">
      <alignment horizontal="center" wrapText="1"/>
    </xf>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0" applyFont="1" applyAlignment="1">
      <alignment horizontal="left" vertical="top" wrapText="1"/>
    </xf>
    <xf numFmtId="0" fontId="36" fillId="0" borderId="0" xfId="0" applyFont="1" applyAlignment="1">
      <alignment wrapText="1"/>
    </xf>
    <xf numFmtId="0" fontId="52" fillId="0" borderId="0" xfId="59" applyFont="1" applyFill="1" applyBorder="1" applyAlignment="1">
      <alignment horizontal="center"/>
    </xf>
    <xf numFmtId="0" fontId="51" fillId="0" borderId="14" xfId="59" applyFont="1" applyFill="1" applyBorder="1" applyAlignment="1">
      <alignment horizontal="center" vertical="top" wrapText="1"/>
    </xf>
    <xf numFmtId="0" fontId="51" fillId="0" borderId="41" xfId="59" applyFont="1" applyFill="1" applyBorder="1" applyAlignment="1">
      <alignment horizontal="center" vertical="top" wrapText="1"/>
    </xf>
    <xf numFmtId="0" fontId="51" fillId="0" borderId="43" xfId="59" applyFont="1" applyFill="1" applyBorder="1" applyAlignment="1">
      <alignment horizontal="center" vertical="top" wrapText="1"/>
    </xf>
    <xf numFmtId="0" fontId="51" fillId="0" borderId="55" xfId="59" applyFont="1" applyFill="1" applyBorder="1" applyAlignment="1">
      <alignment horizontal="center" vertical="top" wrapText="1"/>
    </xf>
    <xf numFmtId="0" fontId="51" fillId="0" borderId="56" xfId="59" applyFont="1" applyFill="1" applyBorder="1" applyAlignment="1">
      <alignment horizontal="center" vertical="top" wrapText="1"/>
    </xf>
    <xf numFmtId="0" fontId="51" fillId="0" borderId="57" xfId="59" applyFont="1" applyFill="1" applyBorder="1" applyAlignment="1">
      <alignment horizontal="center" vertical="top" wrapText="1"/>
    </xf>
    <xf numFmtId="0" fontId="52" fillId="0" borderId="21" xfId="59" applyFont="1" applyFill="1" applyBorder="1" applyAlignment="1">
      <alignment horizontal="center" wrapText="1"/>
    </xf>
    <xf numFmtId="0" fontId="0" fillId="0" borderId="0" xfId="60" quotePrefix="1" applyNumberFormat="1" applyFont="1" applyAlignment="1">
      <alignment horizontal="left" vertical="top" wrapText="1"/>
    </xf>
    <xf numFmtId="0" fontId="51" fillId="0" borderId="0" xfId="59" quotePrefix="1" applyNumberFormat="1" applyFont="1" applyAlignment="1">
      <alignment horizontal="left" vertical="top" wrapText="1"/>
    </xf>
    <xf numFmtId="0" fontId="51" fillId="0" borderId="0" xfId="59" quotePrefix="1" applyNumberFormat="1" applyFont="1" applyAlignment="1">
      <alignment horizontal="left" vertical="top"/>
    </xf>
    <xf numFmtId="0" fontId="41" fillId="0" borderId="41" xfId="63" applyFont="1" applyBorder="1" applyAlignment="1">
      <alignment horizontal="center" vertical="center"/>
    </xf>
    <xf numFmtId="0" fontId="41" fillId="0" borderId="0" xfId="63" applyFont="1" applyBorder="1" applyAlignment="1">
      <alignment horizontal="center" vertical="center"/>
    </xf>
    <xf numFmtId="0" fontId="41" fillId="0" borderId="38" xfId="63" applyFont="1" applyBorder="1" applyAlignment="1">
      <alignment horizontal="center" vertical="center"/>
    </xf>
    <xf numFmtId="0" fontId="41" fillId="0" borderId="42"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10-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1.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6</xdr:col>
          <xdr:colOff>792480</xdr:colOff>
          <xdr:row>3</xdr:row>
          <xdr:rowOff>68580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167640</xdr:colOff>
          <xdr:row>3</xdr:row>
          <xdr:rowOff>68580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167640</xdr:colOff>
          <xdr:row>3</xdr:row>
          <xdr:rowOff>68580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228600</xdr:colOff>
          <xdr:row>3</xdr:row>
          <xdr:rowOff>152400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228600</xdr:colOff>
          <xdr:row>3</xdr:row>
          <xdr:rowOff>175260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228600</xdr:colOff>
          <xdr:row>3</xdr:row>
          <xdr:rowOff>175260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0.bin"/><Relationship Id="rId1" Type="http://schemas.openxmlformats.org/officeDocument/2006/relationships/hyperlink" Target="http://www.oatioasis.com/webSmartOASIS/HomePage?ProviderName=PSEI&amp;Homepage=1" TargetMode="External"/></Relationships>
</file>

<file path=xl/worksheets/_rels/sheet1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ontrol" Target="../activeX/activeX6.xml"/><Relationship Id="rId11" Type="http://schemas.openxmlformats.org/officeDocument/2006/relationships/image" Target="../media/image1.emf"/><Relationship Id="rId5" Type="http://schemas.openxmlformats.org/officeDocument/2006/relationships/image" Target="../media/image5.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3.vml"/><Relationship Id="rId7" Type="http://schemas.openxmlformats.org/officeDocument/2006/relationships/image" Target="../media/image9.emf"/><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ontrol" Target="../activeX/activeX10.xml"/><Relationship Id="rId11" Type="http://schemas.openxmlformats.org/officeDocument/2006/relationships/image" Target="../media/image1.emf"/><Relationship Id="rId5" Type="http://schemas.openxmlformats.org/officeDocument/2006/relationships/image" Target="../media/image8.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10.emf"/></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opLeftCell="A10" workbookViewId="0">
      <selection activeCell="E23" sqref="E23"/>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8" width="12.33203125" style="53" customWidth="1"/>
    <col min="29" max="16384" width="9.109375" style="53"/>
  </cols>
  <sheetData>
    <row r="2" spans="2:29" ht="19.5" customHeight="1" x14ac:dyDescent="0.3">
      <c r="C2" s="215" t="s">
        <v>116</v>
      </c>
      <c r="D2" s="215"/>
      <c r="E2" s="215"/>
      <c r="F2" s="215"/>
      <c r="G2" s="215"/>
      <c r="H2" s="215"/>
      <c r="I2" s="215"/>
      <c r="J2" s="215"/>
      <c r="K2" s="215"/>
      <c r="L2" s="215"/>
    </row>
    <row r="3" spans="2:29" ht="15.6" x14ac:dyDescent="0.3">
      <c r="C3" s="42"/>
    </row>
    <row r="4" spans="2:29" ht="15.6" x14ac:dyDescent="0.3">
      <c r="C4" s="5" t="s">
        <v>114</v>
      </c>
      <c r="W4" s="40"/>
      <c r="X4" s="40"/>
      <c r="Y4" s="40"/>
      <c r="Z4" s="40"/>
    </row>
    <row r="5" spans="2:29" x14ac:dyDescent="0.25">
      <c r="B5" s="114"/>
      <c r="C5" s="114"/>
      <c r="D5" s="112"/>
      <c r="E5" s="114"/>
      <c r="F5" s="124" t="s">
        <v>112</v>
      </c>
      <c r="Y5" s="126"/>
      <c r="Z5" s="126"/>
      <c r="AC5" s="127"/>
    </row>
    <row r="6" spans="2:29" x14ac:dyDescent="0.25">
      <c r="B6" s="114"/>
      <c r="C6" s="211" t="s">
        <v>106</v>
      </c>
      <c r="D6" s="114"/>
      <c r="F6" s="156">
        <f>'Output - 5yr Baseload'!F9</f>
        <v>32.195595701528489</v>
      </c>
      <c r="Y6" s="126"/>
      <c r="Z6" s="126"/>
      <c r="AC6" s="127"/>
    </row>
    <row r="7" spans="2:29" x14ac:dyDescent="0.25">
      <c r="B7" s="114"/>
      <c r="C7" s="211" t="s">
        <v>107</v>
      </c>
      <c r="D7" s="114"/>
      <c r="F7" s="156">
        <f>'Output - 10yr Baseload'!F9</f>
        <v>32.55678904361779</v>
      </c>
      <c r="Y7" s="126"/>
      <c r="Z7" s="126"/>
      <c r="AC7" s="127"/>
    </row>
    <row r="8" spans="2:29" x14ac:dyDescent="0.25">
      <c r="C8" s="211" t="s">
        <v>105</v>
      </c>
      <c r="D8" s="114"/>
      <c r="F8" s="156">
        <f>'Output - 15yr Baseload'!F9</f>
        <v>33.589491710240488</v>
      </c>
      <c r="Y8" s="120"/>
      <c r="Z8" s="120"/>
      <c r="AA8" s="119"/>
      <c r="AB8" s="114"/>
    </row>
    <row r="9" spans="2:29" x14ac:dyDescent="0.25">
      <c r="C9" s="125"/>
      <c r="E9" s="128"/>
      <c r="F9" s="126"/>
      <c r="Y9" s="120"/>
      <c r="Z9" s="120"/>
      <c r="AA9" s="120"/>
    </row>
    <row r="10" spans="2:29" x14ac:dyDescent="0.25">
      <c r="C10" s="129"/>
      <c r="E10" s="128"/>
      <c r="F10" s="126"/>
    </row>
    <row r="11" spans="2:29" x14ac:dyDescent="0.25">
      <c r="F11" s="210"/>
    </row>
    <row r="12" spans="2:29" x14ac:dyDescent="0.25">
      <c r="C12" s="114"/>
      <c r="D12" s="112"/>
      <c r="E12" s="114"/>
      <c r="F12" s="124" t="s">
        <v>112</v>
      </c>
    </row>
    <row r="13" spans="2:29" x14ac:dyDescent="0.25">
      <c r="C13" s="211" t="s">
        <v>108</v>
      </c>
      <c r="D13" s="114"/>
      <c r="F13" s="156">
        <f>'Output - 10yr Wind'!F9</f>
        <v>25.561116636680996</v>
      </c>
    </row>
    <row r="14" spans="2:29" x14ac:dyDescent="0.25">
      <c r="C14" s="211" t="s">
        <v>109</v>
      </c>
      <c r="D14" s="114"/>
      <c r="F14" s="156">
        <f>'Output - 15yr Wind'!F9</f>
        <v>26.634053692784999</v>
      </c>
    </row>
    <row r="17" spans="3:22" x14ac:dyDescent="0.25">
      <c r="F17" s="210"/>
    </row>
    <row r="18" spans="3:22" x14ac:dyDescent="0.25">
      <c r="C18" s="114"/>
      <c r="D18" s="112"/>
      <c r="E18" s="114"/>
      <c r="F18" s="124" t="s">
        <v>112</v>
      </c>
    </row>
    <row r="19" spans="3:22" x14ac:dyDescent="0.25">
      <c r="C19" s="211" t="s">
        <v>110</v>
      </c>
      <c r="D19" s="114"/>
      <c r="F19" s="156">
        <f>'Output - 10yr Solar'!F9</f>
        <v>24.006016055999481</v>
      </c>
    </row>
    <row r="20" spans="3:22" x14ac:dyDescent="0.25">
      <c r="C20" s="211" t="s">
        <v>111</v>
      </c>
      <c r="D20" s="114"/>
      <c r="F20" s="156">
        <f>'Output - 15yr Solar'!F9</f>
        <v>25.087897001812163</v>
      </c>
    </row>
    <row r="24" spans="3:22" ht="15.6" x14ac:dyDescent="0.3">
      <c r="C24" s="5" t="s">
        <v>113</v>
      </c>
    </row>
    <row r="25" spans="3:22" x14ac:dyDescent="0.25">
      <c r="F25" s="210">
        <v>1</v>
      </c>
      <c r="G25" s="210">
        <v>2</v>
      </c>
      <c r="H25" s="210">
        <v>3</v>
      </c>
      <c r="I25" s="210">
        <v>4</v>
      </c>
      <c r="J25" s="210">
        <v>5</v>
      </c>
      <c r="K25" s="210">
        <v>6</v>
      </c>
      <c r="L25" s="210">
        <v>7</v>
      </c>
      <c r="M25" s="210">
        <v>8</v>
      </c>
      <c r="N25" s="210">
        <v>9</v>
      </c>
      <c r="O25" s="210">
        <v>10</v>
      </c>
      <c r="P25" s="210">
        <v>11</v>
      </c>
      <c r="Q25" s="210">
        <v>12</v>
      </c>
      <c r="R25" s="210">
        <v>13</v>
      </c>
      <c r="S25" s="210">
        <v>14</v>
      </c>
      <c r="T25" s="210">
        <v>15</v>
      </c>
      <c r="U25" s="210">
        <v>16</v>
      </c>
      <c r="V25" s="210">
        <v>17</v>
      </c>
    </row>
    <row r="26" spans="3:22" x14ac:dyDescent="0.25">
      <c r="C26" s="114"/>
      <c r="D26" s="112"/>
      <c r="E26" s="114"/>
      <c r="F26" s="124">
        <f>'Energy Prices'!$C$6</f>
        <v>2020</v>
      </c>
      <c r="G26" s="124">
        <f>F26+1</f>
        <v>2021</v>
      </c>
      <c r="H26" s="124">
        <f>G26+1</f>
        <v>2022</v>
      </c>
      <c r="I26" s="124">
        <f t="shared" ref="I26:T26" si="0">H26+1</f>
        <v>2023</v>
      </c>
      <c r="J26" s="124">
        <f t="shared" si="0"/>
        <v>2024</v>
      </c>
      <c r="K26" s="124">
        <f t="shared" si="0"/>
        <v>2025</v>
      </c>
      <c r="L26" s="124">
        <f t="shared" si="0"/>
        <v>2026</v>
      </c>
      <c r="M26" s="124">
        <f t="shared" si="0"/>
        <v>2027</v>
      </c>
      <c r="N26" s="124">
        <f t="shared" si="0"/>
        <v>2028</v>
      </c>
      <c r="O26" s="124">
        <f t="shared" si="0"/>
        <v>2029</v>
      </c>
      <c r="P26" s="124">
        <f t="shared" si="0"/>
        <v>2030</v>
      </c>
      <c r="Q26" s="124">
        <f t="shared" si="0"/>
        <v>2031</v>
      </c>
      <c r="R26" s="124">
        <f t="shared" si="0"/>
        <v>2032</v>
      </c>
      <c r="S26" s="124">
        <f t="shared" si="0"/>
        <v>2033</v>
      </c>
      <c r="T26" s="124">
        <f t="shared" si="0"/>
        <v>2034</v>
      </c>
      <c r="U26" s="124">
        <f>T26+1</f>
        <v>2035</v>
      </c>
      <c r="V26" s="124">
        <f>U26+1</f>
        <v>2036</v>
      </c>
    </row>
    <row r="27" spans="3:22" x14ac:dyDescent="0.25">
      <c r="C27" s="211" t="s">
        <v>106</v>
      </c>
      <c r="D27" s="114"/>
      <c r="F27" s="156">
        <f>'Output - 5yr Baseload'!F13</f>
        <v>30.73343530937689</v>
      </c>
      <c r="G27" s="156">
        <f>'Output - 5yr Baseload'!G13</f>
        <v>31.50177119211131</v>
      </c>
      <c r="H27" s="156">
        <f>'Output - 5yr Baseload'!H13</f>
        <v>32.289315471914087</v>
      </c>
      <c r="I27" s="156">
        <f>'Output - 5yr Baseload'!I13</f>
        <v>33.096548358711935</v>
      </c>
      <c r="J27" s="156">
        <f>'Output - 5yr Baseload'!J13</f>
        <v>33.923962067679739</v>
      </c>
      <c r="K27" s="207">
        <f>'Output - 5yr Baseload'!K13</f>
        <v>34.772061119371728</v>
      </c>
      <c r="L27" s="207">
        <f>'Output - 5yr Baseload'!L13</f>
        <v>35.641362647356019</v>
      </c>
      <c r="M27" s="207"/>
      <c r="N27" s="207"/>
      <c r="O27" s="207"/>
      <c r="P27" s="207"/>
      <c r="Q27" s="207"/>
      <c r="R27" s="207"/>
      <c r="S27" s="207"/>
      <c r="T27" s="207"/>
      <c r="U27" s="207"/>
      <c r="V27" s="207"/>
    </row>
    <row r="28" spans="3:22" x14ac:dyDescent="0.25">
      <c r="C28" s="211" t="s">
        <v>107</v>
      </c>
      <c r="D28" s="114"/>
      <c r="F28" s="156">
        <f>'Output - 10yr Baseload'!F13</f>
        <v>29.482756048736128</v>
      </c>
      <c r="G28" s="156">
        <f>'Output - 10yr Baseload'!G13</f>
        <v>30.219824949954525</v>
      </c>
      <c r="H28" s="156">
        <f>'Output - 10yr Baseload'!H13</f>
        <v>30.975320573703382</v>
      </c>
      <c r="I28" s="156">
        <f>'Output - 10yr Baseload'!I13</f>
        <v>31.749703588045968</v>
      </c>
      <c r="J28" s="156">
        <f>'Output - 10yr Baseload'!J13</f>
        <v>32.543446177747114</v>
      </c>
      <c r="K28" s="156">
        <f>'Output - 10yr Baseload'!K13</f>
        <v>33.357032332190791</v>
      </c>
      <c r="L28" s="156">
        <f>'Output - 10yr Baseload'!L13</f>
        <v>34.19095814049556</v>
      </c>
      <c r="M28" s="156">
        <f>'Output - 10yr Baseload'!M13</f>
        <v>35.045732094007938</v>
      </c>
      <c r="N28" s="156">
        <f>'Output - 10yr Baseload'!N13</f>
        <v>35.921875396358132</v>
      </c>
      <c r="O28" s="156">
        <f>'Output - 10yr Baseload'!O13</f>
        <v>36.819922281267083</v>
      </c>
      <c r="P28" s="207">
        <f>'Output - 10yr Baseload'!P13</f>
        <v>37.740420338298755</v>
      </c>
      <c r="Q28" s="207">
        <f>'Output - 10yr Baseload'!Q13</f>
        <v>38.683930846756219</v>
      </c>
      <c r="R28" s="207"/>
      <c r="S28" s="207"/>
      <c r="T28" s="207"/>
      <c r="U28" s="207"/>
      <c r="V28" s="207"/>
    </row>
    <row r="29" spans="3:22" x14ac:dyDescent="0.25">
      <c r="C29" s="211" t="s">
        <v>105</v>
      </c>
      <c r="D29" s="114"/>
      <c r="F29" s="156">
        <f>'Output - 15yr Baseload'!F13</f>
        <v>29.02545366311843</v>
      </c>
      <c r="G29" s="157">
        <f>'Output - 15yr Baseload'!G13</f>
        <v>29.75109000469639</v>
      </c>
      <c r="H29" s="158">
        <f>'Output - 15yr Baseload'!H13</f>
        <v>30.494867254813794</v>
      </c>
      <c r="I29" s="158">
        <f>'Output - 15yr Baseload'!I13</f>
        <v>31.257238936184137</v>
      </c>
      <c r="J29" s="158">
        <f>'Output - 15yr Baseload'!J13</f>
        <v>32.038669909588741</v>
      </c>
      <c r="K29" s="158">
        <f>'Output - 15yr Baseload'!K13</f>
        <v>32.839636657328455</v>
      </c>
      <c r="L29" s="158">
        <f>'Output - 15yr Baseload'!L13</f>
        <v>33.660627573761658</v>
      </c>
      <c r="M29" s="158">
        <f>'Output - 15yr Baseload'!M13</f>
        <v>34.502143263105701</v>
      </c>
      <c r="N29" s="158">
        <f>'Output - 15yr Baseload'!N13</f>
        <v>35.364696844683344</v>
      </c>
      <c r="O29" s="158">
        <f>'Output - 15yr Baseload'!O13</f>
        <v>36.248814265800426</v>
      </c>
      <c r="P29" s="158">
        <f>'Output - 15yr Baseload'!P13</f>
        <v>37.155034622445427</v>
      </c>
      <c r="Q29" s="158">
        <f>'Output - 15yr Baseload'!Q13</f>
        <v>38.083910488006552</v>
      </c>
      <c r="R29" s="158">
        <f>'Output - 15yr Baseload'!R13</f>
        <v>39.03600825020672</v>
      </c>
      <c r="S29" s="158">
        <f>'Output - 15yr Baseload'!S13</f>
        <v>40.011908456461875</v>
      </c>
      <c r="T29" s="158">
        <f>'Output - 15yr Baseload'!T13</f>
        <v>41.012206167873423</v>
      </c>
      <c r="U29" s="207">
        <f>'Output - 15yr Baseload'!U13</f>
        <v>42.037511322070252</v>
      </c>
      <c r="V29" s="207">
        <f>'Output - 15yr Baseload'!V13</f>
        <v>43.088449105122002</v>
      </c>
    </row>
    <row r="30" spans="3:22" x14ac:dyDescent="0.25">
      <c r="C30" s="125"/>
      <c r="E30" s="128"/>
      <c r="F30" s="126"/>
      <c r="G30" s="126"/>
      <c r="H30" s="126"/>
      <c r="I30" s="126"/>
      <c r="J30" s="126"/>
      <c r="K30" s="126"/>
      <c r="L30" s="126"/>
      <c r="M30" s="126"/>
      <c r="N30" s="126"/>
      <c r="O30" s="126"/>
      <c r="P30" s="126"/>
      <c r="Q30" s="126"/>
      <c r="R30" s="126"/>
      <c r="S30" s="126"/>
      <c r="T30" s="126"/>
      <c r="U30" s="126"/>
      <c r="V30" s="126"/>
    </row>
    <row r="31" spans="3:22" x14ac:dyDescent="0.25">
      <c r="C31" s="129"/>
      <c r="E31" s="128"/>
      <c r="F31" s="126"/>
      <c r="G31" s="126"/>
      <c r="H31" s="126"/>
      <c r="I31" s="126"/>
      <c r="J31" s="126"/>
      <c r="K31" s="126"/>
      <c r="L31" s="126"/>
      <c r="M31" s="126"/>
      <c r="N31" s="126"/>
      <c r="O31" s="126"/>
      <c r="P31" s="126"/>
      <c r="Q31" s="126"/>
      <c r="R31" s="126"/>
      <c r="S31" s="126"/>
      <c r="T31" s="126"/>
      <c r="U31" s="126"/>
      <c r="V31" s="126"/>
    </row>
    <row r="32" spans="3:22" x14ac:dyDescent="0.25">
      <c r="F32" s="210">
        <v>1</v>
      </c>
      <c r="G32" s="210">
        <v>2</v>
      </c>
      <c r="H32" s="210">
        <v>3</v>
      </c>
      <c r="I32" s="210">
        <v>4</v>
      </c>
      <c r="J32" s="210">
        <v>5</v>
      </c>
      <c r="K32" s="210">
        <v>6</v>
      </c>
      <c r="L32" s="210">
        <v>7</v>
      </c>
      <c r="M32" s="210">
        <v>8</v>
      </c>
      <c r="N32" s="210">
        <v>9</v>
      </c>
      <c r="O32" s="210">
        <v>10</v>
      </c>
      <c r="P32" s="210">
        <v>11</v>
      </c>
      <c r="Q32" s="210">
        <v>12</v>
      </c>
      <c r="R32" s="210">
        <v>13</v>
      </c>
      <c r="S32" s="210">
        <v>14</v>
      </c>
      <c r="T32" s="210">
        <v>15</v>
      </c>
      <c r="U32" s="210">
        <v>16</v>
      </c>
      <c r="V32" s="210">
        <v>17</v>
      </c>
    </row>
    <row r="33" spans="3:22" x14ac:dyDescent="0.25">
      <c r="C33" s="114"/>
      <c r="D33" s="112"/>
      <c r="E33" s="114"/>
      <c r="F33" s="124">
        <f>'Energy Prices'!$C$6</f>
        <v>2020</v>
      </c>
      <c r="G33" s="124">
        <f>F33+1</f>
        <v>2021</v>
      </c>
      <c r="H33" s="124">
        <f>G33+1</f>
        <v>2022</v>
      </c>
      <c r="I33" s="124">
        <f t="shared" ref="I33" si="1">H33+1</f>
        <v>2023</v>
      </c>
      <c r="J33" s="124">
        <f t="shared" ref="J33" si="2">I33+1</f>
        <v>2024</v>
      </c>
      <c r="K33" s="124">
        <f t="shared" ref="K33" si="3">J33+1</f>
        <v>2025</v>
      </c>
      <c r="L33" s="124">
        <f t="shared" ref="L33" si="4">K33+1</f>
        <v>2026</v>
      </c>
      <c r="M33" s="124">
        <f t="shared" ref="M33" si="5">L33+1</f>
        <v>2027</v>
      </c>
      <c r="N33" s="124">
        <f t="shared" ref="N33" si="6">M33+1</f>
        <v>2028</v>
      </c>
      <c r="O33" s="124">
        <f t="shared" ref="O33" si="7">N33+1</f>
        <v>2029</v>
      </c>
      <c r="P33" s="124">
        <f t="shared" ref="P33" si="8">O33+1</f>
        <v>2030</v>
      </c>
      <c r="Q33" s="124">
        <f t="shared" ref="Q33" si="9">P33+1</f>
        <v>2031</v>
      </c>
      <c r="R33" s="124">
        <f t="shared" ref="R33" si="10">Q33+1</f>
        <v>2032</v>
      </c>
      <c r="S33" s="124">
        <f t="shared" ref="S33" si="11">R33+1</f>
        <v>2033</v>
      </c>
      <c r="T33" s="124">
        <f t="shared" ref="T33" si="12">S33+1</f>
        <v>2034</v>
      </c>
      <c r="U33" s="124">
        <f>T33+1</f>
        <v>2035</v>
      </c>
      <c r="V33" s="124">
        <f>U33+1</f>
        <v>2036</v>
      </c>
    </row>
    <row r="34" spans="3:22" x14ac:dyDescent="0.25">
      <c r="C34" s="211" t="s">
        <v>108</v>
      </c>
      <c r="D34" s="114"/>
      <c r="F34" s="156">
        <f>'Output - 10yr Wind'!F13</f>
        <v>23.147619537138883</v>
      </c>
      <c r="G34" s="156">
        <f>'Output - 10yr Wind'!G13</f>
        <v>23.726310025567351</v>
      </c>
      <c r="H34" s="156">
        <f>'Output - 10yr Wind'!H13</f>
        <v>24.31946777620653</v>
      </c>
      <c r="I34" s="156">
        <f>'Output - 10yr Wind'!I13</f>
        <v>24.927454470611693</v>
      </c>
      <c r="J34" s="156">
        <f>'Output - 10yr Wind'!J13</f>
        <v>25.550640832376985</v>
      </c>
      <c r="K34" s="156">
        <f>'Output - 10yr Wind'!K13</f>
        <v>26.189406853186409</v>
      </c>
      <c r="L34" s="156">
        <f>'Output - 10yr Wind'!L13</f>
        <v>26.844142024516064</v>
      </c>
      <c r="M34" s="156">
        <f>'Output - 10yr Wind'!M13</f>
        <v>27.515245575128958</v>
      </c>
      <c r="N34" s="156">
        <f>'Output - 10yr Wind'!N13</f>
        <v>28.203126714507182</v>
      </c>
      <c r="O34" s="156">
        <f>'Output - 10yr Wind'!O13</f>
        <v>28.908204882369859</v>
      </c>
      <c r="P34" s="207">
        <f>'Output - 10yr Wind'!P13</f>
        <v>29.630910004429101</v>
      </c>
      <c r="Q34" s="207">
        <f>'Output - 10yr Wind'!Q13</f>
        <v>30.371682754539826</v>
      </c>
      <c r="R34" s="207"/>
      <c r="S34" s="207"/>
      <c r="T34" s="207"/>
      <c r="U34" s="207"/>
      <c r="V34" s="207"/>
    </row>
    <row r="35" spans="3:22" x14ac:dyDescent="0.25">
      <c r="C35" s="211" t="s">
        <v>109</v>
      </c>
      <c r="D35" s="114"/>
      <c r="F35" s="156">
        <f>'Output - 15yr Wind'!F13</f>
        <v>23.015099424242063</v>
      </c>
      <c r="G35" s="157">
        <f>'Output - 15yr Wind'!G13</f>
        <v>23.59047690984811</v>
      </c>
      <c r="H35" s="158">
        <f>'Output - 15yr Wind'!H13</f>
        <v>24.180238832594309</v>
      </c>
      <c r="I35" s="158">
        <f>'Output - 15yr Wind'!I13</f>
        <v>24.784744803409168</v>
      </c>
      <c r="J35" s="158">
        <f>'Output - 15yr Wind'!J13</f>
        <v>25.404363423494395</v>
      </c>
      <c r="K35" s="158">
        <f>'Output - 15yr Wind'!K13</f>
        <v>26.039472509081751</v>
      </c>
      <c r="L35" s="158">
        <f>'Output - 15yr Wind'!L13</f>
        <v>26.690459321808792</v>
      </c>
      <c r="M35" s="158">
        <f>'Output - 15yr Wind'!M13</f>
        <v>27.357720804854011</v>
      </c>
      <c r="N35" s="158">
        <f>'Output - 15yr Wind'!N13</f>
        <v>28.041663824975359</v>
      </c>
      <c r="O35" s="158">
        <f>'Output - 15yr Wind'!O13</f>
        <v>28.742705420599741</v>
      </c>
      <c r="P35" s="158">
        <f>'Output - 15yr Wind'!P13</f>
        <v>29.461273056114731</v>
      </c>
      <c r="Q35" s="158">
        <f>'Output - 15yr Wind'!Q13</f>
        <v>30.197804882517591</v>
      </c>
      <c r="R35" s="158">
        <f>'Output - 15yr Wind'!R13</f>
        <v>30.95275000458053</v>
      </c>
      <c r="S35" s="158">
        <f>'Output - 15yr Wind'!S13</f>
        <v>31.726568754695037</v>
      </c>
      <c r="T35" s="158">
        <f>'Output - 15yr Wind'!T13</f>
        <v>32.519732973562412</v>
      </c>
      <c r="U35" s="207">
        <f>'Output - 15yr Wind'!U13</f>
        <v>33.332726297901466</v>
      </c>
      <c r="V35" s="207">
        <f>'Output - 15yr Wind'!V13</f>
        <v>34.166044455349002</v>
      </c>
    </row>
    <row r="38" spans="3:22" x14ac:dyDescent="0.25">
      <c r="F38" s="210">
        <v>1</v>
      </c>
      <c r="G38" s="210">
        <v>2</v>
      </c>
      <c r="H38" s="210">
        <v>3</v>
      </c>
      <c r="I38" s="210">
        <v>4</v>
      </c>
      <c r="J38" s="210">
        <v>5</v>
      </c>
      <c r="K38" s="210">
        <v>6</v>
      </c>
      <c r="L38" s="210">
        <v>7</v>
      </c>
      <c r="M38" s="210">
        <v>8</v>
      </c>
      <c r="N38" s="210">
        <v>9</v>
      </c>
      <c r="O38" s="210">
        <v>10</v>
      </c>
      <c r="P38" s="210">
        <v>11</v>
      </c>
      <c r="Q38" s="210">
        <v>12</v>
      </c>
      <c r="R38" s="210">
        <v>13</v>
      </c>
      <c r="S38" s="210">
        <v>14</v>
      </c>
      <c r="T38" s="210">
        <v>15</v>
      </c>
      <c r="U38" s="210">
        <v>16</v>
      </c>
      <c r="V38" s="210">
        <v>17</v>
      </c>
    </row>
    <row r="39" spans="3:22" x14ac:dyDescent="0.25">
      <c r="C39" s="114"/>
      <c r="D39" s="112"/>
      <c r="E39" s="114"/>
      <c r="F39" s="124">
        <f>'Energy Prices'!$C$6</f>
        <v>2020</v>
      </c>
      <c r="G39" s="124">
        <f>F39+1</f>
        <v>2021</v>
      </c>
      <c r="H39" s="124">
        <f>G39+1</f>
        <v>2022</v>
      </c>
      <c r="I39" s="124">
        <f t="shared" ref="I39" si="13">H39+1</f>
        <v>2023</v>
      </c>
      <c r="J39" s="124">
        <f t="shared" ref="J39" si="14">I39+1</f>
        <v>2024</v>
      </c>
      <c r="K39" s="124">
        <f t="shared" ref="K39" si="15">J39+1</f>
        <v>2025</v>
      </c>
      <c r="L39" s="124">
        <f t="shared" ref="L39" si="16">K39+1</f>
        <v>2026</v>
      </c>
      <c r="M39" s="124">
        <f t="shared" ref="M39" si="17">L39+1</f>
        <v>2027</v>
      </c>
      <c r="N39" s="124">
        <f t="shared" ref="N39" si="18">M39+1</f>
        <v>2028</v>
      </c>
      <c r="O39" s="124">
        <f t="shared" ref="O39" si="19">N39+1</f>
        <v>2029</v>
      </c>
      <c r="P39" s="124">
        <f t="shared" ref="P39" si="20">O39+1</f>
        <v>2030</v>
      </c>
      <c r="Q39" s="124">
        <f t="shared" ref="Q39" si="21">P39+1</f>
        <v>2031</v>
      </c>
      <c r="R39" s="124">
        <f t="shared" ref="R39" si="22">Q39+1</f>
        <v>2032</v>
      </c>
      <c r="S39" s="124">
        <f t="shared" ref="S39" si="23">R39+1</f>
        <v>2033</v>
      </c>
      <c r="T39" s="124">
        <f t="shared" ref="T39" si="24">S39+1</f>
        <v>2034</v>
      </c>
      <c r="U39" s="124">
        <f>T39+1</f>
        <v>2035</v>
      </c>
      <c r="V39" s="124">
        <f>U39+1</f>
        <v>2036</v>
      </c>
    </row>
    <row r="40" spans="3:22" x14ac:dyDescent="0.25">
      <c r="C40" s="211" t="s">
        <v>110</v>
      </c>
      <c r="D40" s="114"/>
      <c r="F40" s="156">
        <f>'Output - 10yr Solar'!F13</f>
        <v>21.739352555095429</v>
      </c>
      <c r="G40" s="156">
        <f>'Output - 10yr Solar'!G13</f>
        <v>22.282836368972813</v>
      </c>
      <c r="H40" s="156">
        <f>'Output - 10yr Solar'!H13</f>
        <v>22.839907278197128</v>
      </c>
      <c r="I40" s="156">
        <f>'Output - 10yr Solar'!I13</f>
        <v>23.410904960152056</v>
      </c>
      <c r="J40" s="156">
        <f>'Output - 10yr Solar'!J13</f>
        <v>23.996177584155856</v>
      </c>
      <c r="K40" s="156">
        <f>'Output - 10yr Solar'!K13</f>
        <v>24.596082023759749</v>
      </c>
      <c r="L40" s="156">
        <f>'Output - 10yr Solar'!L13</f>
        <v>25.210984074353743</v>
      </c>
      <c r="M40" s="156">
        <f>'Output - 10yr Solar'!M13</f>
        <v>25.841258676212579</v>
      </c>
      <c r="N40" s="156">
        <f>'Output - 10yr Solar'!N13</f>
        <v>26.487290143117892</v>
      </c>
      <c r="O40" s="156">
        <f>'Output - 10yr Solar'!O13</f>
        <v>27.149472396695835</v>
      </c>
      <c r="P40" s="207">
        <f>'Output - 10yr Solar'!P13</f>
        <v>27.828209206613227</v>
      </c>
      <c r="Q40" s="207">
        <f>'Output - 10yr Solar'!Q13</f>
        <v>28.523914436778554</v>
      </c>
      <c r="R40" s="207"/>
      <c r="S40" s="207"/>
      <c r="T40" s="207"/>
      <c r="U40" s="207"/>
      <c r="V40" s="207"/>
    </row>
    <row r="41" spans="3:22" x14ac:dyDescent="0.25">
      <c r="C41" s="211" t="s">
        <v>111</v>
      </c>
      <c r="D41" s="114"/>
      <c r="F41" s="156">
        <f>'Output - 15yr Solar'!F13</f>
        <v>21.679029805300178</v>
      </c>
      <c r="G41" s="157">
        <f>'Output - 15yr Solar'!G13</f>
        <v>22.221005550432679</v>
      </c>
      <c r="H41" s="158">
        <f>'Output - 15yr Solar'!H13</f>
        <v>22.776530689193493</v>
      </c>
      <c r="I41" s="158">
        <f>'Output - 15yr Solar'!I13</f>
        <v>23.34594395642333</v>
      </c>
      <c r="J41" s="158">
        <f>'Output - 15yr Solar'!J13</f>
        <v>23.929592555333912</v>
      </c>
      <c r="K41" s="158">
        <f>'Output - 15yr Solar'!K13</f>
        <v>24.527832369217258</v>
      </c>
      <c r="L41" s="158">
        <f>'Output - 15yr Solar'!L13</f>
        <v>25.141028178447684</v>
      </c>
      <c r="M41" s="158">
        <f>'Output - 15yr Solar'!M13</f>
        <v>25.769553882908877</v>
      </c>
      <c r="N41" s="158">
        <f>'Output - 15yr Solar'!N13</f>
        <v>26.413792729981594</v>
      </c>
      <c r="O41" s="158">
        <f>'Output - 15yr Solar'!O13</f>
        <v>27.074137548231135</v>
      </c>
      <c r="P41" s="158">
        <f>'Output - 15yr Solar'!P13</f>
        <v>27.750990986936909</v>
      </c>
      <c r="Q41" s="158">
        <f>'Output - 15yr Solar'!Q13</f>
        <v>28.444765761610324</v>
      </c>
      <c r="R41" s="158">
        <f>'Output - 15yr Solar'!R13</f>
        <v>29.155884905650581</v>
      </c>
      <c r="S41" s="158">
        <f>'Output - 15yr Solar'!S13</f>
        <v>29.884782028291841</v>
      </c>
      <c r="T41" s="158">
        <f>'Output - 15yr Solar'!T13</f>
        <v>30.631901578999134</v>
      </c>
      <c r="U41" s="207">
        <f>'Output - 15yr Solar'!U13</f>
        <v>31.397699118474108</v>
      </c>
      <c r="V41" s="207">
        <f>'Output - 15yr Solar'!V13</f>
        <v>32.182641596435957</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7" workbookViewId="0">
      <selection activeCell="I34" sqref="I34"/>
    </sheetView>
  </sheetViews>
  <sheetFormatPr defaultColWidth="14.44140625" defaultRowHeight="15" x14ac:dyDescent="0.25"/>
  <cols>
    <col min="1" max="1" width="2.6640625" style="199" customWidth="1"/>
    <col min="2" max="2" width="4" style="199" bestFit="1" customWidth="1"/>
    <col min="3" max="3" width="30.88671875" style="199" customWidth="1"/>
    <col min="4" max="4" width="2.6640625" style="199" customWidth="1"/>
    <col min="5" max="5" width="10.44140625" style="199" customWidth="1"/>
    <col min="6" max="6" width="2.6640625" style="199" customWidth="1"/>
    <col min="7" max="7" width="9.44140625" style="199" customWidth="1"/>
    <col min="8" max="8" width="12.5546875" style="199" customWidth="1"/>
    <col min="9" max="9" width="17.6640625" style="199" customWidth="1"/>
    <col min="10" max="10" width="14.44140625" style="199" customWidth="1"/>
    <col min="11" max="11" width="17" style="199" customWidth="1"/>
    <col min="12" max="12" width="14.44140625" style="199" customWidth="1"/>
    <col min="13" max="13" width="16.33203125" style="199" bestFit="1" customWidth="1"/>
    <col min="14" max="14" width="15.6640625" style="199" customWidth="1"/>
    <col min="15" max="16" width="16.109375" style="199" customWidth="1"/>
    <col min="17" max="16384" width="14.44140625" style="199"/>
  </cols>
  <sheetData>
    <row r="1" spans="2:21" s="193" customFormat="1" x14ac:dyDescent="0.25"/>
    <row r="2" spans="2:21" s="193" customFormat="1" ht="15.6" x14ac:dyDescent="0.3">
      <c r="B2" s="194"/>
      <c r="C2" s="194"/>
      <c r="D2" s="194"/>
      <c r="E2" s="194"/>
      <c r="F2" s="194"/>
      <c r="G2" s="194"/>
      <c r="H2" s="194"/>
      <c r="I2" s="194"/>
      <c r="J2" s="195"/>
      <c r="K2" s="194"/>
      <c r="L2" s="194"/>
      <c r="M2" s="196"/>
      <c r="N2" s="194"/>
      <c r="O2" s="194"/>
      <c r="P2" s="194"/>
      <c r="Q2" s="194"/>
      <c r="R2" s="194"/>
      <c r="S2" s="194"/>
      <c r="T2" s="194"/>
      <c r="U2" s="194"/>
    </row>
    <row r="3" spans="2:21" ht="15.6" x14ac:dyDescent="0.3">
      <c r="B3" s="197"/>
      <c r="C3" s="197"/>
      <c r="D3" s="197"/>
      <c r="E3" s="197"/>
      <c r="F3" s="197"/>
      <c r="G3" s="197"/>
      <c r="H3" s="197"/>
      <c r="I3" s="197"/>
      <c r="J3" s="22"/>
      <c r="K3" s="194"/>
      <c r="L3" s="194"/>
      <c r="M3" s="198"/>
      <c r="N3" s="197"/>
      <c r="O3" s="197"/>
      <c r="P3" s="197"/>
      <c r="Q3" s="197"/>
      <c r="R3" s="197"/>
      <c r="S3" s="197"/>
      <c r="T3" s="197"/>
      <c r="U3" s="197"/>
    </row>
    <row r="4" spans="2:21" ht="66" customHeight="1" x14ac:dyDescent="0.3">
      <c r="B4" s="197"/>
      <c r="C4" s="197"/>
      <c r="D4" s="197"/>
      <c r="E4" s="197"/>
      <c r="F4" s="197"/>
      <c r="G4" s="23" t="s">
        <v>15</v>
      </c>
      <c r="H4" s="24" t="s">
        <v>1</v>
      </c>
      <c r="I4" s="25" t="s">
        <v>30</v>
      </c>
      <c r="J4" s="24" t="s">
        <v>54</v>
      </c>
      <c r="K4" s="25" t="s">
        <v>55</v>
      </c>
      <c r="L4" s="25" t="s">
        <v>56</v>
      </c>
      <c r="M4" s="24" t="s">
        <v>57</v>
      </c>
      <c r="N4" s="24" t="s">
        <v>36</v>
      </c>
      <c r="O4" s="24" t="s">
        <v>37</v>
      </c>
      <c r="P4" s="24" t="s">
        <v>31</v>
      </c>
      <c r="Q4" s="24"/>
      <c r="R4" s="23"/>
      <c r="S4" s="24"/>
      <c r="T4" s="24"/>
      <c r="U4" s="24"/>
    </row>
    <row r="5" spans="2:21" ht="15.6" x14ac:dyDescent="0.3">
      <c r="B5" s="180"/>
      <c r="C5" s="180"/>
      <c r="D5" s="180"/>
      <c r="E5" s="180"/>
      <c r="F5" s="180"/>
      <c r="G5" s="26"/>
      <c r="H5" s="26" t="s">
        <v>20</v>
      </c>
      <c r="I5" s="26" t="s">
        <v>60</v>
      </c>
      <c r="J5" s="26" t="s">
        <v>60</v>
      </c>
      <c r="K5" s="26" t="s">
        <v>60</v>
      </c>
      <c r="L5" s="26" t="s">
        <v>60</v>
      </c>
      <c r="M5" s="26" t="s">
        <v>60</v>
      </c>
      <c r="N5" s="26" t="s">
        <v>60</v>
      </c>
      <c r="O5" s="26" t="s">
        <v>60</v>
      </c>
      <c r="P5" s="26" t="s">
        <v>60</v>
      </c>
      <c r="Q5" s="23"/>
      <c r="R5" s="23"/>
      <c r="S5" s="23"/>
      <c r="T5" s="23"/>
      <c r="U5" s="23"/>
    </row>
    <row r="6" spans="2:21" ht="15.6" x14ac:dyDescent="0.3">
      <c r="B6" s="180"/>
      <c r="C6" s="28" t="s">
        <v>81</v>
      </c>
      <c r="D6" s="28"/>
      <c r="E6" s="181">
        <v>2.7E-2</v>
      </c>
      <c r="F6" s="51"/>
      <c r="G6" s="164" t="s">
        <v>22</v>
      </c>
      <c r="H6" s="164" t="s">
        <v>23</v>
      </c>
      <c r="I6" s="164" t="s">
        <v>24</v>
      </c>
      <c r="J6" s="164" t="s">
        <v>25</v>
      </c>
      <c r="K6" s="164" t="s">
        <v>26</v>
      </c>
      <c r="L6" s="164" t="s">
        <v>32</v>
      </c>
      <c r="M6" s="164" t="s">
        <v>27</v>
      </c>
      <c r="N6" s="164" t="s">
        <v>28</v>
      </c>
      <c r="O6" s="164" t="s">
        <v>40</v>
      </c>
      <c r="P6" s="164" t="s">
        <v>79</v>
      </c>
      <c r="Q6" s="27"/>
      <c r="R6" s="23"/>
      <c r="S6" s="197"/>
      <c r="T6" s="27"/>
      <c r="U6" s="23"/>
    </row>
    <row r="7" spans="2:21" ht="15.6" x14ac:dyDescent="0.3">
      <c r="B7" s="34"/>
      <c r="C7" s="28" t="s">
        <v>52</v>
      </c>
      <c r="D7" s="28"/>
      <c r="E7" s="182">
        <f>Rate_of_Return</f>
        <v>7.3899999999999993E-2</v>
      </c>
      <c r="F7" s="183"/>
      <c r="G7" s="173">
        <f>'Energy Prices'!C6</f>
        <v>2020</v>
      </c>
      <c r="H7" s="168">
        <v>1</v>
      </c>
      <c r="I7" s="184">
        <f>'Energy Prices'!P6</f>
        <v>19.48</v>
      </c>
      <c r="J7" s="184">
        <f>I7*$E$6</f>
        <v>0.52595999999999998</v>
      </c>
      <c r="K7" s="184">
        <v>0</v>
      </c>
      <c r="L7" s="184">
        <v>0</v>
      </c>
      <c r="M7" s="184">
        <v>0</v>
      </c>
      <c r="N7" s="184">
        <f>(I7+J7+K7+L7+M7)/((1+$E$7)^H7)</f>
        <v>18.629257845236985</v>
      </c>
      <c r="O7" s="184">
        <f>N7</f>
        <v>18.629257845236985</v>
      </c>
      <c r="P7" s="184">
        <f>(-PMT($E$7,H7,(O7),,1))</f>
        <v>18.629257845236982</v>
      </c>
      <c r="Q7" s="185"/>
      <c r="R7" s="186"/>
      <c r="S7" s="187"/>
      <c r="T7" s="188"/>
      <c r="U7" s="188"/>
    </row>
    <row r="8" spans="2:21" ht="15.6" x14ac:dyDescent="0.3">
      <c r="B8" s="180"/>
      <c r="C8" s="28" t="s">
        <v>53</v>
      </c>
      <c r="D8" s="28"/>
      <c r="E8" s="182">
        <v>2.5000000000000001E-2</v>
      </c>
      <c r="F8" s="183"/>
      <c r="G8" s="38">
        <f>G7+1</f>
        <v>2021</v>
      </c>
      <c r="H8" s="39">
        <v>2</v>
      </c>
      <c r="I8" s="189">
        <f>'Energy Prices'!P7</f>
        <v>22.85</v>
      </c>
      <c r="J8" s="189">
        <f t="shared" ref="J8:J25" si="0">I8*$E$6</f>
        <v>0.61695</v>
      </c>
      <c r="K8" s="189">
        <f>+$K$7</f>
        <v>0</v>
      </c>
      <c r="L8" s="189">
        <v>0</v>
      </c>
      <c r="M8" s="189">
        <v>0</v>
      </c>
      <c r="N8" s="189">
        <f t="shared" ref="N8:N25" si="1">(I8+J8+K8+L8+M8)/((1+$E$7)^H8)</f>
        <v>20.348338950895606</v>
      </c>
      <c r="O8" s="189">
        <f t="shared" ref="O8:O25" si="2">N8+O7</f>
        <v>38.977596796132588</v>
      </c>
      <c r="P8" s="189">
        <f t="shared" ref="P8:P27" si="3">(-PMT($E$7,H8,(O8),,1))</f>
        <v>20.183249529565927</v>
      </c>
      <c r="Q8" s="185"/>
      <c r="R8" s="186"/>
      <c r="S8" s="187"/>
      <c r="T8" s="188"/>
      <c r="U8" s="188"/>
    </row>
    <row r="9" spans="2:21" ht="15.6" x14ac:dyDescent="0.3">
      <c r="B9" s="180"/>
      <c r="C9" s="28"/>
      <c r="D9" s="28"/>
      <c r="E9" s="183"/>
      <c r="F9" s="190"/>
      <c r="G9" s="38">
        <f t="shared" ref="G9:G27" si="4">G8+1</f>
        <v>2022</v>
      </c>
      <c r="H9" s="39">
        <v>3</v>
      </c>
      <c r="I9" s="189">
        <f>'Energy Prices'!P8</f>
        <v>21.19</v>
      </c>
      <c r="J9" s="189">
        <f t="shared" si="0"/>
        <v>0.57213000000000003</v>
      </c>
      <c r="K9" s="189">
        <f t="shared" ref="K9:K27" si="5">+$K$7</f>
        <v>0</v>
      </c>
      <c r="L9" s="189">
        <v>0</v>
      </c>
      <c r="M9" s="189">
        <v>0</v>
      </c>
      <c r="N9" s="189">
        <f t="shared" si="1"/>
        <v>17.571541929708662</v>
      </c>
      <c r="O9" s="189">
        <f t="shared" si="2"/>
        <v>56.549138725841246</v>
      </c>
      <c r="P9" s="189">
        <f t="shared" si="3"/>
        <v>20.208450680845136</v>
      </c>
      <c r="Q9" s="185"/>
      <c r="R9" s="186"/>
      <c r="S9" s="187"/>
      <c r="T9" s="188"/>
      <c r="U9" s="188"/>
    </row>
    <row r="10" spans="2:21" x14ac:dyDescent="0.25">
      <c r="B10" s="180"/>
      <c r="C10" s="180"/>
      <c r="D10" s="180"/>
      <c r="E10" s="180"/>
      <c r="F10" s="183"/>
      <c r="G10" s="38">
        <f t="shared" si="4"/>
        <v>2023</v>
      </c>
      <c r="H10" s="39">
        <v>4</v>
      </c>
      <c r="I10" s="189">
        <f>'Energy Prices'!P9</f>
        <v>20.53</v>
      </c>
      <c r="J10" s="189">
        <f t="shared" si="0"/>
        <v>0.55430999999999997</v>
      </c>
      <c r="K10" s="189">
        <f t="shared" si="5"/>
        <v>0</v>
      </c>
      <c r="L10" s="189">
        <v>0</v>
      </c>
      <c r="M10" s="189">
        <v>0</v>
      </c>
      <c r="N10" s="189">
        <f t="shared" si="1"/>
        <v>15.852728560727012</v>
      </c>
      <c r="O10" s="189">
        <f t="shared" si="2"/>
        <v>72.401867286568262</v>
      </c>
      <c r="P10" s="189">
        <f t="shared" si="3"/>
        <v>20.079678998424544</v>
      </c>
      <c r="Q10" s="185"/>
      <c r="R10" s="186"/>
      <c r="S10" s="187"/>
      <c r="T10" s="188"/>
      <c r="U10" s="188"/>
    </row>
    <row r="11" spans="2:21" x14ac:dyDescent="0.25">
      <c r="B11" s="180"/>
      <c r="C11" s="180"/>
      <c r="D11" s="180"/>
      <c r="E11" s="180"/>
      <c r="F11" s="183"/>
      <c r="G11" s="38">
        <f t="shared" si="4"/>
        <v>2024</v>
      </c>
      <c r="H11" s="39">
        <v>5</v>
      </c>
      <c r="I11" s="189">
        <f>'Energy Prices'!P10</f>
        <v>19.79</v>
      </c>
      <c r="J11" s="189">
        <f t="shared" si="0"/>
        <v>0.53432999999999997</v>
      </c>
      <c r="K11" s="189">
        <f t="shared" si="5"/>
        <v>0</v>
      </c>
      <c r="L11" s="189">
        <v>0</v>
      </c>
      <c r="M11" s="189">
        <v>0</v>
      </c>
      <c r="N11" s="189">
        <f t="shared" si="1"/>
        <v>14.229741998905688</v>
      </c>
      <c r="O11" s="189">
        <f t="shared" si="2"/>
        <v>86.631609285473957</v>
      </c>
      <c r="P11" s="189">
        <f t="shared" si="3"/>
        <v>19.880571443947439</v>
      </c>
      <c r="Q11" s="185"/>
      <c r="R11" s="186"/>
      <c r="S11" s="187"/>
      <c r="T11" s="188"/>
      <c r="U11" s="188"/>
    </row>
    <row r="12" spans="2:21" x14ac:dyDescent="0.25">
      <c r="B12" s="197"/>
      <c r="C12" s="197"/>
      <c r="D12" s="197"/>
      <c r="E12" s="197"/>
      <c r="F12" s="180"/>
      <c r="G12" s="38">
        <f t="shared" si="4"/>
        <v>2025</v>
      </c>
      <c r="H12" s="39">
        <v>6</v>
      </c>
      <c r="I12" s="189">
        <f>'Energy Prices'!P11</f>
        <v>19.75</v>
      </c>
      <c r="J12" s="189">
        <f t="shared" si="0"/>
        <v>0.53325</v>
      </c>
      <c r="K12" s="189">
        <f t="shared" si="5"/>
        <v>0</v>
      </c>
      <c r="L12" s="189">
        <v>0</v>
      </c>
      <c r="M12" s="189">
        <v>0</v>
      </c>
      <c r="N12" s="189">
        <f>(I12+J12+K12+L12+M12)/((1+$E$7)^H12)</f>
        <v>13.223745711307179</v>
      </c>
      <c r="O12" s="189">
        <f t="shared" si="2"/>
        <v>99.855354996781131</v>
      </c>
      <c r="P12" s="189">
        <f t="shared" si="3"/>
        <v>19.743097631445217</v>
      </c>
      <c r="Q12" s="185"/>
      <c r="R12" s="186"/>
      <c r="S12" s="187"/>
      <c r="T12" s="188"/>
      <c r="U12" s="188"/>
    </row>
    <row r="13" spans="2:21" x14ac:dyDescent="0.25">
      <c r="B13" s="197"/>
      <c r="C13" s="197"/>
      <c r="D13" s="197"/>
      <c r="E13" s="197"/>
      <c r="F13" s="180"/>
      <c r="G13" s="38">
        <f t="shared" si="4"/>
        <v>2026</v>
      </c>
      <c r="H13" s="39">
        <v>7</v>
      </c>
      <c r="I13" s="189">
        <f>'Energy Prices'!P12</f>
        <v>19.97</v>
      </c>
      <c r="J13" s="189">
        <f t="shared" si="0"/>
        <v>0.53918999999999995</v>
      </c>
      <c r="K13" s="189">
        <f t="shared" si="5"/>
        <v>0</v>
      </c>
      <c r="L13" s="189">
        <v>0</v>
      </c>
      <c r="M13" s="189">
        <v>0</v>
      </c>
      <c r="N13" s="189">
        <f t="shared" si="1"/>
        <v>12.450924848849956</v>
      </c>
      <c r="O13" s="189">
        <f t="shared" si="2"/>
        <v>112.30627984563108</v>
      </c>
      <c r="P13" s="189">
        <f t="shared" si="3"/>
        <v>19.669421748857019</v>
      </c>
      <c r="Q13" s="185"/>
      <c r="R13" s="186"/>
      <c r="S13" s="187"/>
      <c r="T13" s="188"/>
      <c r="U13" s="188"/>
    </row>
    <row r="14" spans="2:21" x14ac:dyDescent="0.25">
      <c r="B14" s="197"/>
      <c r="C14" s="197"/>
      <c r="D14" s="197"/>
      <c r="E14" s="197"/>
      <c r="F14" s="183"/>
      <c r="G14" s="38">
        <f t="shared" si="4"/>
        <v>2027</v>
      </c>
      <c r="H14" s="39">
        <v>8</v>
      </c>
      <c r="I14" s="189">
        <f>'Energy Prices'!P13</f>
        <v>23.19</v>
      </c>
      <c r="J14" s="189">
        <f t="shared" si="0"/>
        <v>0.62613000000000008</v>
      </c>
      <c r="K14" s="189">
        <f t="shared" si="5"/>
        <v>0</v>
      </c>
      <c r="L14" s="189">
        <v>0</v>
      </c>
      <c r="M14" s="189">
        <v>0</v>
      </c>
      <c r="N14" s="189">
        <f>(I14+J14+K14+L14+M14)/((1+$E$7)^H14)</f>
        <v>13.463576836752964</v>
      </c>
      <c r="O14" s="189">
        <f t="shared" si="2"/>
        <v>125.76985668238405</v>
      </c>
      <c r="P14" s="189">
        <f t="shared" si="3"/>
        <v>19.910441251008066</v>
      </c>
      <c r="Q14" s="185"/>
      <c r="R14" s="186"/>
      <c r="S14" s="187"/>
      <c r="T14" s="188"/>
      <c r="U14" s="188"/>
    </row>
    <row r="15" spans="2:21" x14ac:dyDescent="0.25">
      <c r="B15" s="197"/>
      <c r="C15" s="197"/>
      <c r="D15" s="197"/>
      <c r="E15" s="197"/>
      <c r="F15" s="180"/>
      <c r="G15" s="38">
        <f t="shared" si="4"/>
        <v>2028</v>
      </c>
      <c r="H15" s="39">
        <v>9</v>
      </c>
      <c r="I15" s="189">
        <f>'Energy Prices'!P14</f>
        <v>24.42</v>
      </c>
      <c r="J15" s="189">
        <f t="shared" si="0"/>
        <v>0.65934000000000004</v>
      </c>
      <c r="K15" s="189">
        <f t="shared" si="5"/>
        <v>0</v>
      </c>
      <c r="L15" s="189">
        <v>0</v>
      </c>
      <c r="M15" s="189">
        <v>0</v>
      </c>
      <c r="N15" s="189">
        <f t="shared" si="1"/>
        <v>13.202054516769483</v>
      </c>
      <c r="O15" s="189">
        <f t="shared" si="2"/>
        <v>138.97191119915354</v>
      </c>
      <c r="P15" s="189">
        <f t="shared" si="3"/>
        <v>20.193264507427173</v>
      </c>
      <c r="Q15" s="185"/>
      <c r="R15" s="186"/>
      <c r="S15" s="187"/>
      <c r="T15" s="188"/>
      <c r="U15" s="188"/>
    </row>
    <row r="16" spans="2:21" x14ac:dyDescent="0.25">
      <c r="B16" s="197"/>
      <c r="C16" s="197"/>
      <c r="D16" s="197"/>
      <c r="E16" s="197"/>
      <c r="F16" s="191"/>
      <c r="G16" s="38">
        <f t="shared" si="4"/>
        <v>2029</v>
      </c>
      <c r="H16" s="39">
        <v>10</v>
      </c>
      <c r="I16" s="189">
        <f>'Energy Prices'!P15</f>
        <v>25.44</v>
      </c>
      <c r="J16" s="189">
        <f t="shared" si="0"/>
        <v>0.68688000000000005</v>
      </c>
      <c r="K16" s="189">
        <f t="shared" si="5"/>
        <v>0</v>
      </c>
      <c r="L16" s="189">
        <v>0</v>
      </c>
      <c r="M16" s="189">
        <v>0</v>
      </c>
      <c r="N16" s="189">
        <f t="shared" si="1"/>
        <v>12.807050640951292</v>
      </c>
      <c r="O16" s="189">
        <f t="shared" si="2"/>
        <v>151.77896184010484</v>
      </c>
      <c r="P16" s="189">
        <f t="shared" si="3"/>
        <v>20.487127178907496</v>
      </c>
      <c r="Q16" s="185"/>
      <c r="R16" s="186"/>
      <c r="S16" s="187"/>
      <c r="T16" s="188"/>
      <c r="U16" s="188"/>
    </row>
    <row r="17" spans="2:21" x14ac:dyDescent="0.25">
      <c r="B17" s="197"/>
      <c r="C17" s="197"/>
      <c r="D17" s="197"/>
      <c r="E17" s="197"/>
      <c r="F17" s="192"/>
      <c r="G17" s="38">
        <f t="shared" si="4"/>
        <v>2030</v>
      </c>
      <c r="H17" s="39">
        <v>11</v>
      </c>
      <c r="I17" s="189">
        <f>'Energy Prices'!P16</f>
        <v>25.05</v>
      </c>
      <c r="J17" s="189">
        <f t="shared" si="0"/>
        <v>0.67635000000000001</v>
      </c>
      <c r="K17" s="189">
        <f t="shared" si="5"/>
        <v>0</v>
      </c>
      <c r="L17" s="189">
        <v>0</v>
      </c>
      <c r="M17" s="189">
        <v>0</v>
      </c>
      <c r="N17" s="189">
        <f t="shared" si="1"/>
        <v>11.742914738989533</v>
      </c>
      <c r="O17" s="189">
        <f t="shared" si="2"/>
        <v>163.52187657909437</v>
      </c>
      <c r="P17" s="189">
        <f t="shared" si="3"/>
        <v>20.702402890817726</v>
      </c>
      <c r="Q17" s="185"/>
      <c r="R17" s="186"/>
      <c r="S17" s="187"/>
      <c r="T17" s="188"/>
      <c r="U17" s="188"/>
    </row>
    <row r="18" spans="2:21" x14ac:dyDescent="0.25">
      <c r="B18" s="197"/>
      <c r="C18" s="197"/>
      <c r="D18" s="197"/>
      <c r="E18" s="197"/>
      <c r="F18" s="192"/>
      <c r="G18" s="38">
        <f t="shared" si="4"/>
        <v>2031</v>
      </c>
      <c r="H18" s="39">
        <v>12</v>
      </c>
      <c r="I18" s="189">
        <f>'Energy Prices'!P17</f>
        <v>24.78</v>
      </c>
      <c r="J18" s="189">
        <f t="shared" si="0"/>
        <v>0.66905999999999999</v>
      </c>
      <c r="K18" s="189">
        <f t="shared" si="5"/>
        <v>0</v>
      </c>
      <c r="L18" s="189">
        <v>0</v>
      </c>
      <c r="M18" s="189">
        <v>0</v>
      </c>
      <c r="N18" s="189">
        <f t="shared" si="1"/>
        <v>10.81697029563782</v>
      </c>
      <c r="O18" s="189">
        <f t="shared" si="2"/>
        <v>174.33884687473218</v>
      </c>
      <c r="P18" s="189">
        <f t="shared" si="3"/>
        <v>20.866045774917179</v>
      </c>
      <c r="Q18" s="185"/>
      <c r="R18" s="186"/>
      <c r="S18" s="187"/>
      <c r="T18" s="188"/>
      <c r="U18" s="188"/>
    </row>
    <row r="19" spans="2:21" x14ac:dyDescent="0.25">
      <c r="B19" s="197"/>
      <c r="C19" s="197"/>
      <c r="D19" s="197"/>
      <c r="E19" s="197"/>
      <c r="F19" s="192"/>
      <c r="G19" s="38">
        <f t="shared" si="4"/>
        <v>2032</v>
      </c>
      <c r="H19" s="39">
        <v>13</v>
      </c>
      <c r="I19" s="189">
        <f>'Energy Prices'!P18</f>
        <v>25.38</v>
      </c>
      <c r="J19" s="189">
        <f>I19*$E$6</f>
        <v>0.68525999999999998</v>
      </c>
      <c r="K19" s="189">
        <f t="shared" si="5"/>
        <v>0</v>
      </c>
      <c r="L19" s="189">
        <v>0</v>
      </c>
      <c r="M19" s="189">
        <v>0</v>
      </c>
      <c r="N19" s="189">
        <f t="shared" si="1"/>
        <v>10.316493536952832</v>
      </c>
      <c r="O19" s="189">
        <f t="shared" si="2"/>
        <v>184.65534041168502</v>
      </c>
      <c r="P19" s="189">
        <f t="shared" si="3"/>
        <v>21.03090622110027</v>
      </c>
      <c r="Q19" s="185"/>
      <c r="R19" s="186"/>
      <c r="S19" s="187"/>
      <c r="T19" s="188"/>
      <c r="U19" s="188"/>
    </row>
    <row r="20" spans="2:21" x14ac:dyDescent="0.25">
      <c r="B20" s="197"/>
      <c r="C20" s="197"/>
      <c r="D20" s="197"/>
      <c r="E20" s="197"/>
      <c r="F20" s="192"/>
      <c r="G20" s="38">
        <f t="shared" si="4"/>
        <v>2033</v>
      </c>
      <c r="H20" s="39">
        <v>14</v>
      </c>
      <c r="I20" s="189">
        <f>'Energy Prices'!P19</f>
        <v>26.69</v>
      </c>
      <c r="J20" s="189">
        <f t="shared" si="0"/>
        <v>0.72062999999999999</v>
      </c>
      <c r="K20" s="189">
        <f t="shared" si="5"/>
        <v>0</v>
      </c>
      <c r="L20" s="189">
        <v>0</v>
      </c>
      <c r="M20" s="189">
        <v>0</v>
      </c>
      <c r="N20" s="189">
        <f t="shared" si="1"/>
        <v>10.102415442872259</v>
      </c>
      <c r="O20" s="189">
        <f t="shared" si="2"/>
        <v>194.75775585455727</v>
      </c>
      <c r="P20" s="189">
        <f t="shared" si="3"/>
        <v>21.224726606445813</v>
      </c>
      <c r="Q20" s="185"/>
      <c r="R20" s="186"/>
      <c r="S20" s="187"/>
      <c r="T20" s="188"/>
      <c r="U20" s="188"/>
    </row>
    <row r="21" spans="2:21" x14ac:dyDescent="0.25">
      <c r="B21" s="197"/>
      <c r="C21" s="197"/>
      <c r="D21" s="197"/>
      <c r="E21" s="197"/>
      <c r="F21" s="192"/>
      <c r="G21" s="37">
        <f t="shared" si="4"/>
        <v>2034</v>
      </c>
      <c r="H21" s="37">
        <v>15</v>
      </c>
      <c r="I21" s="189">
        <f>'Energy Prices'!P20</f>
        <v>27.4</v>
      </c>
      <c r="J21" s="189">
        <f t="shared" si="0"/>
        <v>0.7397999999999999</v>
      </c>
      <c r="K21" s="189">
        <f t="shared" si="5"/>
        <v>0</v>
      </c>
      <c r="L21" s="189">
        <v>0</v>
      </c>
      <c r="M21" s="189">
        <v>0</v>
      </c>
      <c r="N21" s="189">
        <f>(I21+J21+K21+L21+M21)/((1+$E$7)^H21)</f>
        <v>9.6574700671238425</v>
      </c>
      <c r="O21" s="189">
        <f>N21+O20</f>
        <v>204.41522592168113</v>
      </c>
      <c r="P21" s="189">
        <f t="shared" si="3"/>
        <v>21.416974764849531</v>
      </c>
      <c r="Q21" s="185"/>
      <c r="R21" s="186"/>
      <c r="S21" s="187"/>
      <c r="T21" s="188"/>
      <c r="U21" s="188"/>
    </row>
    <row r="22" spans="2:21" x14ac:dyDescent="0.25">
      <c r="B22" s="197"/>
      <c r="C22" s="197"/>
      <c r="D22" s="197"/>
      <c r="E22" s="197"/>
      <c r="F22" s="192"/>
      <c r="G22" s="38">
        <f t="shared" si="4"/>
        <v>2035</v>
      </c>
      <c r="H22" s="39">
        <v>16</v>
      </c>
      <c r="I22" s="189">
        <f>'Energy Prices'!P21</f>
        <v>28.25</v>
      </c>
      <c r="J22" s="189">
        <f t="shared" si="0"/>
        <v>0.76275000000000004</v>
      </c>
      <c r="K22" s="189">
        <f t="shared" si="5"/>
        <v>0</v>
      </c>
      <c r="L22" s="189">
        <v>0</v>
      </c>
      <c r="M22" s="189">
        <v>0</v>
      </c>
      <c r="N22" s="189">
        <f t="shared" si="1"/>
        <v>9.2718717912761033</v>
      </c>
      <c r="O22" s="189">
        <f t="shared" si="2"/>
        <v>213.68709771295724</v>
      </c>
      <c r="P22" s="189">
        <f t="shared" si="3"/>
        <v>21.611321450982938</v>
      </c>
      <c r="Q22" s="185"/>
      <c r="R22" s="186"/>
      <c r="S22" s="187"/>
      <c r="T22" s="188"/>
      <c r="U22" s="188"/>
    </row>
    <row r="23" spans="2:21" x14ac:dyDescent="0.25">
      <c r="B23" s="197"/>
      <c r="C23" s="197"/>
      <c r="D23" s="197"/>
      <c r="E23" s="197"/>
      <c r="F23" s="192"/>
      <c r="G23" s="38">
        <f t="shared" si="4"/>
        <v>2036</v>
      </c>
      <c r="H23" s="39">
        <v>17</v>
      </c>
      <c r="I23" s="189">
        <f>'Energy Prices'!P22</f>
        <v>29.71</v>
      </c>
      <c r="J23" s="189">
        <f t="shared" si="0"/>
        <v>0.80217000000000005</v>
      </c>
      <c r="K23" s="189">
        <f t="shared" si="5"/>
        <v>0</v>
      </c>
      <c r="L23" s="189">
        <v>0</v>
      </c>
      <c r="M23" s="189">
        <v>0</v>
      </c>
      <c r="N23" s="189">
        <f t="shared" si="1"/>
        <v>9.080040277272829</v>
      </c>
      <c r="O23" s="189">
        <f t="shared" si="2"/>
        <v>222.76713799023008</v>
      </c>
      <c r="P23" s="189">
        <f t="shared" si="3"/>
        <v>21.824258015462373</v>
      </c>
      <c r="Q23" s="185"/>
      <c r="R23" s="186"/>
      <c r="S23" s="187"/>
      <c r="T23" s="188"/>
      <c r="U23" s="188"/>
    </row>
    <row r="24" spans="2:21" x14ac:dyDescent="0.25">
      <c r="B24" s="197"/>
      <c r="C24" s="197"/>
      <c r="D24" s="197"/>
      <c r="E24" s="197"/>
      <c r="F24" s="192"/>
      <c r="G24" s="38">
        <f t="shared" si="4"/>
        <v>2037</v>
      </c>
      <c r="H24" s="39">
        <v>18</v>
      </c>
      <c r="I24" s="189">
        <f>'Energy Prices'!P23</f>
        <v>29.43</v>
      </c>
      <c r="J24" s="189">
        <f t="shared" si="0"/>
        <v>0.79461000000000004</v>
      </c>
      <c r="K24" s="189">
        <f t="shared" si="5"/>
        <v>0</v>
      </c>
      <c r="L24" s="189">
        <v>0</v>
      </c>
      <c r="M24" s="189">
        <v>0</v>
      </c>
      <c r="N24" s="189">
        <f t="shared" si="1"/>
        <v>8.3755154267939655</v>
      </c>
      <c r="O24" s="189">
        <f t="shared" si="2"/>
        <v>231.14265341702404</v>
      </c>
      <c r="P24" s="189">
        <f t="shared" si="3"/>
        <v>22.003306666216289</v>
      </c>
      <c r="Q24" s="185"/>
      <c r="R24" s="186"/>
      <c r="S24" s="187"/>
      <c r="T24" s="188"/>
      <c r="U24" s="188"/>
    </row>
    <row r="25" spans="2:21" x14ac:dyDescent="0.25">
      <c r="B25" s="197"/>
      <c r="C25" s="197"/>
      <c r="D25" s="197"/>
      <c r="E25" s="197"/>
      <c r="F25" s="192"/>
      <c r="G25" s="38">
        <f t="shared" si="4"/>
        <v>2038</v>
      </c>
      <c r="H25" s="39">
        <v>19</v>
      </c>
      <c r="I25" s="189">
        <f>'Energy Prices'!P24</f>
        <v>29.33</v>
      </c>
      <c r="J25" s="189">
        <f t="shared" si="0"/>
        <v>0.79190999999999989</v>
      </c>
      <c r="K25" s="189">
        <f t="shared" si="5"/>
        <v>0</v>
      </c>
      <c r="L25" s="189">
        <v>0</v>
      </c>
      <c r="M25" s="189">
        <v>0</v>
      </c>
      <c r="N25" s="189">
        <f t="shared" si="1"/>
        <v>7.7726569689819405</v>
      </c>
      <c r="O25" s="189">
        <f t="shared" si="2"/>
        <v>238.91531038600598</v>
      </c>
      <c r="P25" s="189">
        <f t="shared" si="3"/>
        <v>22.158689482214587</v>
      </c>
      <c r="Q25" s="185"/>
      <c r="R25" s="186"/>
      <c r="S25" s="187"/>
      <c r="T25" s="188"/>
      <c r="U25" s="188"/>
    </row>
    <row r="26" spans="2:21" x14ac:dyDescent="0.25">
      <c r="B26" s="197"/>
      <c r="C26" s="197"/>
      <c r="D26" s="197"/>
      <c r="E26" s="197"/>
      <c r="F26" s="192"/>
      <c r="G26" s="38">
        <f t="shared" si="4"/>
        <v>2039</v>
      </c>
      <c r="H26" s="39">
        <v>20</v>
      </c>
      <c r="I26" s="189">
        <f>'Energy Prices'!P25</f>
        <v>29.12</v>
      </c>
      <c r="J26" s="189">
        <f t="shared" ref="J26" si="6">I26*$E$6</f>
        <v>0.78624000000000005</v>
      </c>
      <c r="K26" s="189">
        <f t="shared" si="5"/>
        <v>0</v>
      </c>
      <c r="L26" s="189">
        <v>0</v>
      </c>
      <c r="M26" s="189">
        <v>0</v>
      </c>
      <c r="N26" s="189">
        <f t="shared" ref="N26" si="7">(I26+J26+K26+L26+M26)/((1+$E$7)^H26)</f>
        <v>7.1859628336938153</v>
      </c>
      <c r="O26" s="189">
        <f t="shared" ref="O26" si="8">N26+O25</f>
        <v>246.10127321969981</v>
      </c>
      <c r="P26" s="189">
        <f t="shared" si="3"/>
        <v>22.291672078804169</v>
      </c>
      <c r="Q26" s="185"/>
      <c r="R26" s="186"/>
      <c r="S26" s="187"/>
      <c r="T26" s="188"/>
      <c r="U26" s="188"/>
    </row>
    <row r="27" spans="2:21" x14ac:dyDescent="0.25">
      <c r="C27" s="197"/>
      <c r="D27" s="197"/>
      <c r="E27" s="200"/>
      <c r="F27" s="197"/>
      <c r="G27" s="38">
        <f t="shared" si="4"/>
        <v>2040</v>
      </c>
      <c r="H27" s="37">
        <v>21</v>
      </c>
      <c r="I27" s="189">
        <f>'Energy Prices'!P26</f>
        <v>29.38</v>
      </c>
      <c r="J27" s="189">
        <f>I27*$E$6</f>
        <v>0.79325999999999997</v>
      </c>
      <c r="K27" s="189">
        <f t="shared" si="5"/>
        <v>0</v>
      </c>
      <c r="L27" s="189">
        <v>0</v>
      </c>
      <c r="M27" s="189">
        <v>0</v>
      </c>
      <c r="N27" s="189">
        <f>(I27+J27+K27+L27+M27)/((1+$E$7)^H27)</f>
        <v>6.75120887991201</v>
      </c>
      <c r="O27" s="189">
        <f>N27+O26</f>
        <v>252.85248209961182</v>
      </c>
      <c r="P27" s="189">
        <f t="shared" si="3"/>
        <v>22.41532952440199</v>
      </c>
      <c r="Q27" s="185"/>
      <c r="R27" s="186"/>
      <c r="S27" s="187"/>
      <c r="T27" s="188"/>
      <c r="U27" s="188"/>
    </row>
    <row r="28" spans="2:21" x14ac:dyDescent="0.25">
      <c r="C28" s="197"/>
      <c r="D28" s="197"/>
      <c r="E28" s="200"/>
      <c r="F28" s="197"/>
      <c r="G28" s="38"/>
      <c r="H28" s="37"/>
      <c r="I28" s="197"/>
      <c r="J28" s="197"/>
      <c r="K28" s="197"/>
      <c r="L28" s="197"/>
      <c r="M28" s="197"/>
      <c r="N28" s="197"/>
      <c r="O28" s="197"/>
      <c r="P28" s="197"/>
      <c r="Q28" s="185"/>
      <c r="R28" s="186"/>
      <c r="S28" s="187"/>
      <c r="T28" s="188"/>
      <c r="U28" s="188"/>
    </row>
    <row r="29" spans="2:21" ht="15.6" x14ac:dyDescent="0.3">
      <c r="B29" s="28" t="s">
        <v>25</v>
      </c>
      <c r="C29" s="53" t="s">
        <v>82</v>
      </c>
      <c r="D29" s="197"/>
      <c r="E29" s="200"/>
      <c r="F29" s="197"/>
      <c r="H29" s="197"/>
      <c r="I29" s="197"/>
      <c r="J29" s="197"/>
      <c r="K29" s="197"/>
      <c r="L29" s="197"/>
      <c r="M29" s="197"/>
      <c r="N29" s="197"/>
      <c r="O29" s="197"/>
      <c r="P29" s="197"/>
      <c r="Q29" s="185"/>
      <c r="R29" s="186"/>
      <c r="S29" s="187"/>
      <c r="T29" s="188"/>
      <c r="U29" s="188"/>
    </row>
    <row r="30" spans="2:21" ht="15.6" x14ac:dyDescent="0.3">
      <c r="B30" s="28"/>
      <c r="C30" s="57" t="s">
        <v>83</v>
      </c>
      <c r="D30" s="197"/>
      <c r="E30" s="200"/>
      <c r="F30" s="197"/>
      <c r="H30" s="197"/>
      <c r="I30" s="197"/>
      <c r="J30" s="197"/>
      <c r="K30" s="197"/>
      <c r="L30" s="197"/>
      <c r="M30" s="197"/>
      <c r="N30" s="197"/>
      <c r="O30" s="197"/>
      <c r="P30" s="197"/>
      <c r="Q30" s="185"/>
      <c r="R30" s="186"/>
      <c r="S30" s="187"/>
      <c r="T30" s="188"/>
      <c r="U30" s="188"/>
    </row>
    <row r="31" spans="2:21" ht="15.6" x14ac:dyDescent="0.3">
      <c r="B31" s="28"/>
      <c r="C31" s="53"/>
      <c r="D31" s="53"/>
      <c r="F31" s="197"/>
      <c r="Q31" s="197"/>
      <c r="R31" s="197"/>
      <c r="S31" s="197"/>
      <c r="T31" s="197"/>
      <c r="U31" s="197"/>
    </row>
    <row r="32" spans="2:21" ht="15.6" x14ac:dyDescent="0.3">
      <c r="B32" s="22"/>
    </row>
    <row r="33" spans="2:2" ht="15.6" x14ac:dyDescent="0.3">
      <c r="B33" s="28"/>
    </row>
  </sheetData>
  <phoneticPr fontId="13" type="noConversion"/>
  <hyperlinks>
    <hyperlink ref="C30"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0"/>
  <sheetViews>
    <sheetView topLeftCell="I4" workbookViewId="0">
      <selection activeCell="L20" sqref="L20"/>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71"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7"/>
    </row>
    <row r="4" spans="1:24" ht="62.4" x14ac:dyDescent="0.3">
      <c r="F4" s="15" t="s">
        <v>15</v>
      </c>
      <c r="G4" s="16" t="s">
        <v>1</v>
      </c>
      <c r="H4" s="17" t="s">
        <v>16</v>
      </c>
      <c r="I4" s="16" t="s">
        <v>17</v>
      </c>
      <c r="J4" s="16" t="s">
        <v>18</v>
      </c>
      <c r="K4" s="3" t="s">
        <v>19</v>
      </c>
      <c r="L4" s="3" t="s">
        <v>19</v>
      </c>
      <c r="M4" s="3" t="s">
        <v>19</v>
      </c>
      <c r="O4" s="17" t="s">
        <v>80</v>
      </c>
      <c r="P4" s="17" t="s">
        <v>57</v>
      </c>
      <c r="Q4" s="16" t="s">
        <v>17</v>
      </c>
      <c r="R4" s="16" t="s">
        <v>18</v>
      </c>
      <c r="S4" s="3" t="s">
        <v>19</v>
      </c>
      <c r="T4" s="3" t="s">
        <v>19</v>
      </c>
      <c r="U4" s="3" t="s">
        <v>19</v>
      </c>
      <c r="W4" s="249" t="s">
        <v>19</v>
      </c>
      <c r="X4" s="250" t="s">
        <v>19</v>
      </c>
    </row>
    <row r="5" spans="1:24" ht="15.6" x14ac:dyDescent="0.3">
      <c r="B5" s="50"/>
      <c r="C5" s="50"/>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251" t="s">
        <v>38</v>
      </c>
      <c r="X5" s="252" t="s">
        <v>39</v>
      </c>
    </row>
    <row r="6" spans="1:24" ht="15.6" x14ac:dyDescent="0.3">
      <c r="A6" s="172"/>
      <c r="B6" s="172"/>
      <c r="C6" s="165" t="s">
        <v>21</v>
      </c>
      <c r="D6" s="203">
        <v>27.33</v>
      </c>
      <c r="E6" s="45"/>
      <c r="F6" s="170" t="s">
        <v>22</v>
      </c>
      <c r="G6" s="170" t="s">
        <v>23</v>
      </c>
      <c r="H6" s="170" t="s">
        <v>24</v>
      </c>
      <c r="I6" s="170" t="s">
        <v>32</v>
      </c>
      <c r="J6" s="170" t="s">
        <v>27</v>
      </c>
      <c r="K6" s="170" t="s">
        <v>28</v>
      </c>
      <c r="L6" s="170" t="s">
        <v>40</v>
      </c>
      <c r="M6" s="170" t="s">
        <v>79</v>
      </c>
      <c r="O6" s="170" t="s">
        <v>25</v>
      </c>
      <c r="P6" s="170" t="s">
        <v>26</v>
      </c>
      <c r="Q6" s="170" t="s">
        <v>32</v>
      </c>
      <c r="R6" s="170" t="s">
        <v>27</v>
      </c>
      <c r="S6" s="170" t="s">
        <v>28</v>
      </c>
      <c r="T6" s="170" t="s">
        <v>40</v>
      </c>
      <c r="U6" s="170" t="s">
        <v>79</v>
      </c>
      <c r="W6" s="253" t="s">
        <v>40</v>
      </c>
      <c r="X6" s="254" t="s">
        <v>79</v>
      </c>
    </row>
    <row r="7" spans="1:24" ht="15.6" x14ac:dyDescent="0.3">
      <c r="A7" s="172"/>
      <c r="B7" s="50"/>
      <c r="C7" s="20" t="s">
        <v>29</v>
      </c>
      <c r="D7" s="46">
        <v>0</v>
      </c>
      <c r="E7" s="47"/>
      <c r="F7" s="173">
        <f>'Capacity Delivered'!C7</f>
        <v>2020</v>
      </c>
      <c r="G7" s="168">
        <v>1</v>
      </c>
      <c r="H7" s="174">
        <f>'Capacity Delivered'!G7</f>
        <v>89</v>
      </c>
      <c r="I7" s="32">
        <f>SUM(H7)/((1+$D$8)^G7)</f>
        <v>82.875500512151959</v>
      </c>
      <c r="J7" s="169">
        <f>I7</f>
        <v>82.875500512151959</v>
      </c>
      <c r="K7" s="41">
        <f>(-PMT($D$8,G7,(J7),,1))</f>
        <v>82.875500512151945</v>
      </c>
      <c r="L7" s="169">
        <f>+K7/'Capacity Delivered'!N8*1000</f>
        <v>9.4606735744465702</v>
      </c>
      <c r="M7" s="247">
        <f t="shared" ref="M7:M27" si="0">L7/1000</f>
        <v>9.4606735744465695E-3</v>
      </c>
      <c r="O7" s="179">
        <f>D13</f>
        <v>33.298951188946049</v>
      </c>
      <c r="P7" s="179">
        <f t="shared" ref="P7:P27" si="1">(H7+O7)*$D$7</f>
        <v>0</v>
      </c>
      <c r="Q7" s="179">
        <f t="shared" ref="Q7:Q27" si="2">SUM(O7:P7)/((1+$D$8)^G7)</f>
        <v>31.007497149591252</v>
      </c>
      <c r="R7" s="179">
        <f>Q7</f>
        <v>31.007497149591252</v>
      </c>
      <c r="S7" s="174">
        <f>(-PMT($D$8,G7,(R7),,1))</f>
        <v>31.007497149591245</v>
      </c>
      <c r="T7" s="169">
        <f>+S7/'Capacity Delivered'!L7*1000</f>
        <v>3.5299973986328834</v>
      </c>
      <c r="U7" s="247">
        <f t="shared" ref="U7:U20" si="3">T7/1000</f>
        <v>3.5299973986328832E-3</v>
      </c>
      <c r="W7" s="255">
        <f>L7+T7</f>
        <v>12.990670973079453</v>
      </c>
      <c r="X7" s="256">
        <f t="shared" ref="X7:X20" si="4">W7/1000</f>
        <v>1.2990670973079453E-2</v>
      </c>
    </row>
    <row r="8" spans="1:24" ht="15.6" x14ac:dyDescent="0.3">
      <c r="A8" s="172"/>
      <c r="B8" s="50"/>
      <c r="C8" s="20" t="s">
        <v>33</v>
      </c>
      <c r="D8" s="46">
        <f>Rate_of_Return</f>
        <v>7.3899999999999993E-2</v>
      </c>
      <c r="E8" s="47"/>
      <c r="F8" s="38">
        <f>F7+1</f>
        <v>2021</v>
      </c>
      <c r="G8" s="39">
        <v>2</v>
      </c>
      <c r="H8" s="174">
        <f>'Capacity Delivered'!G8</f>
        <v>89</v>
      </c>
      <c r="I8" s="40">
        <f t="shared" ref="I8:I27" si="5">SUM(H8)/((1+$D$8)^G8)</f>
        <v>77.172456012805625</v>
      </c>
      <c r="J8" s="41">
        <f t="shared" ref="J8:J26" si="6">J7+I8</f>
        <v>160.04795652495758</v>
      </c>
      <c r="K8" s="41">
        <f t="shared" ref="K8:K27" si="7">(-PMT($D$8,G8,(J8),,1))</f>
        <v>82.875500512151945</v>
      </c>
      <c r="L8" s="41">
        <f>+K8/'Capacity Delivered'!N9*1000</f>
        <v>9.4606735744465702</v>
      </c>
      <c r="M8" s="248">
        <f t="shared" si="0"/>
        <v>9.4606735744465695E-3</v>
      </c>
      <c r="O8" s="174">
        <f t="shared" ref="O8:O27" si="8">O7+(O7*$D$9)</f>
        <v>34.131424968669698</v>
      </c>
      <c r="P8" s="174">
        <f t="shared" si="1"/>
        <v>0</v>
      </c>
      <c r="Q8" s="174">
        <f t="shared" si="2"/>
        <v>29.595571820775707</v>
      </c>
      <c r="R8" s="174">
        <f t="shared" ref="R8:R12" si="9">R7+Q8</f>
        <v>60.603068970366962</v>
      </c>
      <c r="S8" s="174">
        <f t="shared" ref="S8:S27" si="10">(-PMT($D$8,G8,(R8),,1))</f>
        <v>31.381279602332352</v>
      </c>
      <c r="T8" s="41">
        <f>+S8/'Capacity Delivered'!L8*1000</f>
        <v>3.582337854147529</v>
      </c>
      <c r="U8" s="248">
        <f t="shared" si="3"/>
        <v>3.5823378541475289E-3</v>
      </c>
      <c r="W8" s="255">
        <f t="shared" ref="W8:W27" si="11">L8+T8</f>
        <v>13.043011428594099</v>
      </c>
      <c r="X8" s="256">
        <f t="shared" si="4"/>
        <v>1.30430114285941E-2</v>
      </c>
    </row>
    <row r="9" spans="1:24" ht="15.6" x14ac:dyDescent="0.3">
      <c r="A9" s="172"/>
      <c r="B9" s="50"/>
      <c r="C9" s="20" t="s">
        <v>34</v>
      </c>
      <c r="D9" s="46">
        <v>2.5000000000000001E-2</v>
      </c>
      <c r="E9" s="49"/>
      <c r="F9" s="38">
        <f t="shared" ref="F9:F27" si="12">F8+1</f>
        <v>2022</v>
      </c>
      <c r="G9" s="39">
        <v>3</v>
      </c>
      <c r="H9" s="174">
        <f>'Capacity Delivered'!G9</f>
        <v>89</v>
      </c>
      <c r="I9" s="40">
        <f t="shared" si="5"/>
        <v>71.86186424509323</v>
      </c>
      <c r="J9" s="41">
        <f t="shared" si="6"/>
        <v>231.90982077005083</v>
      </c>
      <c r="K9" s="41">
        <f t="shared" si="7"/>
        <v>82.875500512151959</v>
      </c>
      <c r="L9" s="41">
        <f>+K9/'Capacity Delivered'!N10*1000</f>
        <v>9.460673574446572</v>
      </c>
      <c r="M9" s="248">
        <f t="shared" si="0"/>
        <v>9.4606735744465712E-3</v>
      </c>
      <c r="O9" s="174">
        <f t="shared" si="8"/>
        <v>34.984710592886444</v>
      </c>
      <c r="P9" s="174">
        <f t="shared" si="1"/>
        <v>0</v>
      </c>
      <c r="Q9" s="174">
        <f t="shared" si="2"/>
        <v>28.247938463818887</v>
      </c>
      <c r="R9" s="174">
        <f t="shared" si="9"/>
        <v>88.851007434185846</v>
      </c>
      <c r="S9" s="174">
        <f t="shared" si="10"/>
        <v>31.75187530940487</v>
      </c>
      <c r="T9" s="41">
        <f>+S9/'Capacity Delivered'!L9*1000</f>
        <v>3.6246433001603733</v>
      </c>
      <c r="U9" s="248">
        <f t="shared" si="3"/>
        <v>3.6246433001603734E-3</v>
      </c>
      <c r="W9" s="255">
        <f t="shared" si="11"/>
        <v>13.085316874606946</v>
      </c>
      <c r="X9" s="256">
        <f t="shared" si="4"/>
        <v>1.3085316874606946E-2</v>
      </c>
    </row>
    <row r="10" spans="1:24" ht="15.6" x14ac:dyDescent="0.3">
      <c r="B10" s="50"/>
      <c r="C10" s="20"/>
      <c r="D10" s="51"/>
      <c r="E10" s="47"/>
      <c r="F10" s="38">
        <f t="shared" si="12"/>
        <v>2023</v>
      </c>
      <c r="G10" s="39">
        <v>4</v>
      </c>
      <c r="H10" s="174">
        <f>'Capacity Delivered'!G10</f>
        <v>93</v>
      </c>
      <c r="I10" s="40">
        <f t="shared" si="5"/>
        <v>69.924211707549929</v>
      </c>
      <c r="J10" s="41">
        <f t="shared" si="6"/>
        <v>301.83403247760077</v>
      </c>
      <c r="K10" s="41">
        <f t="shared" si="7"/>
        <v>83.70958802708445</v>
      </c>
      <c r="L10" s="41">
        <f>+K10/'Capacity Delivered'!N11*1000</f>
        <v>9.5297800577281944</v>
      </c>
      <c r="M10" s="248">
        <f t="shared" si="0"/>
        <v>9.5297800577281936E-3</v>
      </c>
      <c r="O10" s="174">
        <f t="shared" si="8"/>
        <v>35.859328357708605</v>
      </c>
      <c r="P10" s="174">
        <f t="shared" si="1"/>
        <v>0</v>
      </c>
      <c r="Q10" s="174">
        <f t="shared" si="2"/>
        <v>26.961669545967368</v>
      </c>
      <c r="R10" s="174">
        <f t="shared" si="9"/>
        <v>115.81267698015321</v>
      </c>
      <c r="S10" s="174">
        <f t="shared" si="10"/>
        <v>32.119080140646084</v>
      </c>
      <c r="T10" s="41">
        <f>+S10/'Capacity Delivered'!L10*1000</f>
        <v>3.6665616598911055</v>
      </c>
      <c r="U10" s="248">
        <f t="shared" si="3"/>
        <v>3.6665616598911053E-3</v>
      </c>
      <c r="W10" s="255">
        <f t="shared" si="11"/>
        <v>13.196341717619299</v>
      </c>
      <c r="X10" s="256">
        <f t="shared" si="4"/>
        <v>1.3196341717619299E-2</v>
      </c>
    </row>
    <row r="11" spans="1:24" s="44" customFormat="1" ht="15.6" x14ac:dyDescent="0.3">
      <c r="B11" s="172"/>
      <c r="C11" s="165" t="str">
        <f>C6</f>
        <v>Deferred T&amp;D Cost Credit ($/kw-yr) (4):</v>
      </c>
      <c r="D11" s="206" t="s">
        <v>51</v>
      </c>
      <c r="E11" s="267"/>
      <c r="F11" s="37">
        <f t="shared" si="12"/>
        <v>2024</v>
      </c>
      <c r="G11" s="37">
        <v>5</v>
      </c>
      <c r="H11" s="174">
        <f>'Capacity Delivered'!G11</f>
        <v>93</v>
      </c>
      <c r="I11" s="268">
        <f t="shared" si="5"/>
        <v>65.112404979560409</v>
      </c>
      <c r="J11" s="269">
        <f t="shared" si="6"/>
        <v>366.94643745716121</v>
      </c>
      <c r="K11" s="269">
        <f t="shared" si="7"/>
        <v>84.208349886815469</v>
      </c>
      <c r="L11" s="269">
        <f>+K11/'Capacity Delivered'!N12*1000</f>
        <v>9.612825329545144</v>
      </c>
      <c r="M11" s="270">
        <f t="shared" si="0"/>
        <v>9.6128253295451448E-3</v>
      </c>
      <c r="N11" s="279"/>
      <c r="O11" s="174">
        <f t="shared" si="8"/>
        <v>36.755811566651317</v>
      </c>
      <c r="P11" s="174">
        <f t="shared" si="1"/>
        <v>0</v>
      </c>
      <c r="Q11" s="174">
        <f t="shared" si="2"/>
        <v>25.733970839572162</v>
      </c>
      <c r="R11" s="174">
        <f t="shared" si="9"/>
        <v>141.54664781972537</v>
      </c>
      <c r="S11" s="174">
        <f t="shared" si="10"/>
        <v>32.482696187235227</v>
      </c>
      <c r="T11" s="269">
        <f>+S11/'Capacity Delivered'!L11*1000</f>
        <v>3.6979390012790558</v>
      </c>
      <c r="U11" s="270">
        <f t="shared" si="3"/>
        <v>3.6979390012790558E-3</v>
      </c>
      <c r="V11" s="279"/>
      <c r="W11" s="271">
        <f>L11+T11</f>
        <v>13.310764330824199</v>
      </c>
      <c r="X11" s="272">
        <f t="shared" si="4"/>
        <v>1.3310764330824199E-2</v>
      </c>
    </row>
    <row r="12" spans="1:24" s="44" customFormat="1" ht="15.6" x14ac:dyDescent="0.3">
      <c r="B12" s="274"/>
      <c r="C12" s="205">
        <v>2012</v>
      </c>
      <c r="D12" s="275">
        <f>D6</f>
        <v>27.33</v>
      </c>
      <c r="E12" s="267"/>
      <c r="F12" s="38">
        <f t="shared" si="12"/>
        <v>2025</v>
      </c>
      <c r="G12" s="37">
        <v>6</v>
      </c>
      <c r="H12" s="174">
        <f>'Capacity Delivered'!G12</f>
        <v>80</v>
      </c>
      <c r="I12" s="268">
        <f t="shared" si="5"/>
        <v>52.156318977706945</v>
      </c>
      <c r="J12" s="269">
        <f t="shared" si="6"/>
        <v>419.10275643486818</v>
      </c>
      <c r="K12" s="269">
        <f t="shared" si="7"/>
        <v>82.863724616152396</v>
      </c>
      <c r="L12" s="269">
        <f>+K12/'Capacity Delivered'!N13*1000</f>
        <v>9.4593292940813249</v>
      </c>
      <c r="M12" s="270">
        <f t="shared" si="0"/>
        <v>9.4593292940813242E-3</v>
      </c>
      <c r="O12" s="174">
        <f t="shared" si="8"/>
        <v>37.674706855817604</v>
      </c>
      <c r="P12" s="174">
        <f t="shared" si="1"/>
        <v>0</v>
      </c>
      <c r="Q12" s="174">
        <f t="shared" si="2"/>
        <v>24.562175352045323</v>
      </c>
      <c r="R12" s="174">
        <f t="shared" si="9"/>
        <v>166.10882317177069</v>
      </c>
      <c r="S12" s="174">
        <f t="shared" si="10"/>
        <v>32.842532215026971</v>
      </c>
      <c r="T12" s="269">
        <f>+S12/'Capacity Delivered'!L12*1000</f>
        <v>3.7491475131309326</v>
      </c>
      <c r="U12" s="270">
        <f t="shared" si="3"/>
        <v>3.7491475131309327E-3</v>
      </c>
      <c r="W12" s="271">
        <f t="shared" si="11"/>
        <v>13.208476807212257</v>
      </c>
      <c r="X12" s="272">
        <f t="shared" si="4"/>
        <v>1.3208476807212257E-2</v>
      </c>
    </row>
    <row r="13" spans="1:24" s="44" customFormat="1" ht="15.6" x14ac:dyDescent="0.3">
      <c r="B13" s="274"/>
      <c r="C13" s="166">
        <f>F7</f>
        <v>2020</v>
      </c>
      <c r="D13" s="204">
        <f>D12*((1+$D$9)^($C$13-$C$12))</f>
        <v>33.298951188946049</v>
      </c>
      <c r="E13" s="267"/>
      <c r="F13" s="38">
        <f t="shared" si="12"/>
        <v>2026</v>
      </c>
      <c r="G13" s="37">
        <v>7</v>
      </c>
      <c r="H13" s="174">
        <f>'Capacity Delivered'!G13</f>
        <v>80</v>
      </c>
      <c r="I13" s="268">
        <f t="shared" si="5"/>
        <v>48.567202698302395</v>
      </c>
      <c r="J13" s="269">
        <f>J12+I13</f>
        <v>467.66995913317055</v>
      </c>
      <c r="K13" s="269">
        <f t="shared" si="7"/>
        <v>81.908132636083465</v>
      </c>
      <c r="L13" s="269">
        <f>+K13/'Capacity Delivered'!N14*1000</f>
        <v>9.3502434516077013</v>
      </c>
      <c r="M13" s="270">
        <f t="shared" si="0"/>
        <v>9.350243451607702E-3</v>
      </c>
      <c r="O13" s="174">
        <f>O12+(O12*$D$9)</f>
        <v>38.616574527213047</v>
      </c>
      <c r="P13" s="174">
        <f t="shared" si="1"/>
        <v>0</v>
      </c>
      <c r="Q13" s="174">
        <f t="shared" si="2"/>
        <v>23.443737532215714</v>
      </c>
      <c r="R13" s="174">
        <f>R12+Q13</f>
        <v>189.55256070398642</v>
      </c>
      <c r="S13" s="174">
        <f t="shared" si="10"/>
        <v>33.198404089133149</v>
      </c>
      <c r="T13" s="269">
        <f>+S13/'Capacity Delivered'!L13*1000</f>
        <v>3.7897721562937385</v>
      </c>
      <c r="U13" s="270">
        <f t="shared" si="3"/>
        <v>3.7897721562937386E-3</v>
      </c>
      <c r="W13" s="271">
        <f t="shared" si="11"/>
        <v>13.140015607901439</v>
      </c>
      <c r="X13" s="272">
        <f t="shared" si="4"/>
        <v>1.3140015607901439E-2</v>
      </c>
    </row>
    <row r="14" spans="1:24" s="44" customFormat="1" x14ac:dyDescent="0.25">
      <c r="B14" s="274"/>
      <c r="C14" s="276"/>
      <c r="D14" s="276"/>
      <c r="E14" s="267"/>
      <c r="F14" s="38">
        <f t="shared" si="12"/>
        <v>2027</v>
      </c>
      <c r="G14" s="37">
        <v>8</v>
      </c>
      <c r="H14" s="174">
        <f>'Capacity Delivered'!G14</f>
        <v>80.477938899565444</v>
      </c>
      <c r="I14" s="268">
        <f t="shared" si="5"/>
        <v>45.495255276059105</v>
      </c>
      <c r="J14" s="269">
        <f t="shared" si="6"/>
        <v>513.16521440922963</v>
      </c>
      <c r="K14" s="269">
        <f t="shared" si="7"/>
        <v>81.238431235224724</v>
      </c>
      <c r="L14" s="269">
        <f>+K14/'Capacity Delivered'!N15*1000</f>
        <v>9.2484552863416134</v>
      </c>
      <c r="M14" s="270">
        <f t="shared" si="0"/>
        <v>9.2484552863416128E-3</v>
      </c>
      <c r="O14" s="174">
        <f t="shared" si="8"/>
        <v>39.581988890393376</v>
      </c>
      <c r="P14" s="174">
        <f t="shared" si="1"/>
        <v>0</v>
      </c>
      <c r="Q14" s="174">
        <f t="shared" si="2"/>
        <v>22.376227740498283</v>
      </c>
      <c r="R14" s="174">
        <f t="shared" ref="R14:R20" si="13">R13+Q14</f>
        <v>211.9287884444847</v>
      </c>
      <c r="S14" s="174">
        <f t="shared" si="10"/>
        <v>33.550135167739661</v>
      </c>
      <c r="T14" s="269">
        <f>+S14/'Capacity Delivered'!L14*1000</f>
        <v>3.829924105906354</v>
      </c>
      <c r="U14" s="270">
        <f t="shared" si="3"/>
        <v>3.8299241059063542E-3</v>
      </c>
      <c r="W14" s="271">
        <f t="shared" si="11"/>
        <v>13.078379392247967</v>
      </c>
      <c r="X14" s="272">
        <f t="shared" si="4"/>
        <v>1.3078379392247968E-2</v>
      </c>
    </row>
    <row r="15" spans="1:24" s="44" customFormat="1" x14ac:dyDescent="0.25">
      <c r="B15" s="276"/>
      <c r="C15" s="277"/>
      <c r="D15" s="278">
        <f>D12*1.025^8</f>
        <v>33.298951188946049</v>
      </c>
      <c r="E15" s="267"/>
      <c r="F15" s="38">
        <f t="shared" si="12"/>
        <v>2028</v>
      </c>
      <c r="G15" s="37">
        <v>9</v>
      </c>
      <c r="H15" s="174">
        <f>'Capacity Delivered'!G15</f>
        <v>80.477938899565444</v>
      </c>
      <c r="I15" s="268">
        <f t="shared" si="5"/>
        <v>42.364517437432816</v>
      </c>
      <c r="J15" s="269">
        <f t="shared" si="6"/>
        <v>555.52973184666246</v>
      </c>
      <c r="K15" s="269">
        <f t="shared" si="7"/>
        <v>80.721051614839368</v>
      </c>
      <c r="L15" s="269">
        <f>+K15/'Capacity Delivered'!N16*1000</f>
        <v>9.2147319195022099</v>
      </c>
      <c r="M15" s="270">
        <f t="shared" si="0"/>
        <v>9.2147319195022108E-3</v>
      </c>
      <c r="O15" s="174">
        <f t="shared" si="8"/>
        <v>40.571538612653214</v>
      </c>
      <c r="P15" s="174">
        <f t="shared" si="1"/>
        <v>0</v>
      </c>
      <c r="Q15" s="174">
        <f t="shared" si="2"/>
        <v>21.357326970863898</v>
      </c>
      <c r="R15" s="174">
        <f t="shared" si="13"/>
        <v>233.2861154153486</v>
      </c>
      <c r="S15" s="174">
        <f t="shared" si="10"/>
        <v>33.897556663385743</v>
      </c>
      <c r="T15" s="269">
        <f>+S15/'Capacity Delivered'!L15*1000</f>
        <v>3.8590114598572112</v>
      </c>
      <c r="U15" s="270">
        <f t="shared" si="3"/>
        <v>3.8590114598572112E-3</v>
      </c>
      <c r="W15" s="271">
        <f t="shared" si="11"/>
        <v>13.073743379359421</v>
      </c>
      <c r="X15" s="272">
        <f t="shared" si="4"/>
        <v>1.3073743379359421E-2</v>
      </c>
    </row>
    <row r="16" spans="1:24" s="44" customFormat="1" x14ac:dyDescent="0.25">
      <c r="B16" s="276"/>
      <c r="C16" s="277"/>
      <c r="D16" s="277"/>
      <c r="E16" s="267"/>
      <c r="F16" s="37">
        <f t="shared" si="12"/>
        <v>2029</v>
      </c>
      <c r="G16" s="37">
        <v>10</v>
      </c>
      <c r="H16" s="174">
        <f>'Capacity Delivered'!G16</f>
        <v>80.477938899565444</v>
      </c>
      <c r="I16" s="268">
        <f t="shared" si="5"/>
        <v>39.449220073966679</v>
      </c>
      <c r="J16" s="269">
        <f t="shared" si="6"/>
        <v>594.97895192062913</v>
      </c>
      <c r="K16" s="269">
        <f t="shared" si="7"/>
        <v>80.310270336492636</v>
      </c>
      <c r="L16" s="269">
        <f>+K16/'Capacity Delivered'!N17*1000</f>
        <v>9.1678390795082905</v>
      </c>
      <c r="M16" s="270">
        <f t="shared" si="0"/>
        <v>9.1678390795082911E-3</v>
      </c>
      <c r="N16" s="279"/>
      <c r="O16" s="174">
        <f t="shared" si="8"/>
        <v>41.585827077969547</v>
      </c>
      <c r="P16" s="174">
        <f t="shared" si="1"/>
        <v>0</v>
      </c>
      <c r="Q16" s="174">
        <f t="shared" si="2"/>
        <v>20.384821813144146</v>
      </c>
      <c r="R16" s="174">
        <f t="shared" si="13"/>
        <v>253.67093722849276</v>
      </c>
      <c r="S16" s="174">
        <f t="shared" si="10"/>
        <v>34.240507970186826</v>
      </c>
      <c r="T16" s="269">
        <f>+S16/'Capacity Delivered'!L16*1000</f>
        <v>3.9087337865510077</v>
      </c>
      <c r="U16" s="270">
        <f t="shared" si="3"/>
        <v>3.9087337865510077E-3</v>
      </c>
      <c r="V16" s="279"/>
      <c r="W16" s="271">
        <f t="shared" si="11"/>
        <v>13.076572866059298</v>
      </c>
      <c r="X16" s="272">
        <f t="shared" si="4"/>
        <v>1.3076572866059297E-2</v>
      </c>
    </row>
    <row r="17" spans="2:24" s="44" customFormat="1" x14ac:dyDescent="0.25">
      <c r="B17" s="276"/>
      <c r="C17" s="277"/>
      <c r="D17" s="277"/>
      <c r="E17" s="267"/>
      <c r="F17" s="38">
        <f t="shared" si="12"/>
        <v>2030</v>
      </c>
      <c r="G17" s="37">
        <v>11</v>
      </c>
      <c r="H17" s="174">
        <f>'Capacity Delivered'!G17</f>
        <v>80.477938899565444</v>
      </c>
      <c r="I17" s="268">
        <f t="shared" si="5"/>
        <v>36.734537735326079</v>
      </c>
      <c r="J17" s="269">
        <f t="shared" si="6"/>
        <v>631.71348965595519</v>
      </c>
      <c r="K17" s="269">
        <f t="shared" si="7"/>
        <v>79.976988082669592</v>
      </c>
      <c r="L17" s="269">
        <f>+K17/'Capacity Delivered'!N18*1000</f>
        <v>9.1297931601220998</v>
      </c>
      <c r="M17" s="270">
        <f t="shared" si="0"/>
        <v>9.1297931601221002E-3</v>
      </c>
      <c r="O17" s="174">
        <f t="shared" si="8"/>
        <v>42.625472754918789</v>
      </c>
      <c r="P17" s="174">
        <f t="shared" si="1"/>
        <v>0</v>
      </c>
      <c r="Q17" s="174">
        <f t="shared" si="2"/>
        <v>19.456599644727394</v>
      </c>
      <c r="R17" s="174">
        <f t="shared" si="13"/>
        <v>273.12753687322015</v>
      </c>
      <c r="S17" s="174">
        <f t="shared" si="10"/>
        <v>34.578836955745707</v>
      </c>
      <c r="T17" s="269">
        <f>+S17/'Capacity Delivered'!L17*1000</f>
        <v>3.9473558168659486</v>
      </c>
      <c r="U17" s="270">
        <f t="shared" si="3"/>
        <v>3.9473558168659486E-3</v>
      </c>
      <c r="W17" s="271">
        <f t="shared" si="11"/>
        <v>13.077148976988049</v>
      </c>
      <c r="X17" s="272">
        <f t="shared" si="4"/>
        <v>1.307714897698805E-2</v>
      </c>
    </row>
    <row r="18" spans="2:24" s="44" customFormat="1" x14ac:dyDescent="0.25">
      <c r="B18" s="277"/>
      <c r="C18" s="277"/>
      <c r="D18" s="277"/>
      <c r="E18" s="267"/>
      <c r="F18" s="38">
        <f t="shared" si="12"/>
        <v>2031</v>
      </c>
      <c r="G18" s="37">
        <v>12</v>
      </c>
      <c r="H18" s="174">
        <f>'Capacity Delivered'!G18</f>
        <v>84.157096346974001</v>
      </c>
      <c r="I18" s="268">
        <f t="shared" si="5"/>
        <v>35.770468982050723</v>
      </c>
      <c r="J18" s="269">
        <f t="shared" si="6"/>
        <v>667.4839586380059</v>
      </c>
      <c r="K18" s="269">
        <f t="shared" si="7"/>
        <v>79.888969582155568</v>
      </c>
      <c r="L18" s="269">
        <f>+K18/'Capacity Delivered'!N19*1000</f>
        <v>9.094828048970351</v>
      </c>
      <c r="M18" s="270">
        <f t="shared" si="0"/>
        <v>9.0948280489703513E-3</v>
      </c>
      <c r="O18" s="174">
        <f t="shared" si="8"/>
        <v>43.691109573791756</v>
      </c>
      <c r="P18" s="174">
        <f t="shared" si="1"/>
        <v>0</v>
      </c>
      <c r="Q18" s="174">
        <f t="shared" si="2"/>
        <v>18.570644041200836</v>
      </c>
      <c r="R18" s="174">
        <f t="shared" si="13"/>
        <v>291.69818091442096</v>
      </c>
      <c r="S18" s="174">
        <f t="shared" si="10"/>
        <v>34.912400216767409</v>
      </c>
      <c r="T18" s="269">
        <f>+S18/'Capacity Delivered'!L18*1000</f>
        <v>3.9854338146994763</v>
      </c>
      <c r="U18" s="270">
        <f t="shared" si="3"/>
        <v>3.9854338146994763E-3</v>
      </c>
      <c r="W18" s="271">
        <f t="shared" si="11"/>
        <v>13.080261863669827</v>
      </c>
      <c r="X18" s="272">
        <f t="shared" si="4"/>
        <v>1.3080261863669828E-2</v>
      </c>
    </row>
    <row r="19" spans="2:24" s="44" customFormat="1" x14ac:dyDescent="0.25">
      <c r="B19" s="277"/>
      <c r="C19" s="277"/>
      <c r="D19" s="277"/>
      <c r="E19" s="192"/>
      <c r="F19" s="38">
        <f t="shared" si="12"/>
        <v>2032</v>
      </c>
      <c r="G19" s="37">
        <v>13</v>
      </c>
      <c r="H19" s="174">
        <f>'Capacity Delivered'!G19</f>
        <v>84.157096346974001</v>
      </c>
      <c r="I19" s="268">
        <f t="shared" si="5"/>
        <v>33.308938431931011</v>
      </c>
      <c r="J19" s="269">
        <f t="shared" si="6"/>
        <v>700.79289706993688</v>
      </c>
      <c r="K19" s="269">
        <f t="shared" si="7"/>
        <v>79.815236677326951</v>
      </c>
      <c r="L19" s="269">
        <f>+K19/'Capacity Delivered'!N20*1000</f>
        <v>9.1113283878227112</v>
      </c>
      <c r="M19" s="270">
        <f t="shared" si="0"/>
        <v>9.1113283878227116E-3</v>
      </c>
      <c r="O19" s="174">
        <f t="shared" si="8"/>
        <v>44.783387313136551</v>
      </c>
      <c r="P19" s="174">
        <f t="shared" si="1"/>
        <v>0</v>
      </c>
      <c r="Q19" s="174">
        <f t="shared" si="2"/>
        <v>17.725030395968759</v>
      </c>
      <c r="R19" s="174">
        <f t="shared" si="13"/>
        <v>309.42321131038972</v>
      </c>
      <c r="S19" s="174">
        <f t="shared" si="10"/>
        <v>35.241063297667324</v>
      </c>
      <c r="T19" s="269">
        <f>+S19/'Capacity Delivered'!L19*1000</f>
        <v>4.0119607579311616</v>
      </c>
      <c r="U19" s="270">
        <f t="shared" si="3"/>
        <v>4.0119607579311616E-3</v>
      </c>
      <c r="W19" s="271">
        <f t="shared" si="11"/>
        <v>13.123289145753873</v>
      </c>
      <c r="X19" s="272">
        <f t="shared" si="4"/>
        <v>1.3123289145753872E-2</v>
      </c>
    </row>
    <row r="20" spans="2:24" s="44" customFormat="1" x14ac:dyDescent="0.25">
      <c r="B20" s="277"/>
      <c r="C20" s="277"/>
      <c r="D20" s="277"/>
      <c r="E20" s="192"/>
      <c r="F20" s="38">
        <f t="shared" si="12"/>
        <v>2033</v>
      </c>
      <c r="G20" s="37">
        <v>14</v>
      </c>
      <c r="H20" s="174">
        <f>'Capacity Delivered'!G20</f>
        <v>84.157096346974001</v>
      </c>
      <c r="I20" s="268">
        <f t="shared" si="5"/>
        <v>31.01679712443525</v>
      </c>
      <c r="J20" s="269">
        <f t="shared" si="6"/>
        <v>731.80969419437213</v>
      </c>
      <c r="K20" s="269">
        <f t="shared" si="7"/>
        <v>79.752719572419593</v>
      </c>
      <c r="L20" s="269">
        <f>+K20/'Capacity Delivered'!N21*1000</f>
        <v>9.104191732011369</v>
      </c>
      <c r="M20" s="270">
        <f t="shared" si="0"/>
        <v>9.1041917320113692E-3</v>
      </c>
      <c r="O20" s="174">
        <f t="shared" si="8"/>
        <v>45.902971995964961</v>
      </c>
      <c r="P20" s="174">
        <f t="shared" si="1"/>
        <v>0</v>
      </c>
      <c r="Q20" s="174">
        <f t="shared" si="2"/>
        <v>16.917921739331391</v>
      </c>
      <c r="R20" s="174">
        <f t="shared" si="13"/>
        <v>326.34113304972112</v>
      </c>
      <c r="S20" s="174">
        <f t="shared" si="10"/>
        <v>35.564700871736875</v>
      </c>
      <c r="T20" s="269">
        <f>+S20/'Capacity Delivered'!L20*1000</f>
        <v>4.059897359787314</v>
      </c>
      <c r="U20" s="270">
        <f t="shared" si="3"/>
        <v>4.0598973597873143E-3</v>
      </c>
      <c r="W20" s="271">
        <f t="shared" si="11"/>
        <v>13.164089091798683</v>
      </c>
      <c r="X20" s="272">
        <f t="shared" si="4"/>
        <v>1.3164089091798684E-2</v>
      </c>
    </row>
    <row r="21" spans="2:24" s="279" customFormat="1" x14ac:dyDescent="0.25">
      <c r="B21" s="277"/>
      <c r="C21" s="277"/>
      <c r="D21" s="277"/>
      <c r="E21" s="192"/>
      <c r="F21" s="37">
        <f t="shared" si="12"/>
        <v>2034</v>
      </c>
      <c r="G21" s="37">
        <v>15</v>
      </c>
      <c r="H21" s="174">
        <f>'Capacity Delivered'!G21</f>
        <v>88.306829270347322</v>
      </c>
      <c r="I21" s="268">
        <f t="shared" si="5"/>
        <v>30.306560828470523</v>
      </c>
      <c r="J21" s="269">
        <f>J20+I21</f>
        <v>762.11625502284267</v>
      </c>
      <c r="K21" s="269">
        <f t="shared" si="7"/>
        <v>79.848379826459123</v>
      </c>
      <c r="L21" s="269">
        <f>+K21/'Capacity Delivered'!N22*1000</f>
        <v>9.1151118523355166</v>
      </c>
      <c r="M21" s="270">
        <f>L21/1000</f>
        <v>9.1151118523355168E-3</v>
      </c>
      <c r="O21" s="174">
        <f t="shared" si="8"/>
        <v>47.050546295864088</v>
      </c>
      <c r="P21" s="174">
        <f t="shared" si="1"/>
        <v>0</v>
      </c>
      <c r="Q21" s="174">
        <f t="shared" si="2"/>
        <v>16.147564747941779</v>
      </c>
      <c r="R21" s="174">
        <f>R20+Q21</f>
        <v>342.48869779766289</v>
      </c>
      <c r="S21" s="174">
        <f t="shared" si="10"/>
        <v>35.883196884702976</v>
      </c>
      <c r="T21" s="269">
        <f>+S21/'Capacity Delivered'!L21*1000</f>
        <v>4.0962553521350422</v>
      </c>
      <c r="U21" s="270">
        <f>T21/1000</f>
        <v>4.0962553521350425E-3</v>
      </c>
      <c r="W21" s="271">
        <f t="shared" si="11"/>
        <v>13.211367204470559</v>
      </c>
      <c r="X21" s="272">
        <f>W21/1000</f>
        <v>1.3211367204470558E-2</v>
      </c>
    </row>
    <row r="22" spans="2:24" s="44" customFormat="1" x14ac:dyDescent="0.25">
      <c r="B22" s="277"/>
      <c r="C22" s="277"/>
      <c r="D22" s="277"/>
      <c r="E22" s="192"/>
      <c r="F22" s="38">
        <f t="shared" si="12"/>
        <v>2035</v>
      </c>
      <c r="G22" s="37">
        <v>16</v>
      </c>
      <c r="H22" s="174">
        <f>'Capacity Delivered'!G22</f>
        <v>88.306829270347322</v>
      </c>
      <c r="I22" s="268">
        <f t="shared" si="5"/>
        <v>28.221026937769366</v>
      </c>
      <c r="J22" s="269">
        <f t="shared" si="6"/>
        <v>790.33728196061202</v>
      </c>
      <c r="K22" s="269">
        <f t="shared" si="7"/>
        <v>79.931045149438788</v>
      </c>
      <c r="L22" s="269">
        <f>+K22/'Capacity Delivered'!N23*1000</f>
        <v>9.0996180725681679</v>
      </c>
      <c r="M22" s="270">
        <f t="shared" si="0"/>
        <v>9.099618072568167E-3</v>
      </c>
      <c r="O22" s="174">
        <f t="shared" si="8"/>
        <v>48.226809953260691</v>
      </c>
      <c r="P22" s="174">
        <f t="shared" si="1"/>
        <v>0</v>
      </c>
      <c r="Q22" s="174">
        <f t="shared" si="2"/>
        <v>15.41228593597199</v>
      </c>
      <c r="R22" s="174">
        <f t="shared" ref="R22:R27" si="14">R21+Q22</f>
        <v>357.90098373363486</v>
      </c>
      <c r="S22" s="174">
        <f t="shared" si="10"/>
        <v>36.196444660783989</v>
      </c>
      <c r="T22" s="269">
        <f>+S22/'Capacity Delivered'!L22*1000</f>
        <v>4.1320142306831036</v>
      </c>
      <c r="U22" s="270">
        <f t="shared" ref="U22:U27" si="15">T22/1000</f>
        <v>4.1320142306831035E-3</v>
      </c>
      <c r="W22" s="271">
        <f t="shared" si="11"/>
        <v>13.231632303251271</v>
      </c>
      <c r="X22" s="272">
        <f t="shared" ref="X22:X27" si="16">W22/1000</f>
        <v>1.3231632303251271E-2</v>
      </c>
    </row>
    <row r="23" spans="2:24" s="44" customFormat="1" x14ac:dyDescent="0.25">
      <c r="B23" s="277"/>
      <c r="C23" s="277"/>
      <c r="D23" s="277"/>
      <c r="E23" s="192"/>
      <c r="F23" s="38">
        <f t="shared" si="12"/>
        <v>2036</v>
      </c>
      <c r="G23" s="37">
        <v>17</v>
      </c>
      <c r="H23" s="174">
        <f>'Capacity Delivered'!G23</f>
        <v>91.089450907608253</v>
      </c>
      <c r="I23" s="268">
        <f t="shared" si="5"/>
        <v>27.107081635811184</v>
      </c>
      <c r="J23" s="269">
        <f t="shared" si="6"/>
        <v>817.44436359642316</v>
      </c>
      <c r="K23" s="269">
        <f t="shared" si="7"/>
        <v>80.084149149486265</v>
      </c>
      <c r="L23" s="269">
        <f>+K23/'Capacity Delivered'!N24*1000</f>
        <v>9.1420261586171527</v>
      </c>
      <c r="M23" s="270">
        <f t="shared" si="0"/>
        <v>9.1420261586171534E-3</v>
      </c>
      <c r="O23" s="174">
        <f t="shared" si="8"/>
        <v>49.432480202092208</v>
      </c>
      <c r="P23" s="174">
        <f t="shared" si="1"/>
        <v>0</v>
      </c>
      <c r="Q23" s="174">
        <f t="shared" si="2"/>
        <v>14.710488019714395</v>
      </c>
      <c r="R23" s="174">
        <f t="shared" si="14"/>
        <v>372.61147175334924</v>
      </c>
      <c r="S23" s="174">
        <f t="shared" si="10"/>
        <v>36.504346971602729</v>
      </c>
      <c r="T23" s="269">
        <f>+S23/'Capacity Delivered'!L23*1000</f>
        <v>4.155777205328179</v>
      </c>
      <c r="U23" s="270">
        <f t="shared" si="15"/>
        <v>4.1557772053281792E-3</v>
      </c>
      <c r="W23" s="271">
        <f t="shared" si="11"/>
        <v>13.297803363945331</v>
      </c>
      <c r="X23" s="272">
        <f t="shared" si="16"/>
        <v>1.3297803363945331E-2</v>
      </c>
    </row>
    <row r="24" spans="2:24" s="44" customFormat="1" x14ac:dyDescent="0.25">
      <c r="B24" s="277"/>
      <c r="C24" s="277"/>
      <c r="D24" s="277"/>
      <c r="E24" s="192"/>
      <c r="F24" s="38">
        <f t="shared" si="12"/>
        <v>2037</v>
      </c>
      <c r="G24" s="37">
        <v>18</v>
      </c>
      <c r="H24" s="174">
        <f>'Capacity Delivered'!G24</f>
        <v>91.089450907608253</v>
      </c>
      <c r="I24" s="268">
        <f t="shared" si="5"/>
        <v>25.241718629119269</v>
      </c>
      <c r="J24" s="269">
        <f t="shared" si="6"/>
        <v>842.68608222554246</v>
      </c>
      <c r="K24" s="269">
        <f t="shared" si="7"/>
        <v>80.21834142877988</v>
      </c>
      <c r="L24" s="269">
        <f>+K24/'Capacity Delivered'!N25*1000</f>
        <v>9.1573449119611734</v>
      </c>
      <c r="M24" s="270">
        <f t="shared" si="0"/>
        <v>9.1573449119611728E-3</v>
      </c>
      <c r="O24" s="174">
        <f t="shared" si="8"/>
        <v>50.668292207144511</v>
      </c>
      <c r="P24" s="174">
        <f t="shared" si="1"/>
        <v>0</v>
      </c>
      <c r="Q24" s="174">
        <f t="shared" si="2"/>
        <v>14.040646447720695</v>
      </c>
      <c r="R24" s="174">
        <f t="shared" si="14"/>
        <v>386.65211820106992</v>
      </c>
      <c r="S24" s="174">
        <f t="shared" si="10"/>
        <v>36.806816068564046</v>
      </c>
      <c r="T24" s="269">
        <f>+S24/'Capacity Delivered'!L24*1000</f>
        <v>4.2016913320278588</v>
      </c>
      <c r="U24" s="270">
        <f t="shared" si="15"/>
        <v>4.2016913320278588E-3</v>
      </c>
      <c r="W24" s="271">
        <f t="shared" si="11"/>
        <v>13.359036243989031</v>
      </c>
      <c r="X24" s="272">
        <f t="shared" si="16"/>
        <v>1.3359036243989032E-2</v>
      </c>
    </row>
    <row r="25" spans="2:24" s="44" customFormat="1" x14ac:dyDescent="0.25">
      <c r="B25" s="277"/>
      <c r="C25" s="277"/>
      <c r="D25" s="277"/>
      <c r="E25" s="192"/>
      <c r="F25" s="38">
        <f t="shared" si="12"/>
        <v>2038</v>
      </c>
      <c r="G25" s="37">
        <v>19</v>
      </c>
      <c r="H25" s="174">
        <f>'Capacity Delivered'!G25</f>
        <v>91.089450907608253</v>
      </c>
      <c r="I25" s="268">
        <f t="shared" si="5"/>
        <v>23.504719833428879</v>
      </c>
      <c r="J25" s="269">
        <f t="shared" si="6"/>
        <v>866.19080205897137</v>
      </c>
      <c r="K25" s="269">
        <f t="shared" si="7"/>
        <v>80.336638887498353</v>
      </c>
      <c r="L25" s="269">
        <f>+K25/'Capacity Delivered'!N26*1000</f>
        <v>9.1708491880705889</v>
      </c>
      <c r="M25" s="270">
        <f t="shared" si="0"/>
        <v>9.1708491880705886E-3</v>
      </c>
      <c r="O25" s="174">
        <f t="shared" si="8"/>
        <v>51.934999512323124</v>
      </c>
      <c r="P25" s="174">
        <f t="shared" si="1"/>
        <v>0</v>
      </c>
      <c r="Q25" s="174">
        <f t="shared" si="2"/>
        <v>13.401306088940974</v>
      </c>
      <c r="R25" s="174">
        <f t="shared" si="14"/>
        <v>400.05342429001092</v>
      </c>
      <c r="S25" s="174">
        <f t="shared" si="10"/>
        <v>37.103773679538229</v>
      </c>
      <c r="T25" s="269">
        <f>+S25/'Capacity Delivered'!L25*1000</f>
        <v>4.2355906026870125</v>
      </c>
      <c r="U25" s="270">
        <f t="shared" si="15"/>
        <v>4.2355906026870123E-3</v>
      </c>
      <c r="W25" s="271">
        <f t="shared" si="11"/>
        <v>13.406439790757602</v>
      </c>
      <c r="X25" s="272">
        <f t="shared" si="16"/>
        <v>1.3406439790757603E-2</v>
      </c>
    </row>
    <row r="26" spans="2:24" x14ac:dyDescent="0.25">
      <c r="B26" s="175"/>
      <c r="C26" s="175"/>
      <c r="D26" s="175"/>
      <c r="E26" s="52"/>
      <c r="F26" s="38">
        <f t="shared" si="12"/>
        <v>2039</v>
      </c>
      <c r="G26" s="39">
        <v>20</v>
      </c>
      <c r="H26" s="174">
        <f>'Capacity Delivered'!G26</f>
        <v>91.089450907608253</v>
      </c>
      <c r="I26" s="40">
        <f t="shared" si="5"/>
        <v>21.887251916778915</v>
      </c>
      <c r="J26" s="41">
        <f t="shared" si="6"/>
        <v>888.07805397575032</v>
      </c>
      <c r="K26" s="41">
        <f t="shared" si="7"/>
        <v>80.44145607461769</v>
      </c>
      <c r="L26" s="41">
        <f>+K26/'Capacity Delivered'!N27*1000</f>
        <v>9.1577249629573867</v>
      </c>
      <c r="M26" s="248">
        <f t="shared" si="0"/>
        <v>9.1577249629573865E-3</v>
      </c>
      <c r="O26" s="174">
        <f t="shared" si="8"/>
        <v>53.233374500131205</v>
      </c>
      <c r="P26" s="174">
        <f t="shared" si="1"/>
        <v>0</v>
      </c>
      <c r="Q26" s="174">
        <f t="shared" si="2"/>
        <v>12.791078071668217</v>
      </c>
      <c r="R26" s="174">
        <f t="shared" si="14"/>
        <v>412.84450236167913</v>
      </c>
      <c r="S26" s="174">
        <f t="shared" si="10"/>
        <v>37.395150970909185</v>
      </c>
      <c r="T26" s="41">
        <f>+S26/'Capacity Delivered'!L26*1000</f>
        <v>4.2688528505604095</v>
      </c>
      <c r="U26" s="248">
        <f t="shared" si="15"/>
        <v>4.2688528505604095E-3</v>
      </c>
      <c r="W26" s="255">
        <f t="shared" si="11"/>
        <v>13.426577813517795</v>
      </c>
      <c r="X26" s="256">
        <f t="shared" si="16"/>
        <v>1.3426577813517795E-2</v>
      </c>
    </row>
    <row r="27" spans="2:24" s="44" customFormat="1" ht="15.6" thickBot="1" x14ac:dyDescent="0.3">
      <c r="F27" s="38">
        <f t="shared" si="12"/>
        <v>2040</v>
      </c>
      <c r="G27" s="37">
        <v>21</v>
      </c>
      <c r="H27" s="174">
        <f>'Capacity Delivered'!G27</f>
        <v>91.089450907608253</v>
      </c>
      <c r="I27" s="40">
        <f t="shared" si="5"/>
        <v>20.381089409422579</v>
      </c>
      <c r="J27" s="41">
        <f t="shared" ref="J27" si="17">J26+I27</f>
        <v>908.45914338517287</v>
      </c>
      <c r="K27" s="41">
        <f t="shared" si="7"/>
        <v>80.53474851954347</v>
      </c>
      <c r="L27" s="41">
        <f>+K27/'Capacity Delivered'!N28*1000</f>
        <v>9.1934644428702601</v>
      </c>
      <c r="M27" s="248">
        <f t="shared" si="0"/>
        <v>9.1934644428702597E-3</v>
      </c>
      <c r="O27" s="174">
        <f t="shared" si="8"/>
        <v>54.564208862634487</v>
      </c>
      <c r="P27" s="174">
        <f t="shared" si="1"/>
        <v>0</v>
      </c>
      <c r="Q27" s="174">
        <f t="shared" si="2"/>
        <v>12.20863676642138</v>
      </c>
      <c r="R27" s="174">
        <f t="shared" si="14"/>
        <v>425.0531391281005</v>
      </c>
      <c r="S27" s="174">
        <f t="shared" si="10"/>
        <v>37.680888476247567</v>
      </c>
      <c r="T27" s="41">
        <f>+S27/'Capacity Delivered'!L27*1000</f>
        <v>4.2897186334525923</v>
      </c>
      <c r="U27" s="248">
        <f t="shared" si="15"/>
        <v>4.2897186334525921E-3</v>
      </c>
      <c r="W27" s="257">
        <f t="shared" si="11"/>
        <v>13.483183076322852</v>
      </c>
      <c r="X27" s="258">
        <f t="shared" si="16"/>
        <v>1.3483183076322852E-2</v>
      </c>
    </row>
    <row r="28" spans="2:24" s="44" customFormat="1" x14ac:dyDescent="0.25">
      <c r="C28" s="21"/>
      <c r="F28" s="38"/>
      <c r="G28" s="37"/>
      <c r="H28" s="177"/>
      <c r="I28" s="55"/>
      <c r="J28" s="56"/>
      <c r="K28" s="48"/>
      <c r="L28" s="48"/>
      <c r="M28" s="48"/>
      <c r="O28" s="178"/>
      <c r="P28" s="54"/>
      <c r="Q28" s="55"/>
      <c r="R28" s="56"/>
      <c r="S28" s="48"/>
      <c r="T28" s="48"/>
      <c r="U28" s="48"/>
      <c r="W28" s="48"/>
      <c r="X28" s="48"/>
    </row>
    <row r="29" spans="2:24" x14ac:dyDescent="0.25">
      <c r="B29" s="31"/>
      <c r="C29" s="21"/>
      <c r="D29" s="44"/>
      <c r="E29" s="44"/>
      <c r="F29" s="31"/>
      <c r="G29" s="37"/>
      <c r="H29" s="177"/>
      <c r="I29" s="31"/>
      <c r="J29" s="31"/>
      <c r="K29" s="31"/>
      <c r="L29" s="31"/>
      <c r="M29" s="31"/>
      <c r="O29" s="178"/>
      <c r="P29" s="54"/>
      <c r="Q29" s="31"/>
      <c r="R29" s="31"/>
      <c r="S29" s="31"/>
      <c r="T29" s="31"/>
      <c r="U29" s="31"/>
      <c r="W29" s="31"/>
      <c r="X29" s="31"/>
    </row>
    <row r="30" spans="2:24" s="44" customFormat="1" ht="51.75" customHeight="1" x14ac:dyDescent="0.25">
      <c r="B30" s="329" t="s">
        <v>118</v>
      </c>
      <c r="C30" s="329"/>
      <c r="D30" s="329"/>
      <c r="E30" s="329"/>
      <c r="F30" s="329"/>
      <c r="G30" s="329"/>
      <c r="H30" s="329"/>
      <c r="I30" s="329"/>
      <c r="J30" s="329"/>
      <c r="K30" s="329"/>
      <c r="L30" s="329"/>
      <c r="M30" s="329"/>
      <c r="Q30" s="246"/>
      <c r="R30" s="246"/>
    </row>
  </sheetData>
  <mergeCells count="1">
    <mergeCell ref="B30:M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1" r:id="rId5" name="Control 1">
          <controlPr defaultSize="0" r:id="rId6">
            <anchor moveWithCells="1">
              <from>
                <xdr:col>6</xdr:col>
                <xdr:colOff>571500</xdr:colOff>
                <xdr:row>2</xdr:row>
                <xdr:rowOff>45720</xdr:rowOff>
              </from>
              <to>
                <xdr:col>6</xdr:col>
                <xdr:colOff>792480</xdr:colOff>
                <xdr:row>3</xdr:row>
                <xdr:rowOff>68580</xdr:rowOff>
              </to>
            </anchor>
          </controlPr>
        </control>
      </mc:Choice>
      <mc:Fallback>
        <control shapeId="5121" r:id="rId5" name="Control 1"/>
      </mc:Fallback>
    </mc:AlternateContent>
    <mc:AlternateContent xmlns:mc="http://schemas.openxmlformats.org/markup-compatibility/2006">
      <mc:Choice Requires="x14">
        <control shapeId="5122" r:id="rId7" name="Control 2">
          <controlPr defaultSize="0" r:id="rId8">
            <anchor moveWithCells="1">
              <from>
                <xdr:col>6</xdr:col>
                <xdr:colOff>571500</xdr:colOff>
                <xdr:row>2</xdr:row>
                <xdr:rowOff>45720</xdr:rowOff>
              </from>
              <to>
                <xdr:col>7</xdr:col>
                <xdr:colOff>167640</xdr:colOff>
                <xdr:row>3</xdr:row>
                <xdr:rowOff>68580</xdr:rowOff>
              </to>
            </anchor>
          </controlPr>
        </control>
      </mc:Choice>
      <mc:Fallback>
        <control shapeId="5122" r:id="rId7" name="Control 2"/>
      </mc:Fallback>
    </mc:AlternateContent>
    <mc:AlternateContent xmlns:mc="http://schemas.openxmlformats.org/markup-compatibility/2006">
      <mc:Choice Requires="x14">
        <control shapeId="5123" r:id="rId9" name="Control 3">
          <controlPr defaultSize="0" r:id="rId10">
            <anchor moveWithCells="1">
              <from>
                <xdr:col>6</xdr:col>
                <xdr:colOff>571500</xdr:colOff>
                <xdr:row>2</xdr:row>
                <xdr:rowOff>45720</xdr:rowOff>
              </from>
              <to>
                <xdr:col>7</xdr:col>
                <xdr:colOff>167640</xdr:colOff>
                <xdr:row>3</xdr:row>
                <xdr:rowOff>68580</xdr:rowOff>
              </to>
            </anchor>
          </controlPr>
        </control>
      </mc:Choice>
      <mc:Fallback>
        <control shapeId="5123" r:id="rId9" name="Control 3"/>
      </mc:Fallback>
    </mc:AlternateContent>
    <mc:AlternateContent xmlns:mc="http://schemas.openxmlformats.org/markup-compatibility/2006">
      <mc:Choice Requires="x14">
        <control shapeId="5124" r:id="rId11" name="Control 4">
          <controlPr defaultSize="0" r:id="rId12">
            <anchor moveWithCells="1">
              <from>
                <xdr:col>6</xdr:col>
                <xdr:colOff>571500</xdr:colOff>
                <xdr:row>2</xdr:row>
                <xdr:rowOff>45720</xdr:rowOff>
              </from>
              <to>
                <xdr:col>7</xdr:col>
                <xdr:colOff>228600</xdr:colOff>
                <xdr:row>3</xdr:row>
                <xdr:rowOff>152400</xdr:rowOff>
              </to>
            </anchor>
          </controlPr>
        </control>
      </mc:Choice>
      <mc:Fallback>
        <control shapeId="5124" r:id="rId11" name="Control 4"/>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0"/>
  <sheetViews>
    <sheetView topLeftCell="E2" workbookViewId="0">
      <selection activeCell="H2" sqref="H1:H1048576"/>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71"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7"/>
    </row>
    <row r="4" spans="1:24" ht="62.4" x14ac:dyDescent="0.3">
      <c r="F4" s="15" t="s">
        <v>15</v>
      </c>
      <c r="G4" s="16" t="s">
        <v>1</v>
      </c>
      <c r="H4" s="17" t="s">
        <v>16</v>
      </c>
      <c r="I4" s="16" t="s">
        <v>17</v>
      </c>
      <c r="J4" s="16" t="s">
        <v>18</v>
      </c>
      <c r="K4" s="3" t="s">
        <v>19</v>
      </c>
      <c r="L4" s="3" t="s">
        <v>19</v>
      </c>
      <c r="M4" s="3" t="s">
        <v>19</v>
      </c>
      <c r="O4" s="17" t="s">
        <v>80</v>
      </c>
      <c r="P4" s="17" t="s">
        <v>57</v>
      </c>
      <c r="Q4" s="16" t="s">
        <v>17</v>
      </c>
      <c r="R4" s="16" t="s">
        <v>18</v>
      </c>
      <c r="S4" s="3" t="s">
        <v>19</v>
      </c>
      <c r="T4" s="3" t="s">
        <v>19</v>
      </c>
      <c r="U4" s="3" t="s">
        <v>19</v>
      </c>
      <c r="W4" s="249" t="s">
        <v>19</v>
      </c>
      <c r="X4" s="250" t="s">
        <v>19</v>
      </c>
    </row>
    <row r="5" spans="1:24" ht="15.6" x14ac:dyDescent="0.3">
      <c r="B5" s="50"/>
      <c r="C5" s="50"/>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251" t="s">
        <v>38</v>
      </c>
      <c r="X5" s="252" t="s">
        <v>39</v>
      </c>
    </row>
    <row r="6" spans="1:24" s="44" customFormat="1" ht="15.6" x14ac:dyDescent="0.3">
      <c r="A6" s="172"/>
      <c r="B6" s="172"/>
      <c r="C6" s="165" t="s">
        <v>21</v>
      </c>
      <c r="D6" s="203">
        <v>27.33</v>
      </c>
      <c r="E6" s="45"/>
      <c r="F6" s="170" t="s">
        <v>22</v>
      </c>
      <c r="G6" s="170" t="s">
        <v>23</v>
      </c>
      <c r="H6" s="170" t="s">
        <v>24</v>
      </c>
      <c r="I6" s="170" t="s">
        <v>32</v>
      </c>
      <c r="J6" s="170" t="s">
        <v>27</v>
      </c>
      <c r="K6" s="170" t="s">
        <v>28</v>
      </c>
      <c r="L6" s="170" t="s">
        <v>40</v>
      </c>
      <c r="M6" s="170" t="s">
        <v>79</v>
      </c>
      <c r="O6" s="170" t="s">
        <v>25</v>
      </c>
      <c r="P6" s="170" t="s">
        <v>26</v>
      </c>
      <c r="Q6" s="170" t="s">
        <v>32</v>
      </c>
      <c r="R6" s="170" t="s">
        <v>27</v>
      </c>
      <c r="S6" s="170" t="s">
        <v>28</v>
      </c>
      <c r="T6" s="170" t="s">
        <v>40</v>
      </c>
      <c r="U6" s="170" t="s">
        <v>79</v>
      </c>
      <c r="W6" s="253" t="s">
        <v>40</v>
      </c>
      <c r="X6" s="254" t="s">
        <v>79</v>
      </c>
    </row>
    <row r="7" spans="1:24" s="44" customFormat="1" ht="15.6" x14ac:dyDescent="0.3">
      <c r="A7" s="172"/>
      <c r="B7" s="172"/>
      <c r="C7" s="165" t="s">
        <v>29</v>
      </c>
      <c r="D7" s="46">
        <v>0</v>
      </c>
      <c r="E7" s="267"/>
      <c r="F7" s="173">
        <f>'Baseload Avoided Capacity Calcs'!F7</f>
        <v>2020</v>
      </c>
      <c r="G7" s="280">
        <v>1</v>
      </c>
      <c r="H7" s="174">
        <f>'Capacity Delivered'!H7</f>
        <v>5.6959999999999997</v>
      </c>
      <c r="I7" s="275">
        <f t="shared" ref="I7:I27" si="0">SUM(H7)/((1+$D$8)^G7)</f>
        <v>5.3040320327777257</v>
      </c>
      <c r="J7" s="281">
        <f>I7</f>
        <v>5.3040320327777257</v>
      </c>
      <c r="K7" s="269">
        <f>(-PMT($D$8,G7,(J7),,1))</f>
        <v>5.3040320327777248</v>
      </c>
      <c r="L7" s="281">
        <f>+K7/'Capacity Delivered'!P8*1000</f>
        <v>2.0182770292152683</v>
      </c>
      <c r="M7" s="282">
        <f t="shared" ref="M7:M27" si="1">L7/1000</f>
        <v>2.0182770292152684E-3</v>
      </c>
      <c r="O7" s="179">
        <f>D13</f>
        <v>33.298951188946049</v>
      </c>
      <c r="P7" s="179">
        <f t="shared" ref="P7:P27" si="2">(H7+O7)*$D$7</f>
        <v>0</v>
      </c>
      <c r="Q7" s="179">
        <f t="shared" ref="Q7:Q27" si="3">SUM(O7:P7)/((1+$D$8)^G7)</f>
        <v>31.007497149591252</v>
      </c>
      <c r="R7" s="179">
        <f>Q7</f>
        <v>31.007497149591252</v>
      </c>
      <c r="S7" s="179">
        <f>(-PMT($D$8,G7,(R7),,1))</f>
        <v>31.007497149591245</v>
      </c>
      <c r="T7" s="281">
        <f>+S7/'Capacity Delivered'!L7*1000</f>
        <v>3.5299973986328834</v>
      </c>
      <c r="U7" s="282">
        <f t="shared" ref="U7:U20" si="4">T7/1000</f>
        <v>3.5299973986328832E-3</v>
      </c>
      <c r="W7" s="271">
        <f>L7+T7</f>
        <v>5.5482744278481517</v>
      </c>
      <c r="X7" s="272">
        <f t="shared" ref="X7:X20" si="5">W7/1000</f>
        <v>5.5482744278481516E-3</v>
      </c>
    </row>
    <row r="8" spans="1:24" s="44" customFormat="1" ht="15.6" x14ac:dyDescent="0.3">
      <c r="A8" s="172"/>
      <c r="B8" s="172"/>
      <c r="C8" s="165" t="s">
        <v>33</v>
      </c>
      <c r="D8" s="46">
        <f>Rate_of_Return</f>
        <v>7.3899999999999993E-2</v>
      </c>
      <c r="E8" s="267"/>
      <c r="F8" s="173">
        <f>'Baseload Avoided Capacity Calcs'!F8</f>
        <v>2021</v>
      </c>
      <c r="G8" s="37">
        <v>2</v>
      </c>
      <c r="H8" s="174">
        <f>'Capacity Delivered'!H8</f>
        <v>5.6959999999999997</v>
      </c>
      <c r="I8" s="268">
        <f t="shared" si="0"/>
        <v>4.9390371848195596</v>
      </c>
      <c r="J8" s="269">
        <f t="shared" ref="J8:J27" si="6">J7+I8</f>
        <v>10.243069217597284</v>
      </c>
      <c r="K8" s="269">
        <f t="shared" ref="K8:K27" si="7">(-PMT($D$8,G8,(J8),,1))</f>
        <v>5.3040320327777239</v>
      </c>
      <c r="L8" s="269">
        <f>+K8/'Capacity Delivered'!P9*1000</f>
        <v>2.0182770292152679</v>
      </c>
      <c r="M8" s="270">
        <f t="shared" si="1"/>
        <v>2.018277029215268E-3</v>
      </c>
      <c r="O8" s="174">
        <f t="shared" ref="O8:O27" si="8">O7+(O7*$D$9)</f>
        <v>34.131424968669698</v>
      </c>
      <c r="P8" s="174">
        <f t="shared" si="2"/>
        <v>0</v>
      </c>
      <c r="Q8" s="174">
        <f t="shared" si="3"/>
        <v>29.595571820775707</v>
      </c>
      <c r="R8" s="174">
        <f t="shared" ref="R8:R12" si="9">R7+Q8</f>
        <v>60.603068970366962</v>
      </c>
      <c r="S8" s="174">
        <f t="shared" ref="S8:S27" si="10">(-PMT($D$8,G8,(R8),,1))</f>
        <v>31.381279602332352</v>
      </c>
      <c r="T8" s="269">
        <f>+S8/'Capacity Delivered'!L8*1000</f>
        <v>3.582337854147529</v>
      </c>
      <c r="U8" s="270">
        <f t="shared" si="4"/>
        <v>3.5823378541475289E-3</v>
      </c>
      <c r="W8" s="271">
        <f t="shared" ref="W8:W27" si="11">L8+T8</f>
        <v>5.6006148833627964</v>
      </c>
      <c r="X8" s="272">
        <f t="shared" si="5"/>
        <v>5.6006148833627964E-3</v>
      </c>
    </row>
    <row r="9" spans="1:24" s="44" customFormat="1" ht="15.6" x14ac:dyDescent="0.3">
      <c r="A9" s="172"/>
      <c r="B9" s="172"/>
      <c r="C9" s="165" t="s">
        <v>34</v>
      </c>
      <c r="D9" s="46">
        <v>2.5000000000000001E-2</v>
      </c>
      <c r="E9" s="273"/>
      <c r="F9" s="173">
        <f>'Baseload Avoided Capacity Calcs'!F9</f>
        <v>2022</v>
      </c>
      <c r="G9" s="37">
        <v>3</v>
      </c>
      <c r="H9" s="174">
        <f>'Capacity Delivered'!H9</f>
        <v>5.6959999999999997</v>
      </c>
      <c r="I9" s="268">
        <f t="shared" si="0"/>
        <v>4.599159311685967</v>
      </c>
      <c r="J9" s="269">
        <f t="shared" si="6"/>
        <v>14.842228529283251</v>
      </c>
      <c r="K9" s="269">
        <f t="shared" si="7"/>
        <v>5.3040320327777239</v>
      </c>
      <c r="L9" s="269">
        <f>+K9/'Capacity Delivered'!P10*1000</f>
        <v>2.0182770292152679</v>
      </c>
      <c r="M9" s="270">
        <f t="shared" si="1"/>
        <v>2.018277029215268E-3</v>
      </c>
      <c r="O9" s="174">
        <f t="shared" si="8"/>
        <v>34.984710592886444</v>
      </c>
      <c r="P9" s="174">
        <f t="shared" si="2"/>
        <v>0</v>
      </c>
      <c r="Q9" s="174">
        <f t="shared" si="3"/>
        <v>28.247938463818887</v>
      </c>
      <c r="R9" s="174">
        <f t="shared" si="9"/>
        <v>88.851007434185846</v>
      </c>
      <c r="S9" s="174">
        <f t="shared" si="10"/>
        <v>31.75187530940487</v>
      </c>
      <c r="T9" s="269">
        <f>+S9/'Capacity Delivered'!L9*1000</f>
        <v>3.6246433001603733</v>
      </c>
      <c r="U9" s="270">
        <f t="shared" si="4"/>
        <v>3.6246433001603734E-3</v>
      </c>
      <c r="W9" s="271">
        <f t="shared" si="11"/>
        <v>5.6429203293756416</v>
      </c>
      <c r="X9" s="272">
        <f t="shared" si="5"/>
        <v>5.6429203293756414E-3</v>
      </c>
    </row>
    <row r="10" spans="1:24" s="44" customFormat="1" ht="15.6" x14ac:dyDescent="0.3">
      <c r="B10" s="172"/>
      <c r="C10" s="165"/>
      <c r="D10" s="51"/>
      <c r="E10" s="267"/>
      <c r="F10" s="173">
        <f>'Baseload Avoided Capacity Calcs'!F10</f>
        <v>2023</v>
      </c>
      <c r="G10" s="37">
        <v>4</v>
      </c>
      <c r="H10" s="174">
        <f>'Capacity Delivered'!H10</f>
        <v>5.952</v>
      </c>
      <c r="I10" s="268">
        <f t="shared" si="0"/>
        <v>4.475149549283195</v>
      </c>
      <c r="J10" s="269">
        <f t="shared" si="6"/>
        <v>19.317378078566446</v>
      </c>
      <c r="K10" s="269">
        <f t="shared" si="7"/>
        <v>5.3574136337334037</v>
      </c>
      <c r="L10" s="269">
        <f>+K10/'Capacity Delivered'!P11*1000</f>
        <v>2.0330197456486809</v>
      </c>
      <c r="M10" s="270">
        <f t="shared" si="1"/>
        <v>2.0330197456486809E-3</v>
      </c>
      <c r="O10" s="174">
        <f t="shared" si="8"/>
        <v>35.859328357708605</v>
      </c>
      <c r="P10" s="174">
        <f t="shared" si="2"/>
        <v>0</v>
      </c>
      <c r="Q10" s="174">
        <f t="shared" si="3"/>
        <v>26.961669545967368</v>
      </c>
      <c r="R10" s="174">
        <f t="shared" si="9"/>
        <v>115.81267698015321</v>
      </c>
      <c r="S10" s="174">
        <f t="shared" si="10"/>
        <v>32.119080140646084</v>
      </c>
      <c r="T10" s="269">
        <f>+S10/'Capacity Delivered'!L10*1000</f>
        <v>3.6665616598911055</v>
      </c>
      <c r="U10" s="270">
        <f t="shared" si="4"/>
        <v>3.6665616598911053E-3</v>
      </c>
      <c r="W10" s="271">
        <f t="shared" si="11"/>
        <v>5.6995814055397869</v>
      </c>
      <c r="X10" s="272">
        <f t="shared" si="5"/>
        <v>5.6995814055397871E-3</v>
      </c>
    </row>
    <row r="11" spans="1:24" s="44" customFormat="1" ht="15.6" x14ac:dyDescent="0.3">
      <c r="B11" s="172"/>
      <c r="C11" s="165" t="str">
        <f>C6</f>
        <v>Deferred T&amp;D Cost Credit ($/kw-yr) (4):</v>
      </c>
      <c r="D11" s="206" t="s">
        <v>51</v>
      </c>
      <c r="E11" s="267"/>
      <c r="F11" s="173">
        <f>'Baseload Avoided Capacity Calcs'!F11</f>
        <v>2024</v>
      </c>
      <c r="G11" s="37">
        <v>5</v>
      </c>
      <c r="H11" s="174">
        <f>'Capacity Delivered'!H11</f>
        <v>5.952</v>
      </c>
      <c r="I11" s="268">
        <f t="shared" si="0"/>
        <v>4.1671939186918658</v>
      </c>
      <c r="J11" s="269">
        <f t="shared" si="6"/>
        <v>23.48457199725831</v>
      </c>
      <c r="K11" s="269">
        <f t="shared" si="7"/>
        <v>5.3893343927561883</v>
      </c>
      <c r="L11" s="269">
        <f>+K11/'Capacity Delivered'!P12*1000</f>
        <v>2.0507360703029636</v>
      </c>
      <c r="M11" s="270">
        <f t="shared" si="1"/>
        <v>2.0507360703029636E-3</v>
      </c>
      <c r="O11" s="174">
        <f t="shared" si="8"/>
        <v>36.755811566651317</v>
      </c>
      <c r="P11" s="174">
        <f t="shared" si="2"/>
        <v>0</v>
      </c>
      <c r="Q11" s="174">
        <f t="shared" si="3"/>
        <v>25.733970839572162</v>
      </c>
      <c r="R11" s="174">
        <f t="shared" si="9"/>
        <v>141.54664781972537</v>
      </c>
      <c r="S11" s="174">
        <f t="shared" si="10"/>
        <v>32.482696187235227</v>
      </c>
      <c r="T11" s="269">
        <f>+S11/'Capacity Delivered'!L11*1000</f>
        <v>3.6979390012790558</v>
      </c>
      <c r="U11" s="270">
        <f t="shared" si="4"/>
        <v>3.6979390012790558E-3</v>
      </c>
      <c r="W11" s="271">
        <f t="shared" si="11"/>
        <v>5.748675071582019</v>
      </c>
      <c r="X11" s="272">
        <f t="shared" si="5"/>
        <v>5.7486750715820189E-3</v>
      </c>
    </row>
    <row r="12" spans="1:24" s="44" customFormat="1" ht="15.6" x14ac:dyDescent="0.3">
      <c r="B12" s="274"/>
      <c r="C12" s="205">
        <v>2012</v>
      </c>
      <c r="D12" s="275">
        <f>D6</f>
        <v>27.33</v>
      </c>
      <c r="E12" s="267"/>
      <c r="F12" s="173">
        <f>'Baseload Avoided Capacity Calcs'!F12</f>
        <v>2025</v>
      </c>
      <c r="G12" s="37">
        <v>6</v>
      </c>
      <c r="H12" s="174">
        <f>'Capacity Delivered'!H12</f>
        <v>5.12</v>
      </c>
      <c r="I12" s="268">
        <f t="shared" si="0"/>
        <v>3.3380044145732448</v>
      </c>
      <c r="J12" s="269">
        <f t="shared" si="6"/>
        <v>26.822576411831555</v>
      </c>
      <c r="K12" s="269">
        <f t="shared" si="7"/>
        <v>5.3032783754337514</v>
      </c>
      <c r="L12" s="269">
        <f>+K12/'Capacity Delivered'!P13*1000</f>
        <v>2.0179902494040149</v>
      </c>
      <c r="M12" s="270">
        <f t="shared" si="1"/>
        <v>2.0179902494040151E-3</v>
      </c>
      <c r="O12" s="174">
        <f t="shared" si="8"/>
        <v>37.674706855817604</v>
      </c>
      <c r="P12" s="174">
        <f t="shared" si="2"/>
        <v>0</v>
      </c>
      <c r="Q12" s="174">
        <f t="shared" si="3"/>
        <v>24.562175352045323</v>
      </c>
      <c r="R12" s="174">
        <f t="shared" si="9"/>
        <v>166.10882317177069</v>
      </c>
      <c r="S12" s="174">
        <f t="shared" si="10"/>
        <v>32.842532215026971</v>
      </c>
      <c r="T12" s="269">
        <f>+S12/'Capacity Delivered'!L12*1000</f>
        <v>3.7491475131309326</v>
      </c>
      <c r="U12" s="270">
        <f t="shared" si="4"/>
        <v>3.7491475131309327E-3</v>
      </c>
      <c r="W12" s="271">
        <f t="shared" si="11"/>
        <v>5.7671377625349471</v>
      </c>
      <c r="X12" s="272">
        <f t="shared" si="5"/>
        <v>5.7671377625349469E-3</v>
      </c>
    </row>
    <row r="13" spans="1:24" s="44" customFormat="1" ht="15.6" x14ac:dyDescent="0.3">
      <c r="B13" s="274"/>
      <c r="C13" s="166">
        <f>'Baseload Avoided Capacity Calcs'!C13</f>
        <v>2020</v>
      </c>
      <c r="D13" s="204">
        <f>D12*((1+$D$9)^($C$13-$C$12))</f>
        <v>33.298951188946049</v>
      </c>
      <c r="E13" s="267"/>
      <c r="F13" s="173">
        <f>'Baseload Avoided Capacity Calcs'!F13</f>
        <v>2026</v>
      </c>
      <c r="G13" s="37">
        <v>7</v>
      </c>
      <c r="H13" s="174">
        <f>'Capacity Delivered'!H13</f>
        <v>5.12</v>
      </c>
      <c r="I13" s="268">
        <f t="shared" si="0"/>
        <v>3.1083009726913535</v>
      </c>
      <c r="J13" s="269">
        <f>J12+I13</f>
        <v>29.930877384522908</v>
      </c>
      <c r="K13" s="269">
        <f t="shared" si="7"/>
        <v>5.2421204887093404</v>
      </c>
      <c r="L13" s="269">
        <f>+K13/'Capacity Delivered'!P14*1000</f>
        <v>1.9947186030096427</v>
      </c>
      <c r="M13" s="270">
        <f t="shared" si="1"/>
        <v>1.9947186030096426E-3</v>
      </c>
      <c r="O13" s="174">
        <f>O12+(O12*$D$9)</f>
        <v>38.616574527213047</v>
      </c>
      <c r="P13" s="174">
        <f t="shared" si="2"/>
        <v>0</v>
      </c>
      <c r="Q13" s="174">
        <f t="shared" si="3"/>
        <v>23.443737532215714</v>
      </c>
      <c r="R13" s="174">
        <f>R12+Q13</f>
        <v>189.55256070398642</v>
      </c>
      <c r="S13" s="174">
        <f t="shared" si="10"/>
        <v>33.198404089133149</v>
      </c>
      <c r="T13" s="269">
        <f>+S13/'Capacity Delivered'!L13*1000</f>
        <v>3.7897721562937385</v>
      </c>
      <c r="U13" s="270">
        <f t="shared" si="4"/>
        <v>3.7897721562937386E-3</v>
      </c>
      <c r="W13" s="271">
        <f t="shared" si="11"/>
        <v>5.784490759303381</v>
      </c>
      <c r="X13" s="272">
        <f t="shared" si="5"/>
        <v>5.7844907593033812E-3</v>
      </c>
    </row>
    <row r="14" spans="1:24" s="44" customFormat="1" x14ac:dyDescent="0.25">
      <c r="B14" s="274"/>
      <c r="C14" s="276"/>
      <c r="D14" s="276"/>
      <c r="E14" s="267"/>
      <c r="F14" s="173">
        <f>'Baseload Avoided Capacity Calcs'!F14</f>
        <v>2027</v>
      </c>
      <c r="G14" s="37">
        <v>8</v>
      </c>
      <c r="H14" s="174">
        <f>'Capacity Delivered'!H14</f>
        <v>5.1505880895721887</v>
      </c>
      <c r="I14" s="268">
        <f t="shared" si="0"/>
        <v>2.9116963376677827</v>
      </c>
      <c r="J14" s="269">
        <f t="shared" si="6"/>
        <v>32.842573722190693</v>
      </c>
      <c r="K14" s="269">
        <f t="shared" si="7"/>
        <v>5.1992595990543808</v>
      </c>
      <c r="L14" s="269">
        <f>+K14/'Capacity Delivered'!P15*1000</f>
        <v>1.9730037944195438</v>
      </c>
      <c r="M14" s="270">
        <f t="shared" si="1"/>
        <v>1.9730037944195437E-3</v>
      </c>
      <c r="O14" s="174">
        <f t="shared" si="8"/>
        <v>39.581988890393376</v>
      </c>
      <c r="P14" s="174">
        <f t="shared" si="2"/>
        <v>0</v>
      </c>
      <c r="Q14" s="174">
        <f t="shared" si="3"/>
        <v>22.376227740498283</v>
      </c>
      <c r="R14" s="174">
        <f t="shared" ref="R14:R20" si="12">R13+Q14</f>
        <v>211.9287884444847</v>
      </c>
      <c r="S14" s="174">
        <f t="shared" si="10"/>
        <v>33.550135167739661</v>
      </c>
      <c r="T14" s="269">
        <f>+S14/'Capacity Delivered'!L14*1000</f>
        <v>3.829924105906354</v>
      </c>
      <c r="U14" s="270">
        <f t="shared" si="4"/>
        <v>3.8299241059063542E-3</v>
      </c>
      <c r="W14" s="271">
        <f t="shared" si="11"/>
        <v>5.8029279003258978</v>
      </c>
      <c r="X14" s="272">
        <f t="shared" si="5"/>
        <v>5.8029279003258974E-3</v>
      </c>
    </row>
    <row r="15" spans="1:24" s="44" customFormat="1" x14ac:dyDescent="0.25">
      <c r="B15" s="276"/>
      <c r="C15" s="277"/>
      <c r="D15" s="277"/>
      <c r="E15" s="267"/>
      <c r="F15" s="173">
        <f>'Baseload Avoided Capacity Calcs'!F15</f>
        <v>2028</v>
      </c>
      <c r="G15" s="37">
        <v>9</v>
      </c>
      <c r="H15" s="174">
        <f>'Capacity Delivered'!H15</f>
        <v>5.1505880895721887</v>
      </c>
      <c r="I15" s="268">
        <f t="shared" si="0"/>
        <v>2.7113291159957003</v>
      </c>
      <c r="J15" s="269">
        <f t="shared" si="6"/>
        <v>35.553902838186396</v>
      </c>
      <c r="K15" s="269">
        <f t="shared" si="7"/>
        <v>5.1661473033497192</v>
      </c>
      <c r="L15" s="269">
        <f>+K15/'Capacity Delivered'!P16*1000</f>
        <v>1.9658094761604714</v>
      </c>
      <c r="M15" s="270">
        <f t="shared" si="1"/>
        <v>1.9658094761604715E-3</v>
      </c>
      <c r="O15" s="174">
        <f t="shared" si="8"/>
        <v>40.571538612653214</v>
      </c>
      <c r="P15" s="174">
        <f t="shared" si="2"/>
        <v>0</v>
      </c>
      <c r="Q15" s="174">
        <f t="shared" si="3"/>
        <v>21.357326970863898</v>
      </c>
      <c r="R15" s="174">
        <f t="shared" si="12"/>
        <v>233.2861154153486</v>
      </c>
      <c r="S15" s="174">
        <f t="shared" si="10"/>
        <v>33.897556663385743</v>
      </c>
      <c r="T15" s="269">
        <f>+S15/'Capacity Delivered'!L15*1000</f>
        <v>3.8590114598572112</v>
      </c>
      <c r="U15" s="270">
        <f t="shared" si="4"/>
        <v>3.8590114598572112E-3</v>
      </c>
      <c r="W15" s="271">
        <f t="shared" si="11"/>
        <v>5.8248209360176828</v>
      </c>
      <c r="X15" s="272">
        <f t="shared" si="5"/>
        <v>5.8248209360176832E-3</v>
      </c>
    </row>
    <row r="16" spans="1:24" s="44" customFormat="1" x14ac:dyDescent="0.25">
      <c r="B16" s="276"/>
      <c r="C16" s="277"/>
      <c r="D16" s="277"/>
      <c r="E16" s="267"/>
      <c r="F16" s="173">
        <f>'Baseload Avoided Capacity Calcs'!F16</f>
        <v>2029</v>
      </c>
      <c r="G16" s="37">
        <v>10</v>
      </c>
      <c r="H16" s="174">
        <f>'Capacity Delivered'!H16</f>
        <v>5.1505880895721887</v>
      </c>
      <c r="I16" s="268">
        <f t="shared" si="0"/>
        <v>2.5247500847338675</v>
      </c>
      <c r="J16" s="269">
        <f t="shared" si="6"/>
        <v>38.078652922920263</v>
      </c>
      <c r="K16" s="269">
        <f t="shared" si="7"/>
        <v>5.1398573015355282</v>
      </c>
      <c r="L16" s="269">
        <f>+K16/'Capacity Delivered'!P17*1000</f>
        <v>1.9558056702951021</v>
      </c>
      <c r="M16" s="270">
        <f t="shared" si="1"/>
        <v>1.9558056702951021E-3</v>
      </c>
      <c r="N16" s="279"/>
      <c r="O16" s="174">
        <f t="shared" si="8"/>
        <v>41.585827077969547</v>
      </c>
      <c r="P16" s="174">
        <f t="shared" si="2"/>
        <v>0</v>
      </c>
      <c r="Q16" s="174">
        <f t="shared" si="3"/>
        <v>20.384821813144146</v>
      </c>
      <c r="R16" s="174">
        <f t="shared" si="12"/>
        <v>253.67093722849276</v>
      </c>
      <c r="S16" s="174">
        <f t="shared" si="10"/>
        <v>34.240507970186826</v>
      </c>
      <c r="T16" s="269">
        <f>+S16/'Capacity Delivered'!L16*1000</f>
        <v>3.9087337865510077</v>
      </c>
      <c r="U16" s="270">
        <f t="shared" si="4"/>
        <v>3.9087337865510077E-3</v>
      </c>
      <c r="V16" s="279"/>
      <c r="W16" s="271">
        <f t="shared" si="11"/>
        <v>5.86453945684611</v>
      </c>
      <c r="X16" s="272">
        <f t="shared" si="5"/>
        <v>5.8645394568461098E-3</v>
      </c>
    </row>
    <row r="17" spans="2:24" s="44" customFormat="1" x14ac:dyDescent="0.25">
      <c r="B17" s="276"/>
      <c r="C17" s="277"/>
      <c r="D17" s="277"/>
      <c r="E17" s="267"/>
      <c r="F17" s="173">
        <f>'Baseload Avoided Capacity Calcs'!F17</f>
        <v>2030</v>
      </c>
      <c r="G17" s="37">
        <v>11</v>
      </c>
      <c r="H17" s="174">
        <f>'Capacity Delivered'!H17</f>
        <v>5.1505880895721887</v>
      </c>
      <c r="I17" s="268">
        <f t="shared" si="0"/>
        <v>2.3510104150608693</v>
      </c>
      <c r="J17" s="269">
        <f t="shared" si="6"/>
        <v>40.429663337981133</v>
      </c>
      <c r="K17" s="269">
        <f t="shared" si="7"/>
        <v>5.1185272372908548</v>
      </c>
      <c r="L17" s="269">
        <f>+K17/'Capacity Delivered'!P18*1000</f>
        <v>1.947689207492715</v>
      </c>
      <c r="M17" s="270">
        <f t="shared" si="1"/>
        <v>1.9476892074927149E-3</v>
      </c>
      <c r="O17" s="174">
        <f t="shared" si="8"/>
        <v>42.625472754918789</v>
      </c>
      <c r="P17" s="174">
        <f t="shared" si="2"/>
        <v>0</v>
      </c>
      <c r="Q17" s="174">
        <f t="shared" si="3"/>
        <v>19.456599644727394</v>
      </c>
      <c r="R17" s="174">
        <f t="shared" si="12"/>
        <v>273.12753687322015</v>
      </c>
      <c r="S17" s="174">
        <f t="shared" si="10"/>
        <v>34.578836955745707</v>
      </c>
      <c r="T17" s="269">
        <f>+S17/'Capacity Delivered'!L17*1000</f>
        <v>3.9473558168659486</v>
      </c>
      <c r="U17" s="270">
        <f t="shared" si="4"/>
        <v>3.9473558168659486E-3</v>
      </c>
      <c r="W17" s="271">
        <f t="shared" si="11"/>
        <v>5.8950450243586641</v>
      </c>
      <c r="X17" s="272">
        <f t="shared" si="5"/>
        <v>5.8950450243586642E-3</v>
      </c>
    </row>
    <row r="18" spans="2:24" s="44" customFormat="1" x14ac:dyDescent="0.25">
      <c r="B18" s="277"/>
      <c r="C18" s="277"/>
      <c r="D18" s="277"/>
      <c r="E18" s="267"/>
      <c r="F18" s="173">
        <f>'Baseload Avoided Capacity Calcs'!F18</f>
        <v>2031</v>
      </c>
      <c r="G18" s="37">
        <v>12</v>
      </c>
      <c r="H18" s="174">
        <f>'Capacity Delivered'!H18</f>
        <v>5.3860541662063364</v>
      </c>
      <c r="I18" s="268">
        <f t="shared" si="0"/>
        <v>2.2893100148512464</v>
      </c>
      <c r="J18" s="269">
        <f t="shared" si="6"/>
        <v>42.718973352832379</v>
      </c>
      <c r="K18" s="269">
        <f t="shared" si="7"/>
        <v>5.1128940532579561</v>
      </c>
      <c r="L18" s="269">
        <f>+K18/'Capacity Delivered'!P19*1000</f>
        <v>1.9402299837803416</v>
      </c>
      <c r="M18" s="270">
        <f t="shared" si="1"/>
        <v>1.9402299837803416E-3</v>
      </c>
      <c r="O18" s="174">
        <f t="shared" si="8"/>
        <v>43.691109573791756</v>
      </c>
      <c r="P18" s="174">
        <f t="shared" si="2"/>
        <v>0</v>
      </c>
      <c r="Q18" s="174">
        <f t="shared" si="3"/>
        <v>18.570644041200836</v>
      </c>
      <c r="R18" s="174">
        <f t="shared" si="12"/>
        <v>291.69818091442096</v>
      </c>
      <c r="S18" s="174">
        <f t="shared" si="10"/>
        <v>34.912400216767409</v>
      </c>
      <c r="T18" s="269">
        <f>+S18/'Capacity Delivered'!L18*1000</f>
        <v>3.9854338146994763</v>
      </c>
      <c r="U18" s="270">
        <f t="shared" si="4"/>
        <v>3.9854338146994763E-3</v>
      </c>
      <c r="W18" s="271">
        <f t="shared" si="11"/>
        <v>5.9256637984798175</v>
      </c>
      <c r="X18" s="272">
        <f t="shared" si="5"/>
        <v>5.9256637984798173E-3</v>
      </c>
    </row>
    <row r="19" spans="2:24" s="44" customFormat="1" x14ac:dyDescent="0.25">
      <c r="B19" s="277"/>
      <c r="C19" s="277"/>
      <c r="D19" s="277"/>
      <c r="E19" s="192"/>
      <c r="F19" s="173">
        <f>'Baseload Avoided Capacity Calcs'!F19</f>
        <v>2032</v>
      </c>
      <c r="G19" s="37">
        <v>13</v>
      </c>
      <c r="H19" s="174">
        <f>'Capacity Delivered'!H19</f>
        <v>5.3860541662063364</v>
      </c>
      <c r="I19" s="268">
        <f t="shared" si="0"/>
        <v>2.131772059643585</v>
      </c>
      <c r="J19" s="269">
        <f t="shared" si="6"/>
        <v>44.850745412475966</v>
      </c>
      <c r="K19" s="269">
        <f t="shared" si="7"/>
        <v>5.1081751473489261</v>
      </c>
      <c r="L19" s="269">
        <f>+K19/'Capacity Delivered'!P20*1000</f>
        <v>1.9437500560688454</v>
      </c>
      <c r="M19" s="270">
        <f t="shared" si="1"/>
        <v>1.9437500560688455E-3</v>
      </c>
      <c r="O19" s="174">
        <f t="shared" si="8"/>
        <v>44.783387313136551</v>
      </c>
      <c r="P19" s="174">
        <f t="shared" si="2"/>
        <v>0</v>
      </c>
      <c r="Q19" s="174">
        <f t="shared" si="3"/>
        <v>17.725030395968759</v>
      </c>
      <c r="R19" s="174">
        <f t="shared" si="12"/>
        <v>309.42321131038972</v>
      </c>
      <c r="S19" s="174">
        <f t="shared" si="10"/>
        <v>35.241063297667324</v>
      </c>
      <c r="T19" s="269">
        <f>+S19/'Capacity Delivered'!L19*1000</f>
        <v>4.0119607579311616</v>
      </c>
      <c r="U19" s="270">
        <f t="shared" si="4"/>
        <v>4.0119607579311616E-3</v>
      </c>
      <c r="W19" s="271">
        <f t="shared" si="11"/>
        <v>5.9557108140000068</v>
      </c>
      <c r="X19" s="272">
        <f t="shared" si="5"/>
        <v>5.9557108140000066E-3</v>
      </c>
    </row>
    <row r="20" spans="2:24" s="44" customFormat="1" x14ac:dyDescent="0.25">
      <c r="B20" s="277"/>
      <c r="C20" s="277"/>
      <c r="D20" s="277"/>
      <c r="E20" s="192"/>
      <c r="F20" s="173">
        <f>'Baseload Avoided Capacity Calcs'!F20</f>
        <v>2033</v>
      </c>
      <c r="G20" s="37">
        <v>14</v>
      </c>
      <c r="H20" s="174">
        <f>'Capacity Delivered'!H20</f>
        <v>5.3860541662063364</v>
      </c>
      <c r="I20" s="268">
        <f t="shared" si="0"/>
        <v>1.9850750159638562</v>
      </c>
      <c r="J20" s="269">
        <f t="shared" si="6"/>
        <v>46.835820428439824</v>
      </c>
      <c r="K20" s="269">
        <f t="shared" si="7"/>
        <v>5.1041740526348542</v>
      </c>
      <c r="L20" s="269">
        <f>+K20/'Capacity Delivered'!P21*1000</f>
        <v>1.9422275694957589</v>
      </c>
      <c r="M20" s="270">
        <f t="shared" si="1"/>
        <v>1.9422275694957589E-3</v>
      </c>
      <c r="O20" s="174">
        <f t="shared" si="8"/>
        <v>45.902971995964961</v>
      </c>
      <c r="P20" s="174">
        <f t="shared" si="2"/>
        <v>0</v>
      </c>
      <c r="Q20" s="174">
        <f t="shared" si="3"/>
        <v>16.917921739331391</v>
      </c>
      <c r="R20" s="174">
        <f t="shared" si="12"/>
        <v>326.34113304972112</v>
      </c>
      <c r="S20" s="174">
        <f t="shared" si="10"/>
        <v>35.564700871736875</v>
      </c>
      <c r="T20" s="269">
        <f>+S20/'Capacity Delivered'!L20*1000</f>
        <v>4.059897359787314</v>
      </c>
      <c r="U20" s="270">
        <f t="shared" si="4"/>
        <v>4.0598973597873143E-3</v>
      </c>
      <c r="W20" s="271">
        <f t="shared" si="11"/>
        <v>6.002124929283073</v>
      </c>
      <c r="X20" s="272">
        <f t="shared" si="5"/>
        <v>6.0021249292830725E-3</v>
      </c>
    </row>
    <row r="21" spans="2:24" s="279" customFormat="1" x14ac:dyDescent="0.25">
      <c r="B21" s="277"/>
      <c r="C21" s="277"/>
      <c r="D21" s="277"/>
      <c r="E21" s="192"/>
      <c r="F21" s="173">
        <f>'Baseload Avoided Capacity Calcs'!F21</f>
        <v>2034</v>
      </c>
      <c r="G21" s="37">
        <v>15</v>
      </c>
      <c r="H21" s="174">
        <f>'Capacity Delivered'!H21</f>
        <v>5.6516370733022283</v>
      </c>
      <c r="I21" s="268">
        <f t="shared" si="0"/>
        <v>1.9396198930221136</v>
      </c>
      <c r="J21" s="269">
        <f>J20+I21</f>
        <v>48.775440321461936</v>
      </c>
      <c r="K21" s="269">
        <f t="shared" si="7"/>
        <v>5.1102963088933855</v>
      </c>
      <c r="L21" s="269">
        <f>+K21/'Capacity Delivered'!P22*1000</f>
        <v>1.9445571951649108</v>
      </c>
      <c r="M21" s="270">
        <f>L21/1000</f>
        <v>1.9445571951649107E-3</v>
      </c>
      <c r="O21" s="174">
        <f t="shared" si="8"/>
        <v>47.050546295864088</v>
      </c>
      <c r="P21" s="174">
        <f t="shared" si="2"/>
        <v>0</v>
      </c>
      <c r="Q21" s="174">
        <f t="shared" si="3"/>
        <v>16.147564747941779</v>
      </c>
      <c r="R21" s="174">
        <f>R20+Q21</f>
        <v>342.48869779766289</v>
      </c>
      <c r="S21" s="174">
        <f t="shared" si="10"/>
        <v>35.883196884702976</v>
      </c>
      <c r="T21" s="269">
        <f>+S21/'Capacity Delivered'!L21*1000</f>
        <v>4.0962553521350422</v>
      </c>
      <c r="U21" s="270">
        <f>T21/1000</f>
        <v>4.0962553521350425E-3</v>
      </c>
      <c r="W21" s="271">
        <f>L21+T21</f>
        <v>6.0408125472999528</v>
      </c>
      <c r="X21" s="272">
        <f>W21/1000</f>
        <v>6.0408125472999532E-3</v>
      </c>
    </row>
    <row r="22" spans="2:24" s="44" customFormat="1" x14ac:dyDescent="0.25">
      <c r="B22" s="277"/>
      <c r="C22" s="277"/>
      <c r="D22" s="277"/>
      <c r="E22" s="192"/>
      <c r="F22" s="173">
        <f>'Baseload Avoided Capacity Calcs'!F22</f>
        <v>2035</v>
      </c>
      <c r="G22" s="37">
        <v>16</v>
      </c>
      <c r="H22" s="174">
        <f>'Capacity Delivered'!H22</f>
        <v>5.6516370733022283</v>
      </c>
      <c r="I22" s="268">
        <f t="shared" si="0"/>
        <v>1.8061457240172394</v>
      </c>
      <c r="J22" s="269">
        <f t="shared" si="6"/>
        <v>50.581586045479177</v>
      </c>
      <c r="K22" s="269">
        <f t="shared" si="7"/>
        <v>5.1155868895640841</v>
      </c>
      <c r="L22" s="269">
        <f>+K22/'Capacity Delivered'!P23*1000</f>
        <v>1.9412518554812099</v>
      </c>
      <c r="M22" s="270">
        <f t="shared" si="1"/>
        <v>1.9412518554812099E-3</v>
      </c>
      <c r="O22" s="174">
        <f t="shared" si="8"/>
        <v>48.226809953260691</v>
      </c>
      <c r="P22" s="174">
        <f t="shared" si="2"/>
        <v>0</v>
      </c>
      <c r="Q22" s="174">
        <f t="shared" si="3"/>
        <v>15.41228593597199</v>
      </c>
      <c r="R22" s="174">
        <f t="shared" ref="R22:R27" si="13">R21+Q22</f>
        <v>357.90098373363486</v>
      </c>
      <c r="S22" s="174">
        <f t="shared" si="10"/>
        <v>36.196444660783989</v>
      </c>
      <c r="T22" s="269">
        <f>+S22/'Capacity Delivered'!L22*1000</f>
        <v>4.1320142306831036</v>
      </c>
      <c r="U22" s="270">
        <f t="shared" ref="U22:U27" si="14">T22/1000</f>
        <v>4.1320142306831035E-3</v>
      </c>
      <c r="W22" s="271">
        <f t="shared" si="11"/>
        <v>6.0732660861643133</v>
      </c>
      <c r="X22" s="272">
        <f t="shared" ref="X22:X27" si="15">W22/1000</f>
        <v>6.0732660861643134E-3</v>
      </c>
    </row>
    <row r="23" spans="2:24" s="44" customFormat="1" x14ac:dyDescent="0.25">
      <c r="B23" s="277"/>
      <c r="C23" s="277"/>
      <c r="D23" s="277"/>
      <c r="E23" s="192"/>
      <c r="F23" s="173">
        <f>'Baseload Avoided Capacity Calcs'!F23</f>
        <v>2036</v>
      </c>
      <c r="G23" s="37">
        <v>17</v>
      </c>
      <c r="H23" s="174">
        <f>'Capacity Delivered'!H23</f>
        <v>5.8297248580869283</v>
      </c>
      <c r="I23" s="268">
        <f t="shared" si="0"/>
        <v>1.7348532246919159</v>
      </c>
      <c r="J23" s="269">
        <f t="shared" si="6"/>
        <v>52.316439270171095</v>
      </c>
      <c r="K23" s="269">
        <f t="shared" si="7"/>
        <v>5.1253855455671227</v>
      </c>
      <c r="L23" s="269">
        <f>+K23/'Capacity Delivered'!P24*1000</f>
        <v>1.9502989138383267</v>
      </c>
      <c r="M23" s="270">
        <f t="shared" si="1"/>
        <v>1.9502989138383267E-3</v>
      </c>
      <c r="O23" s="174">
        <f t="shared" si="8"/>
        <v>49.432480202092208</v>
      </c>
      <c r="P23" s="174">
        <f t="shared" si="2"/>
        <v>0</v>
      </c>
      <c r="Q23" s="174">
        <f t="shared" si="3"/>
        <v>14.710488019714395</v>
      </c>
      <c r="R23" s="174">
        <f t="shared" si="13"/>
        <v>372.61147175334924</v>
      </c>
      <c r="S23" s="174">
        <f t="shared" si="10"/>
        <v>36.504346971602729</v>
      </c>
      <c r="T23" s="269">
        <f>+S23/'Capacity Delivered'!L23*1000</f>
        <v>4.155777205328179</v>
      </c>
      <c r="U23" s="270">
        <f t="shared" si="14"/>
        <v>4.1557772053281792E-3</v>
      </c>
      <c r="W23" s="271">
        <f t="shared" si="11"/>
        <v>6.1060761191665058</v>
      </c>
      <c r="X23" s="272">
        <f t="shared" si="15"/>
        <v>6.1060761191665059E-3</v>
      </c>
    </row>
    <row r="24" spans="2:24" x14ac:dyDescent="0.25">
      <c r="B24" s="175"/>
      <c r="C24" s="175"/>
      <c r="D24" s="175"/>
      <c r="E24" s="52"/>
      <c r="F24" s="173">
        <f>'Baseload Avoided Capacity Calcs'!F24</f>
        <v>2037</v>
      </c>
      <c r="G24" s="39">
        <v>18</v>
      </c>
      <c r="H24" s="174">
        <f>'Capacity Delivered'!H24</f>
        <v>5.8297248580869283</v>
      </c>
      <c r="I24" s="40">
        <f t="shared" si="0"/>
        <v>1.6154699922636333</v>
      </c>
      <c r="J24" s="41">
        <f t="shared" si="6"/>
        <v>53.931909262434729</v>
      </c>
      <c r="K24" s="41">
        <f t="shared" si="7"/>
        <v>5.1339738514419135</v>
      </c>
      <c r="L24" s="41">
        <f>+K24/'Capacity Delivered'!P25*1000</f>
        <v>1.9535669145517176</v>
      </c>
      <c r="M24" s="248">
        <f t="shared" si="1"/>
        <v>1.9535669145517177E-3</v>
      </c>
      <c r="O24" s="174">
        <f t="shared" si="8"/>
        <v>50.668292207144511</v>
      </c>
      <c r="P24" s="174">
        <f t="shared" si="2"/>
        <v>0</v>
      </c>
      <c r="Q24" s="174">
        <f t="shared" si="3"/>
        <v>14.040646447720695</v>
      </c>
      <c r="R24" s="174">
        <f t="shared" si="13"/>
        <v>386.65211820106992</v>
      </c>
      <c r="S24" s="174">
        <f t="shared" si="10"/>
        <v>36.806816068564046</v>
      </c>
      <c r="T24" s="41">
        <f>+S24/'Capacity Delivered'!L24*1000</f>
        <v>4.2016913320278588</v>
      </c>
      <c r="U24" s="248">
        <f t="shared" si="14"/>
        <v>4.2016913320278588E-3</v>
      </c>
      <c r="W24" s="255">
        <f t="shared" si="11"/>
        <v>6.1552582465795762</v>
      </c>
      <c r="X24" s="256">
        <f t="shared" si="15"/>
        <v>6.1552582465795765E-3</v>
      </c>
    </row>
    <row r="25" spans="2:24" x14ac:dyDescent="0.25">
      <c r="B25" s="175"/>
      <c r="C25" s="175"/>
      <c r="D25" s="175"/>
      <c r="E25" s="52"/>
      <c r="F25" s="173">
        <f>'Baseload Avoided Capacity Calcs'!F25</f>
        <v>2038</v>
      </c>
      <c r="G25" s="39">
        <v>19</v>
      </c>
      <c r="H25" s="174">
        <f>'Capacity Delivered'!H25</f>
        <v>5.8297248580869283</v>
      </c>
      <c r="I25" s="40">
        <f t="shared" si="0"/>
        <v>1.5043020693394482</v>
      </c>
      <c r="J25" s="41">
        <f t="shared" si="6"/>
        <v>55.436211331774174</v>
      </c>
      <c r="K25" s="41">
        <f t="shared" si="7"/>
        <v>5.1415448887998947</v>
      </c>
      <c r="L25" s="41">
        <f>+K25/'Capacity Delivered'!P26*1000</f>
        <v>1.9564478267883922</v>
      </c>
      <c r="M25" s="248">
        <f t="shared" si="1"/>
        <v>1.9564478267883921E-3</v>
      </c>
      <c r="O25" s="174">
        <f t="shared" si="8"/>
        <v>51.934999512323124</v>
      </c>
      <c r="P25" s="174">
        <f t="shared" si="2"/>
        <v>0</v>
      </c>
      <c r="Q25" s="174">
        <f t="shared" si="3"/>
        <v>13.401306088940974</v>
      </c>
      <c r="R25" s="174">
        <f t="shared" si="13"/>
        <v>400.05342429001092</v>
      </c>
      <c r="S25" s="174">
        <f t="shared" si="10"/>
        <v>37.103773679538229</v>
      </c>
      <c r="T25" s="41">
        <f>+S25/'Capacity Delivered'!L25*1000</f>
        <v>4.2355906026870125</v>
      </c>
      <c r="U25" s="248">
        <f t="shared" si="14"/>
        <v>4.2355906026870123E-3</v>
      </c>
      <c r="W25" s="255">
        <f t="shared" si="11"/>
        <v>6.1920384294754047</v>
      </c>
      <c r="X25" s="256">
        <f t="shared" si="15"/>
        <v>6.1920384294754044E-3</v>
      </c>
    </row>
    <row r="26" spans="2:24" x14ac:dyDescent="0.25">
      <c r="B26" s="175"/>
      <c r="C26" s="175"/>
      <c r="D26" s="175"/>
      <c r="E26" s="52"/>
      <c r="F26" s="173">
        <f>'Baseload Avoided Capacity Calcs'!F26</f>
        <v>2039</v>
      </c>
      <c r="G26" s="39">
        <v>20</v>
      </c>
      <c r="H26" s="174">
        <f>'Capacity Delivered'!H26</f>
        <v>5.8297248580869283</v>
      </c>
      <c r="I26" s="40">
        <f t="shared" si="0"/>
        <v>1.4007841226738507</v>
      </c>
      <c r="J26" s="41">
        <f t="shared" si="6"/>
        <v>56.836995454448022</v>
      </c>
      <c r="K26" s="41">
        <f t="shared" si="7"/>
        <v>5.1482531887755334</v>
      </c>
      <c r="L26" s="41">
        <f>+K26/'Capacity Delivered'!P27*1000</f>
        <v>1.9536479920975767</v>
      </c>
      <c r="M26" s="248">
        <f t="shared" si="1"/>
        <v>1.9536479920975766E-3</v>
      </c>
      <c r="O26" s="174">
        <f t="shared" si="8"/>
        <v>53.233374500131205</v>
      </c>
      <c r="P26" s="174">
        <f t="shared" si="2"/>
        <v>0</v>
      </c>
      <c r="Q26" s="174">
        <f t="shared" si="3"/>
        <v>12.791078071668217</v>
      </c>
      <c r="R26" s="174">
        <f t="shared" si="13"/>
        <v>412.84450236167913</v>
      </c>
      <c r="S26" s="174">
        <f t="shared" si="10"/>
        <v>37.395150970909185</v>
      </c>
      <c r="T26" s="41">
        <f>+S26/'Capacity Delivered'!L26*1000</f>
        <v>4.2688528505604095</v>
      </c>
      <c r="U26" s="248">
        <f t="shared" si="14"/>
        <v>4.2688528505604095E-3</v>
      </c>
      <c r="W26" s="255">
        <f t="shared" si="11"/>
        <v>6.2225008426579862</v>
      </c>
      <c r="X26" s="256">
        <f t="shared" si="15"/>
        <v>6.2225008426579865E-3</v>
      </c>
    </row>
    <row r="27" spans="2:24" s="44" customFormat="1" ht="15.6" thickBot="1" x14ac:dyDescent="0.3">
      <c r="F27" s="173">
        <f>'Baseload Avoided Capacity Calcs'!F27</f>
        <v>2040</v>
      </c>
      <c r="G27" s="37">
        <v>21</v>
      </c>
      <c r="H27" s="174">
        <f>'Capacity Delivered'!H27</f>
        <v>5.8297248580869283</v>
      </c>
      <c r="I27" s="40">
        <f t="shared" si="0"/>
        <v>1.3043897222030452</v>
      </c>
      <c r="J27" s="41">
        <f t="shared" si="6"/>
        <v>58.14138517665107</v>
      </c>
      <c r="K27" s="41">
        <f t="shared" si="7"/>
        <v>5.1542239052507828</v>
      </c>
      <c r="L27" s="41">
        <f>+K27/'Capacity Delivered'!P28*1000</f>
        <v>1.9612724144789888</v>
      </c>
      <c r="M27" s="248">
        <f t="shared" si="1"/>
        <v>1.9612724144789889E-3</v>
      </c>
      <c r="O27" s="174">
        <f t="shared" si="8"/>
        <v>54.564208862634487</v>
      </c>
      <c r="P27" s="174">
        <f t="shared" si="2"/>
        <v>0</v>
      </c>
      <c r="Q27" s="174">
        <f t="shared" si="3"/>
        <v>12.20863676642138</v>
      </c>
      <c r="R27" s="174">
        <f t="shared" si="13"/>
        <v>425.0531391281005</v>
      </c>
      <c r="S27" s="174">
        <f t="shared" si="10"/>
        <v>37.680888476247567</v>
      </c>
      <c r="T27" s="41">
        <f>+S27/'Capacity Delivered'!L27*1000</f>
        <v>4.2897186334525923</v>
      </c>
      <c r="U27" s="248">
        <f t="shared" si="14"/>
        <v>4.2897186334525921E-3</v>
      </c>
      <c r="W27" s="257">
        <f t="shared" si="11"/>
        <v>6.2509910479315813</v>
      </c>
      <c r="X27" s="258">
        <f t="shared" si="15"/>
        <v>6.2509910479315815E-3</v>
      </c>
    </row>
    <row r="28" spans="2:24" s="44" customFormat="1" x14ac:dyDescent="0.25">
      <c r="C28" s="21"/>
      <c r="F28" s="38"/>
      <c r="G28" s="37"/>
      <c r="H28" s="177"/>
      <c r="I28" s="55"/>
      <c r="J28" s="56"/>
      <c r="K28" s="48"/>
      <c r="L28" s="48"/>
      <c r="M28" s="48"/>
      <c r="O28" s="178"/>
      <c r="P28" s="54"/>
      <c r="Q28" s="55"/>
      <c r="R28" s="56"/>
      <c r="S28" s="48"/>
      <c r="T28" s="48"/>
      <c r="U28" s="48"/>
      <c r="W28" s="48"/>
      <c r="X28" s="48"/>
    </row>
    <row r="29" spans="2:24" x14ac:dyDescent="0.25">
      <c r="B29" s="31"/>
      <c r="C29" s="21"/>
      <c r="D29" s="44"/>
      <c r="E29" s="44"/>
      <c r="F29" s="31"/>
      <c r="G29" s="37"/>
      <c r="H29" s="177"/>
      <c r="I29" s="31"/>
      <c r="J29" s="31"/>
      <c r="K29" s="31"/>
      <c r="L29" s="31"/>
      <c r="M29" s="31"/>
      <c r="O29" s="178"/>
      <c r="P29" s="54"/>
      <c r="Q29" s="31"/>
      <c r="R29" s="31"/>
      <c r="S29" s="31"/>
      <c r="T29" s="31"/>
      <c r="U29" s="31"/>
      <c r="W29" s="31"/>
      <c r="X29" s="31"/>
    </row>
    <row r="30" spans="2:24" s="44" customFormat="1" ht="51.75" customHeight="1" x14ac:dyDescent="0.25">
      <c r="B30" s="329" t="s">
        <v>118</v>
      </c>
      <c r="C30" s="329"/>
      <c r="D30" s="329"/>
      <c r="E30" s="329"/>
      <c r="F30" s="329"/>
      <c r="G30" s="329"/>
      <c r="H30" s="329"/>
      <c r="I30" s="329"/>
      <c r="J30" s="329"/>
      <c r="K30" s="329"/>
      <c r="L30" s="329"/>
      <c r="M30" s="329"/>
      <c r="Q30" s="246"/>
      <c r="R30" s="246"/>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52" r:id="rId4" name="Control 4">
          <controlPr defaultSize="0" r:id="rId5">
            <anchor moveWithCells="1">
              <from>
                <xdr:col>6</xdr:col>
                <xdr:colOff>571500</xdr:colOff>
                <xdr:row>2</xdr:row>
                <xdr:rowOff>68580</xdr:rowOff>
              </from>
              <to>
                <xdr:col>7</xdr:col>
                <xdr:colOff>228600</xdr:colOff>
                <xdr:row>3</xdr:row>
                <xdr:rowOff>175260</xdr:rowOff>
              </to>
            </anchor>
          </controlPr>
        </control>
      </mc:Choice>
      <mc:Fallback>
        <control shapeId="27652" r:id="rId4" name="Control 4"/>
      </mc:Fallback>
    </mc:AlternateContent>
    <mc:AlternateContent xmlns:mc="http://schemas.openxmlformats.org/markup-compatibility/2006">
      <mc:Choice Requires="x14">
        <control shapeId="27651" r:id="rId6" name="Control 3">
          <controlPr defaultSize="0" r:id="rId7">
            <anchor moveWithCells="1">
              <from>
                <xdr:col>6</xdr:col>
                <xdr:colOff>571500</xdr:colOff>
                <xdr:row>2</xdr:row>
                <xdr:rowOff>68580</xdr:rowOff>
              </from>
              <to>
                <xdr:col>7</xdr:col>
                <xdr:colOff>167640</xdr:colOff>
                <xdr:row>3</xdr:row>
                <xdr:rowOff>91440</xdr:rowOff>
              </to>
            </anchor>
          </controlPr>
        </control>
      </mc:Choice>
      <mc:Fallback>
        <control shapeId="27651" r:id="rId6" name="Control 3"/>
      </mc:Fallback>
    </mc:AlternateContent>
    <mc:AlternateContent xmlns:mc="http://schemas.openxmlformats.org/markup-compatibility/2006">
      <mc:Choice Requires="x14">
        <control shapeId="27650" r:id="rId8" name="Control 2">
          <controlPr defaultSize="0" r:id="rId9">
            <anchor moveWithCells="1">
              <from>
                <xdr:col>6</xdr:col>
                <xdr:colOff>571500</xdr:colOff>
                <xdr:row>2</xdr:row>
                <xdr:rowOff>68580</xdr:rowOff>
              </from>
              <to>
                <xdr:col>7</xdr:col>
                <xdr:colOff>167640</xdr:colOff>
                <xdr:row>3</xdr:row>
                <xdr:rowOff>91440</xdr:rowOff>
              </to>
            </anchor>
          </controlPr>
        </control>
      </mc:Choice>
      <mc:Fallback>
        <control shapeId="27650" r:id="rId8" name="Control 2"/>
      </mc:Fallback>
    </mc:AlternateContent>
    <mc:AlternateContent xmlns:mc="http://schemas.openxmlformats.org/markup-compatibility/2006">
      <mc:Choice Requires="x14">
        <control shapeId="27649" r:id="rId10" name="Control 1">
          <controlPr defaultSize="0" r:id="rId11">
            <anchor moveWithCells="1">
              <from>
                <xdr:col>6</xdr:col>
                <xdr:colOff>571500</xdr:colOff>
                <xdr:row>2</xdr:row>
                <xdr:rowOff>68580</xdr:rowOff>
              </from>
              <to>
                <xdr:col>6</xdr:col>
                <xdr:colOff>792480</xdr:colOff>
                <xdr:row>3</xdr:row>
                <xdr:rowOff>91440</xdr:rowOff>
              </to>
            </anchor>
          </controlPr>
        </control>
      </mc:Choice>
      <mc:Fallback>
        <control shapeId="27649" r:id="rId10" name="Control 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topLeftCell="D5" workbookViewId="0">
      <selection activeCell="H14" sqref="H14"/>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71"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7"/>
    </row>
    <row r="4" spans="1:24" ht="62.4" x14ac:dyDescent="0.3">
      <c r="F4" s="15" t="s">
        <v>15</v>
      </c>
      <c r="G4" s="16" t="s">
        <v>1</v>
      </c>
      <c r="H4" s="17" t="s">
        <v>16</v>
      </c>
      <c r="I4" s="16" t="s">
        <v>17</v>
      </c>
      <c r="J4" s="16" t="s">
        <v>18</v>
      </c>
      <c r="K4" s="3" t="s">
        <v>19</v>
      </c>
      <c r="L4" s="3" t="s">
        <v>19</v>
      </c>
      <c r="M4" s="3" t="s">
        <v>19</v>
      </c>
      <c r="O4" s="17" t="s">
        <v>80</v>
      </c>
      <c r="P4" s="17" t="s">
        <v>57</v>
      </c>
      <c r="Q4" s="16" t="s">
        <v>17</v>
      </c>
      <c r="R4" s="16" t="s">
        <v>18</v>
      </c>
      <c r="S4" s="3" t="s">
        <v>19</v>
      </c>
      <c r="T4" s="3" t="s">
        <v>19</v>
      </c>
      <c r="U4" s="3" t="s">
        <v>19</v>
      </c>
      <c r="W4" s="249" t="s">
        <v>19</v>
      </c>
      <c r="X4" s="250" t="s">
        <v>19</v>
      </c>
    </row>
    <row r="5" spans="1:24" ht="15.6" x14ac:dyDescent="0.3">
      <c r="B5" s="50"/>
      <c r="C5" s="50"/>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251" t="s">
        <v>38</v>
      </c>
      <c r="X5" s="252" t="s">
        <v>39</v>
      </c>
    </row>
    <row r="6" spans="1:24" ht="15.6" x14ac:dyDescent="0.3">
      <c r="A6" s="172"/>
      <c r="B6" s="172"/>
      <c r="C6" s="165" t="s">
        <v>21</v>
      </c>
      <c r="D6" s="203">
        <v>27.33</v>
      </c>
      <c r="E6" s="45"/>
      <c r="F6" s="170" t="s">
        <v>22</v>
      </c>
      <c r="G6" s="170" t="s">
        <v>23</v>
      </c>
      <c r="H6" s="170" t="s">
        <v>24</v>
      </c>
      <c r="I6" s="170" t="s">
        <v>32</v>
      </c>
      <c r="J6" s="170" t="s">
        <v>27</v>
      </c>
      <c r="K6" s="170" t="s">
        <v>28</v>
      </c>
      <c r="L6" s="170" t="s">
        <v>40</v>
      </c>
      <c r="M6" s="170" t="s">
        <v>79</v>
      </c>
      <c r="O6" s="170" t="s">
        <v>25</v>
      </c>
      <c r="P6" s="170" t="s">
        <v>26</v>
      </c>
      <c r="Q6" s="170" t="s">
        <v>32</v>
      </c>
      <c r="R6" s="170" t="s">
        <v>27</v>
      </c>
      <c r="S6" s="170" t="s">
        <v>28</v>
      </c>
      <c r="T6" s="170" t="s">
        <v>40</v>
      </c>
      <c r="U6" s="170" t="s">
        <v>79</v>
      </c>
      <c r="W6" s="253" t="s">
        <v>40</v>
      </c>
      <c r="X6" s="254" t="s">
        <v>79</v>
      </c>
    </row>
    <row r="7" spans="1:24" ht="15.6" x14ac:dyDescent="0.3">
      <c r="A7" s="172"/>
      <c r="B7" s="50"/>
      <c r="C7" s="20" t="s">
        <v>29</v>
      </c>
      <c r="D7" s="46">
        <v>0</v>
      </c>
      <c r="E7" s="47"/>
      <c r="F7" s="173">
        <f>'Baseload Avoided Capacity Calcs'!F7</f>
        <v>2020</v>
      </c>
      <c r="G7" s="168">
        <v>1</v>
      </c>
      <c r="H7" s="174">
        <f>'Capacity Delivered'!I7</f>
        <v>0.89</v>
      </c>
      <c r="I7" s="32">
        <f t="shared" ref="I7:I27" si="0">SUM(H7)/((1+$D$8)^G7)</f>
        <v>0.82875500512151967</v>
      </c>
      <c r="J7" s="169">
        <f>I7</f>
        <v>0.82875500512151967</v>
      </c>
      <c r="K7" s="41">
        <f>(-PMT($D$8,G7,(J7),,1))</f>
        <v>0.82875500512151945</v>
      </c>
      <c r="L7" s="169">
        <f>+K7/2277.6*1000</f>
        <v>0.36387206055563726</v>
      </c>
      <c r="M7" s="247">
        <f t="shared" ref="M7:M27" si="1">L7/1000</f>
        <v>3.6387206055563728E-4</v>
      </c>
      <c r="O7" s="179">
        <f>D13</f>
        <v>33.298951188946049</v>
      </c>
      <c r="P7" s="179">
        <f t="shared" ref="P7:P27" si="2">(H7+O7)*$D$7</f>
        <v>0</v>
      </c>
      <c r="Q7" s="179">
        <f t="shared" ref="Q7:Q27" si="3">SUM(O7:P7)/((1+$D$8)^G7)</f>
        <v>31.007497149591252</v>
      </c>
      <c r="R7" s="179">
        <f>Q7</f>
        <v>31.007497149591252</v>
      </c>
      <c r="S7" s="179">
        <f>(-PMT($D$8,G7,(R7),,1))</f>
        <v>31.007497149591245</v>
      </c>
      <c r="T7" s="169">
        <f>+S7/'Capacity Delivered'!L7*1000</f>
        <v>3.5299973986328834</v>
      </c>
      <c r="U7" s="247">
        <f t="shared" ref="U7:U20" si="4">T7/1000</f>
        <v>3.5299973986328832E-3</v>
      </c>
      <c r="W7" s="255">
        <f>L7+T7</f>
        <v>3.8938694591885206</v>
      </c>
      <c r="X7" s="256">
        <f t="shared" ref="X7:X20" si="5">W7/1000</f>
        <v>3.8938694591885204E-3</v>
      </c>
    </row>
    <row r="8" spans="1:24" s="44" customFormat="1" ht="15.6" x14ac:dyDescent="0.3">
      <c r="A8" s="172"/>
      <c r="B8" s="172"/>
      <c r="C8" s="165" t="s">
        <v>33</v>
      </c>
      <c r="D8" s="46">
        <f>Rate_of_Return</f>
        <v>7.3899999999999993E-2</v>
      </c>
      <c r="E8" s="267"/>
      <c r="F8" s="38">
        <f>F7+1</f>
        <v>2021</v>
      </c>
      <c r="G8" s="37">
        <v>2</v>
      </c>
      <c r="H8" s="174">
        <f>'Capacity Delivered'!I8</f>
        <v>0.89</v>
      </c>
      <c r="I8" s="268">
        <f t="shared" si="0"/>
        <v>0.77172456012805624</v>
      </c>
      <c r="J8" s="269">
        <f t="shared" ref="J8:J27" si="6">J7+I8</f>
        <v>1.600479565249576</v>
      </c>
      <c r="K8" s="269">
        <f t="shared" ref="K8:K27" si="7">(-PMT($D$8,G8,(J8),,1))</f>
        <v>0.82875500512151945</v>
      </c>
      <c r="L8" s="269">
        <f>+K8/'Capacity Delivered'!R9*1000</f>
        <v>0.36387206055563726</v>
      </c>
      <c r="M8" s="270">
        <f t="shared" si="1"/>
        <v>3.6387206055563728E-4</v>
      </c>
      <c r="O8" s="174">
        <f t="shared" ref="O8:O27" si="8">O7+(O7*$D$9)</f>
        <v>34.131424968669698</v>
      </c>
      <c r="P8" s="174">
        <f t="shared" si="2"/>
        <v>0</v>
      </c>
      <c r="Q8" s="174">
        <f t="shared" si="3"/>
        <v>29.595571820775707</v>
      </c>
      <c r="R8" s="174">
        <f t="shared" ref="R8:R12" si="9">R7+Q8</f>
        <v>60.603068970366962</v>
      </c>
      <c r="S8" s="174">
        <f t="shared" ref="S8:S27" si="10">(-PMT($D$8,G8,(R8),,1))</f>
        <v>31.381279602332352</v>
      </c>
      <c r="T8" s="269">
        <f>+S8/'Capacity Delivered'!L8*1000</f>
        <v>3.582337854147529</v>
      </c>
      <c r="U8" s="270">
        <f t="shared" si="4"/>
        <v>3.5823378541475289E-3</v>
      </c>
      <c r="W8" s="271">
        <f t="shared" ref="W8:W27" si="11">L8+T8</f>
        <v>3.9462099147031662</v>
      </c>
      <c r="X8" s="272">
        <f t="shared" si="5"/>
        <v>3.9462099147031665E-3</v>
      </c>
    </row>
    <row r="9" spans="1:24" s="44" customFormat="1" ht="15.6" x14ac:dyDescent="0.3">
      <c r="A9" s="172"/>
      <c r="B9" s="172"/>
      <c r="C9" s="165" t="s">
        <v>34</v>
      </c>
      <c r="D9" s="46">
        <v>2.5000000000000001E-2</v>
      </c>
      <c r="E9" s="273"/>
      <c r="F9" s="38">
        <f t="shared" ref="F9:F27" si="12">F8+1</f>
        <v>2022</v>
      </c>
      <c r="G9" s="37">
        <v>3</v>
      </c>
      <c r="H9" s="174">
        <f>'Capacity Delivered'!I9</f>
        <v>0.89</v>
      </c>
      <c r="I9" s="268">
        <f t="shared" si="0"/>
        <v>0.71861864245093232</v>
      </c>
      <c r="J9" s="269">
        <f t="shared" si="6"/>
        <v>2.3190982077005082</v>
      </c>
      <c r="K9" s="269">
        <f t="shared" si="7"/>
        <v>0.82875500512151945</v>
      </c>
      <c r="L9" s="269">
        <f>+K9/'Capacity Delivered'!R10*1000</f>
        <v>0.36387206055563726</v>
      </c>
      <c r="M9" s="270">
        <f t="shared" si="1"/>
        <v>3.6387206055563728E-4</v>
      </c>
      <c r="O9" s="174">
        <f t="shared" si="8"/>
        <v>34.984710592886444</v>
      </c>
      <c r="P9" s="174">
        <f t="shared" si="2"/>
        <v>0</v>
      </c>
      <c r="Q9" s="174">
        <f t="shared" si="3"/>
        <v>28.247938463818887</v>
      </c>
      <c r="R9" s="174">
        <f t="shared" si="9"/>
        <v>88.851007434185846</v>
      </c>
      <c r="S9" s="174">
        <f t="shared" si="10"/>
        <v>31.75187530940487</v>
      </c>
      <c r="T9" s="269">
        <f>+S9/'Capacity Delivered'!L9*1000</f>
        <v>3.6246433001603733</v>
      </c>
      <c r="U9" s="270">
        <f t="shared" si="4"/>
        <v>3.6246433001603734E-3</v>
      </c>
      <c r="W9" s="271">
        <f t="shared" si="11"/>
        <v>3.9885153607160104</v>
      </c>
      <c r="X9" s="272">
        <f t="shared" si="5"/>
        <v>3.9885153607160106E-3</v>
      </c>
    </row>
    <row r="10" spans="1:24" s="44" customFormat="1" ht="15.6" x14ac:dyDescent="0.3">
      <c r="B10" s="172"/>
      <c r="C10" s="165"/>
      <c r="D10" s="51"/>
      <c r="E10" s="267"/>
      <c r="F10" s="38">
        <f t="shared" si="12"/>
        <v>2023</v>
      </c>
      <c r="G10" s="37">
        <v>4</v>
      </c>
      <c r="H10" s="174">
        <f>'Capacity Delivered'!I10</f>
        <v>0.93</v>
      </c>
      <c r="I10" s="268">
        <f t="shared" si="0"/>
        <v>0.69924211707549933</v>
      </c>
      <c r="J10" s="269">
        <f t="shared" si="6"/>
        <v>3.0183403247760077</v>
      </c>
      <c r="K10" s="269">
        <f t="shared" si="7"/>
        <v>0.83709588027084447</v>
      </c>
      <c r="L10" s="269">
        <f>+K10/'Capacity Delivered'!R11*1000</f>
        <v>0.36653000222031507</v>
      </c>
      <c r="M10" s="270">
        <f t="shared" si="1"/>
        <v>3.6653000222031508E-4</v>
      </c>
      <c r="O10" s="174">
        <f t="shared" si="8"/>
        <v>35.859328357708605</v>
      </c>
      <c r="P10" s="174">
        <f t="shared" si="2"/>
        <v>0</v>
      </c>
      <c r="Q10" s="174">
        <f t="shared" si="3"/>
        <v>26.961669545967368</v>
      </c>
      <c r="R10" s="174">
        <f t="shared" si="9"/>
        <v>115.81267698015321</v>
      </c>
      <c r="S10" s="174">
        <f t="shared" si="10"/>
        <v>32.119080140646084</v>
      </c>
      <c r="T10" s="269">
        <f>+S10/'Capacity Delivered'!L10*1000</f>
        <v>3.6665616598911055</v>
      </c>
      <c r="U10" s="270">
        <f t="shared" si="4"/>
        <v>3.6665616598911053E-3</v>
      </c>
      <c r="W10" s="271">
        <f t="shared" si="11"/>
        <v>4.0330916621114206</v>
      </c>
      <c r="X10" s="272">
        <f t="shared" si="5"/>
        <v>4.0330916621114203E-3</v>
      </c>
    </row>
    <row r="11" spans="1:24" s="44" customFormat="1" ht="15.6" x14ac:dyDescent="0.3">
      <c r="B11" s="172"/>
      <c r="C11" s="165" t="str">
        <f>C6</f>
        <v>Deferred T&amp;D Cost Credit ($/kw-yr) (4):</v>
      </c>
      <c r="D11" s="206" t="s">
        <v>50</v>
      </c>
      <c r="E11" s="267"/>
      <c r="F11" s="38">
        <f t="shared" si="12"/>
        <v>2024</v>
      </c>
      <c r="G11" s="37">
        <v>5</v>
      </c>
      <c r="H11" s="174">
        <f>'Capacity Delivered'!I11</f>
        <v>0.93</v>
      </c>
      <c r="I11" s="268">
        <f t="shared" si="0"/>
        <v>0.65112404979560412</v>
      </c>
      <c r="J11" s="269">
        <f t="shared" si="6"/>
        <v>3.6694643745716116</v>
      </c>
      <c r="K11" s="269">
        <f t="shared" si="7"/>
        <v>0.84208349886815459</v>
      </c>
      <c r="L11" s="269">
        <f>+K11/'Capacity Delivered'!R12*1000</f>
        <v>0.36972405113635171</v>
      </c>
      <c r="M11" s="270">
        <f t="shared" si="1"/>
        <v>3.697240511363517E-4</v>
      </c>
      <c r="O11" s="174">
        <f t="shared" si="8"/>
        <v>36.755811566651317</v>
      </c>
      <c r="P11" s="174">
        <f t="shared" si="2"/>
        <v>0</v>
      </c>
      <c r="Q11" s="174">
        <f t="shared" si="3"/>
        <v>25.733970839572162</v>
      </c>
      <c r="R11" s="174">
        <f t="shared" si="9"/>
        <v>141.54664781972537</v>
      </c>
      <c r="S11" s="174">
        <f t="shared" si="10"/>
        <v>32.482696187235227</v>
      </c>
      <c r="T11" s="269">
        <f>+S11/'Capacity Delivered'!L11*1000</f>
        <v>3.6979390012790558</v>
      </c>
      <c r="U11" s="270">
        <f t="shared" si="4"/>
        <v>3.6979390012790558E-3</v>
      </c>
      <c r="W11" s="271">
        <f t="shared" si="11"/>
        <v>4.0676630524154076</v>
      </c>
      <c r="X11" s="272">
        <f t="shared" si="5"/>
        <v>4.067663052415408E-3</v>
      </c>
    </row>
    <row r="12" spans="1:24" s="44" customFormat="1" ht="15.6" x14ac:dyDescent="0.3">
      <c r="B12" s="274"/>
      <c r="C12" s="205">
        <v>2012</v>
      </c>
      <c r="D12" s="275">
        <f>D6</f>
        <v>27.33</v>
      </c>
      <c r="E12" s="267"/>
      <c r="F12" s="38">
        <f t="shared" si="12"/>
        <v>2025</v>
      </c>
      <c r="G12" s="37">
        <v>6</v>
      </c>
      <c r="H12" s="174">
        <f>'Capacity Delivered'!I12</f>
        <v>0.8</v>
      </c>
      <c r="I12" s="268">
        <f t="shared" si="0"/>
        <v>0.5215631897770695</v>
      </c>
      <c r="J12" s="269">
        <f t="shared" si="6"/>
        <v>4.1910275643486807</v>
      </c>
      <c r="K12" s="269">
        <f t="shared" si="7"/>
        <v>0.82863724616152368</v>
      </c>
      <c r="L12" s="269">
        <f>+K12/'Capacity Delivered'!R13*1000</f>
        <v>0.36382035746466623</v>
      </c>
      <c r="M12" s="270">
        <f t="shared" si="1"/>
        <v>3.6382035746466621E-4</v>
      </c>
      <c r="O12" s="174">
        <f t="shared" si="8"/>
        <v>37.674706855817604</v>
      </c>
      <c r="P12" s="174">
        <f t="shared" si="2"/>
        <v>0</v>
      </c>
      <c r="Q12" s="174">
        <f t="shared" si="3"/>
        <v>24.562175352045323</v>
      </c>
      <c r="R12" s="174">
        <f t="shared" si="9"/>
        <v>166.10882317177069</v>
      </c>
      <c r="S12" s="174">
        <f t="shared" si="10"/>
        <v>32.842532215026971</v>
      </c>
      <c r="T12" s="269">
        <f>+S12/'Capacity Delivered'!L12*1000</f>
        <v>3.7491475131309326</v>
      </c>
      <c r="U12" s="270">
        <f t="shared" si="4"/>
        <v>3.7491475131309327E-3</v>
      </c>
      <c r="W12" s="271">
        <f t="shared" si="11"/>
        <v>4.1129678705955985</v>
      </c>
      <c r="X12" s="272">
        <f t="shared" si="5"/>
        <v>4.1129678705955986E-3</v>
      </c>
    </row>
    <row r="13" spans="1:24" s="44" customFormat="1" ht="15.6" x14ac:dyDescent="0.3">
      <c r="B13" s="274"/>
      <c r="C13" s="166">
        <f>'Baseload Avoided Capacity Calcs'!C13</f>
        <v>2020</v>
      </c>
      <c r="D13" s="204">
        <f>D12*((1+$D$9)^($C$13-$C$12))</f>
        <v>33.298951188946049</v>
      </c>
      <c r="E13" s="267"/>
      <c r="F13" s="38">
        <f t="shared" si="12"/>
        <v>2026</v>
      </c>
      <c r="G13" s="37">
        <v>7</v>
      </c>
      <c r="H13" s="174">
        <f>'Capacity Delivered'!I13</f>
        <v>0.8</v>
      </c>
      <c r="I13" s="268">
        <f t="shared" si="0"/>
        <v>0.48567202698302397</v>
      </c>
      <c r="J13" s="269">
        <f>J12+I13</f>
        <v>4.6766995913317047</v>
      </c>
      <c r="K13" s="269">
        <f t="shared" si="7"/>
        <v>0.81908132636083453</v>
      </c>
      <c r="L13" s="269">
        <f>+K13/'Capacity Delivered'!R14*1000</f>
        <v>0.35962474813875772</v>
      </c>
      <c r="M13" s="270">
        <f t="shared" si="1"/>
        <v>3.5962474813875772E-4</v>
      </c>
      <c r="O13" s="174">
        <f>O12+(O12*$D$9)</f>
        <v>38.616574527213047</v>
      </c>
      <c r="P13" s="174">
        <f t="shared" si="2"/>
        <v>0</v>
      </c>
      <c r="Q13" s="174">
        <f t="shared" si="3"/>
        <v>23.443737532215714</v>
      </c>
      <c r="R13" s="174">
        <f>R12+Q13</f>
        <v>189.55256070398642</v>
      </c>
      <c r="S13" s="174">
        <f t="shared" si="10"/>
        <v>33.198404089133149</v>
      </c>
      <c r="T13" s="269">
        <f>+S13/'Capacity Delivered'!L13*1000</f>
        <v>3.7897721562937385</v>
      </c>
      <c r="U13" s="270">
        <f t="shared" si="4"/>
        <v>3.7897721562937386E-3</v>
      </c>
      <c r="W13" s="271">
        <f t="shared" si="11"/>
        <v>4.1493969044324963</v>
      </c>
      <c r="X13" s="272">
        <f t="shared" si="5"/>
        <v>4.1493969044324964E-3</v>
      </c>
    </row>
    <row r="14" spans="1:24" s="44" customFormat="1" x14ac:dyDescent="0.25">
      <c r="B14" s="274"/>
      <c r="C14" s="276"/>
      <c r="D14" s="276"/>
      <c r="E14" s="267"/>
      <c r="F14" s="38">
        <f t="shared" si="12"/>
        <v>2027</v>
      </c>
      <c r="G14" s="37">
        <v>8</v>
      </c>
      <c r="H14" s="174">
        <f>'Capacity Delivered'!I14</f>
        <v>0.80477938899565449</v>
      </c>
      <c r="I14" s="268">
        <f t="shared" si="0"/>
        <v>0.4549525527605911</v>
      </c>
      <c r="J14" s="269">
        <f t="shared" si="6"/>
        <v>5.1316521440922962</v>
      </c>
      <c r="K14" s="269">
        <f t="shared" si="7"/>
        <v>0.81238431235224717</v>
      </c>
      <c r="L14" s="269">
        <f>+K14/'Capacity Delivered'!R15*1000</f>
        <v>0.3557098187054466</v>
      </c>
      <c r="M14" s="270">
        <f t="shared" si="1"/>
        <v>3.557098187054466E-4</v>
      </c>
      <c r="O14" s="174">
        <f t="shared" si="8"/>
        <v>39.581988890393376</v>
      </c>
      <c r="P14" s="174">
        <f t="shared" si="2"/>
        <v>0</v>
      </c>
      <c r="Q14" s="174">
        <f t="shared" si="3"/>
        <v>22.376227740498283</v>
      </c>
      <c r="R14" s="174">
        <f t="shared" ref="R14:R20" si="13">R13+Q14</f>
        <v>211.9287884444847</v>
      </c>
      <c r="S14" s="174">
        <f t="shared" si="10"/>
        <v>33.550135167739661</v>
      </c>
      <c r="T14" s="269">
        <f>+S14/'Capacity Delivered'!L14*1000</f>
        <v>3.829924105906354</v>
      </c>
      <c r="U14" s="270">
        <f t="shared" si="4"/>
        <v>3.8299241059063542E-3</v>
      </c>
      <c r="W14" s="271">
        <f t="shared" si="11"/>
        <v>4.1856339246118006</v>
      </c>
      <c r="X14" s="272">
        <f t="shared" si="5"/>
        <v>4.1856339246118006E-3</v>
      </c>
    </row>
    <row r="15" spans="1:24" s="44" customFormat="1" x14ac:dyDescent="0.25">
      <c r="B15" s="276"/>
      <c r="C15" s="277"/>
      <c r="D15" s="278"/>
      <c r="E15" s="267"/>
      <c r="F15" s="38">
        <f t="shared" si="12"/>
        <v>2028</v>
      </c>
      <c r="G15" s="37">
        <v>9</v>
      </c>
      <c r="H15" s="174">
        <f>'Capacity Delivered'!I15</f>
        <v>0.80477938899565449</v>
      </c>
      <c r="I15" s="268">
        <f t="shared" si="0"/>
        <v>0.42364517437432819</v>
      </c>
      <c r="J15" s="269">
        <f t="shared" si="6"/>
        <v>5.5552973184666241</v>
      </c>
      <c r="K15" s="269">
        <f t="shared" si="7"/>
        <v>0.80721051614839345</v>
      </c>
      <c r="L15" s="269">
        <f>+K15/'Capacity Delivered'!R16*1000</f>
        <v>0.35441276613470035</v>
      </c>
      <c r="M15" s="270">
        <f t="shared" si="1"/>
        <v>3.5441276613470035E-4</v>
      </c>
      <c r="O15" s="174">
        <f t="shared" si="8"/>
        <v>40.571538612653214</v>
      </c>
      <c r="P15" s="174">
        <f t="shared" si="2"/>
        <v>0</v>
      </c>
      <c r="Q15" s="174">
        <f t="shared" si="3"/>
        <v>21.357326970863898</v>
      </c>
      <c r="R15" s="174">
        <f t="shared" si="13"/>
        <v>233.2861154153486</v>
      </c>
      <c r="S15" s="174">
        <f t="shared" si="10"/>
        <v>33.897556663385743</v>
      </c>
      <c r="T15" s="269">
        <f>+S15/'Capacity Delivered'!L15*1000</f>
        <v>3.8590114598572112</v>
      </c>
      <c r="U15" s="270">
        <f t="shared" si="4"/>
        <v>3.8590114598572112E-3</v>
      </c>
      <c r="W15" s="271">
        <f t="shared" si="11"/>
        <v>4.2134242259919112</v>
      </c>
      <c r="X15" s="272">
        <f t="shared" si="5"/>
        <v>4.2134242259919113E-3</v>
      </c>
    </row>
    <row r="16" spans="1:24" s="44" customFormat="1" x14ac:dyDescent="0.25">
      <c r="B16" s="276"/>
      <c r="C16" s="277"/>
      <c r="D16" s="277"/>
      <c r="E16" s="267"/>
      <c r="F16" s="37">
        <f t="shared" si="12"/>
        <v>2029</v>
      </c>
      <c r="G16" s="37">
        <v>10</v>
      </c>
      <c r="H16" s="174">
        <f>'Capacity Delivered'!I16</f>
        <v>0.80477938899565449</v>
      </c>
      <c r="I16" s="268">
        <f t="shared" si="0"/>
        <v>0.39449220073966684</v>
      </c>
      <c r="J16" s="269">
        <f t="shared" si="6"/>
        <v>5.9497895192062913</v>
      </c>
      <c r="K16" s="269">
        <f t="shared" si="7"/>
        <v>0.80310270336492628</v>
      </c>
      <c r="L16" s="269">
        <f>+K16/'Capacity Delivered'!R17*1000</f>
        <v>0.35260919536570351</v>
      </c>
      <c r="M16" s="270">
        <f t="shared" si="1"/>
        <v>3.5260919536570353E-4</v>
      </c>
      <c r="N16" s="279"/>
      <c r="O16" s="174">
        <f t="shared" si="8"/>
        <v>41.585827077969547</v>
      </c>
      <c r="P16" s="174">
        <f t="shared" si="2"/>
        <v>0</v>
      </c>
      <c r="Q16" s="174">
        <f>SUM(O16:P16)/((1+$D$8)^G16)</f>
        <v>20.384821813144146</v>
      </c>
      <c r="R16" s="174">
        <f>R15+Q16</f>
        <v>253.67093722849276</v>
      </c>
      <c r="S16" s="174">
        <f t="shared" si="10"/>
        <v>34.240507970186826</v>
      </c>
      <c r="T16" s="269">
        <f>+S16/'Capacity Delivered'!L16*1000</f>
        <v>3.9087337865510077</v>
      </c>
      <c r="U16" s="270">
        <f t="shared" si="4"/>
        <v>3.9087337865510077E-3</v>
      </c>
      <c r="V16" s="279"/>
      <c r="W16" s="271">
        <f>L16+T16</f>
        <v>4.2613429819167115</v>
      </c>
      <c r="X16" s="272">
        <f t="shared" si="5"/>
        <v>4.2613429819167116E-3</v>
      </c>
    </row>
    <row r="17" spans="2:24" s="44" customFormat="1" x14ac:dyDescent="0.25">
      <c r="B17" s="276"/>
      <c r="C17" s="277"/>
      <c r="D17" s="277"/>
      <c r="E17" s="267"/>
      <c r="F17" s="38">
        <f t="shared" si="12"/>
        <v>2030</v>
      </c>
      <c r="G17" s="37">
        <v>11</v>
      </c>
      <c r="H17" s="174">
        <f>'Capacity Delivered'!I17</f>
        <v>0.80477938899565449</v>
      </c>
      <c r="I17" s="268">
        <f t="shared" si="0"/>
        <v>0.36734537735326084</v>
      </c>
      <c r="J17" s="269">
        <f t="shared" si="6"/>
        <v>6.3171348965595522</v>
      </c>
      <c r="K17" s="269">
        <f t="shared" si="7"/>
        <v>0.79976988082669598</v>
      </c>
      <c r="L17" s="269">
        <f>+K17/'Capacity Delivered'!R18*1000</f>
        <v>0.35114589077392694</v>
      </c>
      <c r="M17" s="270">
        <f t="shared" si="1"/>
        <v>3.5114589077392692E-4</v>
      </c>
      <c r="O17" s="174">
        <f t="shared" si="8"/>
        <v>42.625472754918789</v>
      </c>
      <c r="P17" s="174">
        <f t="shared" si="2"/>
        <v>0</v>
      </c>
      <c r="Q17" s="174">
        <f t="shared" si="3"/>
        <v>19.456599644727394</v>
      </c>
      <c r="R17" s="174">
        <f t="shared" si="13"/>
        <v>273.12753687322015</v>
      </c>
      <c r="S17" s="174">
        <f t="shared" si="10"/>
        <v>34.578836955745707</v>
      </c>
      <c r="T17" s="269">
        <f>+S17/'Capacity Delivered'!L17*1000</f>
        <v>3.9473558168659486</v>
      </c>
      <c r="U17" s="270">
        <f t="shared" si="4"/>
        <v>3.9473558168659486E-3</v>
      </c>
      <c r="W17" s="271">
        <f t="shared" si="11"/>
        <v>4.2985017076398755</v>
      </c>
      <c r="X17" s="272">
        <f t="shared" si="5"/>
        <v>4.2985017076398752E-3</v>
      </c>
    </row>
    <row r="18" spans="2:24" s="44" customFormat="1" x14ac:dyDescent="0.25">
      <c r="B18" s="277"/>
      <c r="C18" s="277"/>
      <c r="D18" s="277"/>
      <c r="E18" s="267"/>
      <c r="F18" s="38">
        <f t="shared" si="12"/>
        <v>2031</v>
      </c>
      <c r="G18" s="37">
        <v>12</v>
      </c>
      <c r="H18" s="174">
        <f>'Capacity Delivered'!I18</f>
        <v>0.84157096346974003</v>
      </c>
      <c r="I18" s="268">
        <f t="shared" si="0"/>
        <v>0.35770468982050724</v>
      </c>
      <c r="J18" s="269">
        <f t="shared" si="6"/>
        <v>6.6748395863800596</v>
      </c>
      <c r="K18" s="269">
        <f t="shared" si="7"/>
        <v>0.79888969582155578</v>
      </c>
      <c r="L18" s="269">
        <f>+K18/'Capacity Delivered'!R19*1000</f>
        <v>0.34980107880655198</v>
      </c>
      <c r="M18" s="270">
        <f t="shared" si="1"/>
        <v>3.49801078806552E-4</v>
      </c>
      <c r="O18" s="174">
        <f t="shared" si="8"/>
        <v>43.691109573791756</v>
      </c>
      <c r="P18" s="174">
        <f t="shared" si="2"/>
        <v>0</v>
      </c>
      <c r="Q18" s="174">
        <f t="shared" si="3"/>
        <v>18.570644041200836</v>
      </c>
      <c r="R18" s="174">
        <f t="shared" si="13"/>
        <v>291.69818091442096</v>
      </c>
      <c r="S18" s="174">
        <f t="shared" si="10"/>
        <v>34.912400216767409</v>
      </c>
      <c r="T18" s="269">
        <f>+S18/'Capacity Delivered'!L18*1000</f>
        <v>3.9854338146994763</v>
      </c>
      <c r="U18" s="270">
        <f t="shared" si="4"/>
        <v>3.9854338146994763E-3</v>
      </c>
      <c r="W18" s="271">
        <f t="shared" si="11"/>
        <v>4.3352348935060281</v>
      </c>
      <c r="X18" s="272">
        <f t="shared" si="5"/>
        <v>4.3352348935060282E-3</v>
      </c>
    </row>
    <row r="19" spans="2:24" s="44" customFormat="1" x14ac:dyDescent="0.25">
      <c r="B19" s="277"/>
      <c r="C19" s="277"/>
      <c r="D19" s="277"/>
      <c r="E19" s="192"/>
      <c r="F19" s="38">
        <f t="shared" si="12"/>
        <v>2032</v>
      </c>
      <c r="G19" s="37">
        <v>13</v>
      </c>
      <c r="H19" s="174">
        <f>'Capacity Delivered'!I19</f>
        <v>0.84157096346974003</v>
      </c>
      <c r="I19" s="268">
        <f t="shared" si="0"/>
        <v>0.33308938431931012</v>
      </c>
      <c r="J19" s="269">
        <f t="shared" si="6"/>
        <v>7.0079289706993695</v>
      </c>
      <c r="K19" s="269">
        <f t="shared" si="7"/>
        <v>0.79815236677326973</v>
      </c>
      <c r="L19" s="269">
        <f>+K19/'Capacity Delivered'!R20*1000</f>
        <v>0.35043570722395051</v>
      </c>
      <c r="M19" s="270">
        <f t="shared" si="1"/>
        <v>3.5043570722395053E-4</v>
      </c>
      <c r="O19" s="174">
        <f t="shared" si="8"/>
        <v>44.783387313136551</v>
      </c>
      <c r="P19" s="174">
        <f t="shared" si="2"/>
        <v>0</v>
      </c>
      <c r="Q19" s="174">
        <f t="shared" si="3"/>
        <v>17.725030395968759</v>
      </c>
      <c r="R19" s="174">
        <f t="shared" si="13"/>
        <v>309.42321131038972</v>
      </c>
      <c r="S19" s="174">
        <f t="shared" si="10"/>
        <v>35.241063297667324</v>
      </c>
      <c r="T19" s="269">
        <f>+S19/'Capacity Delivered'!L19*1000</f>
        <v>4.0119607579311616</v>
      </c>
      <c r="U19" s="270">
        <f t="shared" si="4"/>
        <v>4.0119607579311616E-3</v>
      </c>
      <c r="W19" s="271">
        <f t="shared" si="11"/>
        <v>4.3623964651551121</v>
      </c>
      <c r="X19" s="272">
        <f t="shared" si="5"/>
        <v>4.3623964651551125E-3</v>
      </c>
    </row>
    <row r="20" spans="2:24" s="44" customFormat="1" x14ac:dyDescent="0.25">
      <c r="B20" s="277"/>
      <c r="C20" s="277"/>
      <c r="D20" s="277"/>
      <c r="E20" s="192"/>
      <c r="F20" s="38">
        <f t="shared" si="12"/>
        <v>2033</v>
      </c>
      <c r="G20" s="37">
        <v>14</v>
      </c>
      <c r="H20" s="174">
        <f>'Capacity Delivered'!I20</f>
        <v>0.84157096346974003</v>
      </c>
      <c r="I20" s="268">
        <f t="shared" si="0"/>
        <v>0.31016797124435252</v>
      </c>
      <c r="J20" s="269">
        <f t="shared" si="6"/>
        <v>7.3180969419437218</v>
      </c>
      <c r="K20" s="269">
        <f t="shared" si="7"/>
        <v>0.79752719572419606</v>
      </c>
      <c r="L20" s="269">
        <f>+K20/'Capacity Delivered'!R21*1000</f>
        <v>0.35016122046197579</v>
      </c>
      <c r="M20" s="270">
        <f t="shared" si="1"/>
        <v>3.5016122046197581E-4</v>
      </c>
      <c r="O20" s="174">
        <f t="shared" si="8"/>
        <v>45.902971995964961</v>
      </c>
      <c r="P20" s="174">
        <f t="shared" si="2"/>
        <v>0</v>
      </c>
      <c r="Q20" s="174">
        <f t="shared" si="3"/>
        <v>16.917921739331391</v>
      </c>
      <c r="R20" s="174">
        <f t="shared" si="13"/>
        <v>326.34113304972112</v>
      </c>
      <c r="S20" s="174">
        <f t="shared" si="10"/>
        <v>35.564700871736875</v>
      </c>
      <c r="T20" s="269">
        <f>+S20/'Capacity Delivered'!L20*1000</f>
        <v>4.059897359787314</v>
      </c>
      <c r="U20" s="270">
        <f t="shared" si="4"/>
        <v>4.0598973597873143E-3</v>
      </c>
      <c r="W20" s="271">
        <f t="shared" si="11"/>
        <v>4.4100585802492898</v>
      </c>
      <c r="X20" s="272">
        <f t="shared" si="5"/>
        <v>4.4100585802492901E-3</v>
      </c>
    </row>
    <row r="21" spans="2:24" s="279" customFormat="1" x14ac:dyDescent="0.25">
      <c r="B21" s="277"/>
      <c r="C21" s="277"/>
      <c r="D21" s="277"/>
      <c r="E21" s="192"/>
      <c r="F21" s="37">
        <f t="shared" si="12"/>
        <v>2034</v>
      </c>
      <c r="G21" s="37">
        <v>15</v>
      </c>
      <c r="H21" s="174">
        <f>'Capacity Delivered'!I21</f>
        <v>0.8830682927034732</v>
      </c>
      <c r="I21" s="268">
        <f t="shared" si="0"/>
        <v>0.30306560828470525</v>
      </c>
      <c r="J21" s="269">
        <f>J20+I21</f>
        <v>7.6211625502284273</v>
      </c>
      <c r="K21" s="269">
        <f t="shared" si="7"/>
        <v>0.79848379826459137</v>
      </c>
      <c r="L21" s="269">
        <f>+K21/'Capacity Delivered'!R22*1000</f>
        <v>0.35058122508982764</v>
      </c>
      <c r="M21" s="270">
        <f>L21/1000</f>
        <v>3.5058122508982762E-4</v>
      </c>
      <c r="O21" s="174">
        <f t="shared" si="8"/>
        <v>47.050546295864088</v>
      </c>
      <c r="P21" s="174">
        <f t="shared" si="2"/>
        <v>0</v>
      </c>
      <c r="Q21" s="174">
        <f t="shared" si="3"/>
        <v>16.147564747941779</v>
      </c>
      <c r="R21" s="174">
        <f>R20+Q21</f>
        <v>342.48869779766289</v>
      </c>
      <c r="S21" s="174">
        <f t="shared" si="10"/>
        <v>35.883196884702976</v>
      </c>
      <c r="T21" s="269">
        <f>+S21/'Capacity Delivered'!L21*1000</f>
        <v>4.0962553521350422</v>
      </c>
      <c r="U21" s="270">
        <f>T21/1000</f>
        <v>4.0962553521350425E-3</v>
      </c>
      <c r="W21" s="271">
        <f t="shared" si="11"/>
        <v>4.4468365772248699</v>
      </c>
      <c r="X21" s="272">
        <f>W21/1000</f>
        <v>4.4468365772248695E-3</v>
      </c>
    </row>
    <row r="22" spans="2:24" s="44" customFormat="1" x14ac:dyDescent="0.25">
      <c r="B22" s="277"/>
      <c r="C22" s="277"/>
      <c r="D22" s="277"/>
      <c r="E22" s="192"/>
      <c r="F22" s="38">
        <f t="shared" si="12"/>
        <v>2035</v>
      </c>
      <c r="G22" s="37">
        <v>16</v>
      </c>
      <c r="H22" s="174">
        <f>'Capacity Delivered'!I22</f>
        <v>0.8830682927034732</v>
      </c>
      <c r="I22" s="268">
        <f t="shared" si="0"/>
        <v>0.28221026937769367</v>
      </c>
      <c r="J22" s="269">
        <f t="shared" si="6"/>
        <v>7.9033728196061208</v>
      </c>
      <c r="K22" s="269">
        <f t="shared" si="7"/>
        <v>0.79931045149438795</v>
      </c>
      <c r="L22" s="269">
        <f>+K22/'Capacity Delivered'!R23*1000</f>
        <v>0.3499853104833911</v>
      </c>
      <c r="M22" s="270">
        <f t="shared" si="1"/>
        <v>3.4998531048339109E-4</v>
      </c>
      <c r="O22" s="174">
        <f t="shared" si="8"/>
        <v>48.226809953260691</v>
      </c>
      <c r="P22" s="174">
        <f t="shared" si="2"/>
        <v>0</v>
      </c>
      <c r="Q22" s="174">
        <f t="shared" si="3"/>
        <v>15.41228593597199</v>
      </c>
      <c r="R22" s="174">
        <f t="shared" ref="R22:R27" si="14">R21+Q22</f>
        <v>357.90098373363486</v>
      </c>
      <c r="S22" s="174">
        <f t="shared" si="10"/>
        <v>36.196444660783989</v>
      </c>
      <c r="T22" s="269">
        <f>+S22/'Capacity Delivered'!L22*1000</f>
        <v>4.1320142306831036</v>
      </c>
      <c r="U22" s="270">
        <f t="shared" ref="U22:U27" si="15">T22/1000</f>
        <v>4.1320142306831035E-3</v>
      </c>
      <c r="W22" s="271">
        <f t="shared" si="11"/>
        <v>4.4819995411664948</v>
      </c>
      <c r="X22" s="272">
        <f t="shared" ref="X22:X27" si="16">W22/1000</f>
        <v>4.4819995411664948E-3</v>
      </c>
    </row>
    <row r="23" spans="2:24" s="44" customFormat="1" x14ac:dyDescent="0.25">
      <c r="B23" s="277"/>
      <c r="C23" s="277"/>
      <c r="D23" s="277"/>
      <c r="E23" s="192"/>
      <c r="F23" s="38">
        <f t="shared" si="12"/>
        <v>2036</v>
      </c>
      <c r="G23" s="37">
        <v>17</v>
      </c>
      <c r="H23" s="174">
        <f>'Capacity Delivered'!I23</f>
        <v>0.91089450907608249</v>
      </c>
      <c r="I23" s="268">
        <f t="shared" si="0"/>
        <v>0.27107081635811187</v>
      </c>
      <c r="J23" s="269">
        <f t="shared" si="6"/>
        <v>8.1744436359642325</v>
      </c>
      <c r="K23" s="269">
        <f t="shared" si="7"/>
        <v>0.80084149149486272</v>
      </c>
      <c r="L23" s="269">
        <f>+K23/'Capacity Delivered'!R24*1000</f>
        <v>0.35161639071604439</v>
      </c>
      <c r="M23" s="270">
        <f t="shared" si="1"/>
        <v>3.5161639071604439E-4</v>
      </c>
      <c r="O23" s="174">
        <f t="shared" si="8"/>
        <v>49.432480202092208</v>
      </c>
      <c r="P23" s="174">
        <f t="shared" si="2"/>
        <v>0</v>
      </c>
      <c r="Q23" s="174">
        <f t="shared" si="3"/>
        <v>14.710488019714395</v>
      </c>
      <c r="R23" s="174">
        <f t="shared" si="14"/>
        <v>372.61147175334924</v>
      </c>
      <c r="S23" s="174">
        <f t="shared" si="10"/>
        <v>36.504346971602729</v>
      </c>
      <c r="T23" s="269">
        <f>+S23/'Capacity Delivered'!L23*1000</f>
        <v>4.155777205328179</v>
      </c>
      <c r="U23" s="270">
        <f t="shared" si="15"/>
        <v>4.1557772053281792E-3</v>
      </c>
      <c r="W23" s="271">
        <f t="shared" si="11"/>
        <v>4.5073935960442233</v>
      </c>
      <c r="X23" s="272">
        <f t="shared" si="16"/>
        <v>4.5073935960442237E-3</v>
      </c>
    </row>
    <row r="24" spans="2:24" s="44" customFormat="1" x14ac:dyDescent="0.25">
      <c r="B24" s="277"/>
      <c r="C24" s="277"/>
      <c r="D24" s="277"/>
      <c r="E24" s="192"/>
      <c r="F24" s="38">
        <f t="shared" si="12"/>
        <v>2037</v>
      </c>
      <c r="G24" s="37">
        <v>18</v>
      </c>
      <c r="H24" s="174">
        <f>'Capacity Delivered'!I24</f>
        <v>0.91089450907608249</v>
      </c>
      <c r="I24" s="268">
        <f t="shared" si="0"/>
        <v>0.2524171862911927</v>
      </c>
      <c r="J24" s="269">
        <f t="shared" si="6"/>
        <v>8.426860822255426</v>
      </c>
      <c r="K24" s="269">
        <f t="shared" si="7"/>
        <v>0.80218341428779893</v>
      </c>
      <c r="L24" s="269">
        <f>+K24/'Capacity Delivered'!R25*1000</f>
        <v>0.35220557353696824</v>
      </c>
      <c r="M24" s="270">
        <f t="shared" si="1"/>
        <v>3.5220557353696826E-4</v>
      </c>
      <c r="O24" s="174">
        <f t="shared" si="8"/>
        <v>50.668292207144511</v>
      </c>
      <c r="P24" s="174">
        <f t="shared" si="2"/>
        <v>0</v>
      </c>
      <c r="Q24" s="174">
        <f t="shared" si="3"/>
        <v>14.040646447720695</v>
      </c>
      <c r="R24" s="174">
        <f t="shared" si="14"/>
        <v>386.65211820106992</v>
      </c>
      <c r="S24" s="174">
        <f t="shared" si="10"/>
        <v>36.806816068564046</v>
      </c>
      <c r="T24" s="269">
        <f>+S24/'Capacity Delivered'!L24*1000</f>
        <v>4.2016913320278588</v>
      </c>
      <c r="U24" s="270">
        <f t="shared" si="15"/>
        <v>4.2016913320278588E-3</v>
      </c>
      <c r="W24" s="271">
        <f t="shared" si="11"/>
        <v>4.5538969055648266</v>
      </c>
      <c r="X24" s="272">
        <f t="shared" si="16"/>
        <v>4.5538969055648262E-3</v>
      </c>
    </row>
    <row r="25" spans="2:24" x14ac:dyDescent="0.25">
      <c r="B25" s="175"/>
      <c r="C25" s="175"/>
      <c r="D25" s="175"/>
      <c r="E25" s="52"/>
      <c r="F25" s="38">
        <f t="shared" si="12"/>
        <v>2038</v>
      </c>
      <c r="G25" s="39">
        <v>19</v>
      </c>
      <c r="H25" s="174">
        <f>'Capacity Delivered'!I25</f>
        <v>0.91089450907608249</v>
      </c>
      <c r="I25" s="40">
        <f t="shared" si="0"/>
        <v>0.23504719833428878</v>
      </c>
      <c r="J25" s="41">
        <f t="shared" si="6"/>
        <v>8.6619080205897152</v>
      </c>
      <c r="K25" s="41">
        <f t="shared" si="7"/>
        <v>0.80336638887498357</v>
      </c>
      <c r="L25" s="41">
        <f>+K25/'Capacity Delivered'!R26*1000</f>
        <v>0.35272496877194576</v>
      </c>
      <c r="M25" s="248">
        <f t="shared" si="1"/>
        <v>3.5272496877194575E-4</v>
      </c>
      <c r="O25" s="174">
        <f t="shared" si="8"/>
        <v>51.934999512323124</v>
      </c>
      <c r="P25" s="174">
        <f t="shared" si="2"/>
        <v>0</v>
      </c>
      <c r="Q25" s="174">
        <f t="shared" si="3"/>
        <v>13.401306088940974</v>
      </c>
      <c r="R25" s="174">
        <f t="shared" si="14"/>
        <v>400.05342429001092</v>
      </c>
      <c r="S25" s="174">
        <f t="shared" si="10"/>
        <v>37.103773679538229</v>
      </c>
      <c r="T25" s="41">
        <f>+S25/'Capacity Delivered'!L25*1000</f>
        <v>4.2355906026870125</v>
      </c>
      <c r="U25" s="248">
        <f t="shared" si="15"/>
        <v>4.2355906026870123E-3</v>
      </c>
      <c r="W25" s="255">
        <f t="shared" si="11"/>
        <v>4.5883155714589581</v>
      </c>
      <c r="X25" s="256">
        <f t="shared" si="16"/>
        <v>4.5883155714589582E-3</v>
      </c>
    </row>
    <row r="26" spans="2:24" x14ac:dyDescent="0.25">
      <c r="B26" s="175"/>
      <c r="C26" s="175"/>
      <c r="D26" s="175"/>
      <c r="E26" s="52"/>
      <c r="F26" s="38">
        <f t="shared" si="12"/>
        <v>2039</v>
      </c>
      <c r="G26" s="39">
        <v>20</v>
      </c>
      <c r="H26" s="174">
        <f>'Capacity Delivered'!I26</f>
        <v>0.91089450907608249</v>
      </c>
      <c r="I26" s="40">
        <f t="shared" si="0"/>
        <v>0.21887251916778913</v>
      </c>
      <c r="J26" s="41">
        <f t="shared" si="6"/>
        <v>8.8807805397575041</v>
      </c>
      <c r="K26" s="41">
        <f t="shared" si="7"/>
        <v>0.80441456074617712</v>
      </c>
      <c r="L26" s="41">
        <f>+K26/'Capacity Delivered'!R27*1000</f>
        <v>0.35222019088297651</v>
      </c>
      <c r="M26" s="248">
        <f t="shared" si="1"/>
        <v>3.5222019088297651E-4</v>
      </c>
      <c r="O26" s="174">
        <f t="shared" si="8"/>
        <v>53.233374500131205</v>
      </c>
      <c r="P26" s="174">
        <f t="shared" si="2"/>
        <v>0</v>
      </c>
      <c r="Q26" s="174">
        <f t="shared" si="3"/>
        <v>12.791078071668217</v>
      </c>
      <c r="R26" s="174">
        <f t="shared" si="14"/>
        <v>412.84450236167913</v>
      </c>
      <c r="S26" s="174">
        <f t="shared" si="10"/>
        <v>37.395150970909185</v>
      </c>
      <c r="T26" s="41">
        <f>+S26/'Capacity Delivered'!L26*1000</f>
        <v>4.2688528505604095</v>
      </c>
      <c r="U26" s="248">
        <f t="shared" si="15"/>
        <v>4.2688528505604095E-3</v>
      </c>
      <c r="W26" s="255">
        <f t="shared" si="11"/>
        <v>4.6210730414433865</v>
      </c>
      <c r="X26" s="256">
        <f t="shared" si="16"/>
        <v>4.6210730414433868E-3</v>
      </c>
    </row>
    <row r="27" spans="2:24" s="44" customFormat="1" ht="15.6" thickBot="1" x14ac:dyDescent="0.3">
      <c r="F27" s="38">
        <f t="shared" si="12"/>
        <v>2040</v>
      </c>
      <c r="G27" s="37">
        <v>21</v>
      </c>
      <c r="H27" s="174">
        <f>'Capacity Delivered'!I27</f>
        <v>0.91089450907608249</v>
      </c>
      <c r="I27" s="40">
        <f t="shared" si="0"/>
        <v>0.20381089409422579</v>
      </c>
      <c r="J27" s="41">
        <f t="shared" si="6"/>
        <v>9.0845914338517293</v>
      </c>
      <c r="K27" s="41">
        <f t="shared" si="7"/>
        <v>0.80534748519543475</v>
      </c>
      <c r="L27" s="41">
        <f>+K27/'Capacity Delivered'!R28*1000</f>
        <v>0.35359478626424079</v>
      </c>
      <c r="M27" s="248">
        <f t="shared" si="1"/>
        <v>3.5359478626424077E-4</v>
      </c>
      <c r="O27" s="174">
        <f t="shared" si="8"/>
        <v>54.564208862634487</v>
      </c>
      <c r="P27" s="174">
        <f t="shared" si="2"/>
        <v>0</v>
      </c>
      <c r="Q27" s="174">
        <f t="shared" si="3"/>
        <v>12.20863676642138</v>
      </c>
      <c r="R27" s="174">
        <f t="shared" si="14"/>
        <v>425.0531391281005</v>
      </c>
      <c r="S27" s="174">
        <f t="shared" si="10"/>
        <v>37.680888476247567</v>
      </c>
      <c r="T27" s="41">
        <f>+S27/'Capacity Delivered'!L27*1000</f>
        <v>4.2897186334525923</v>
      </c>
      <c r="U27" s="248">
        <f t="shared" si="15"/>
        <v>4.2897186334525921E-3</v>
      </c>
      <c r="W27" s="257">
        <f t="shared" si="11"/>
        <v>4.6433134197168329</v>
      </c>
      <c r="X27" s="258">
        <f t="shared" si="16"/>
        <v>4.6433134197168329E-3</v>
      </c>
    </row>
    <row r="28" spans="2:24" s="44" customFormat="1" x14ac:dyDescent="0.25">
      <c r="C28" s="21"/>
      <c r="F28" s="38"/>
      <c r="G28" s="37"/>
      <c r="H28" s="177"/>
      <c r="I28" s="55"/>
      <c r="J28" s="56"/>
      <c r="K28" s="48"/>
      <c r="L28" s="48"/>
      <c r="M28" s="48"/>
      <c r="O28" s="178"/>
      <c r="P28" s="54"/>
      <c r="Q28" s="55"/>
      <c r="R28" s="56"/>
      <c r="S28" s="48"/>
      <c r="T28" s="48"/>
      <c r="U28" s="48"/>
      <c r="W28" s="48"/>
      <c r="X28" s="48"/>
    </row>
    <row r="29" spans="2:24" x14ac:dyDescent="0.25">
      <c r="B29" s="31"/>
      <c r="C29" s="21"/>
      <c r="D29" s="44"/>
      <c r="E29" s="44"/>
      <c r="F29" s="31"/>
      <c r="G29" s="37"/>
      <c r="H29" s="177"/>
      <c r="I29" s="31"/>
      <c r="J29" s="31"/>
      <c r="K29" s="31"/>
      <c r="L29" s="31"/>
      <c r="M29" s="31"/>
      <c r="O29" s="178"/>
      <c r="P29" s="54"/>
      <c r="Q29" s="31"/>
      <c r="R29" s="31"/>
      <c r="S29" s="31"/>
      <c r="T29" s="31"/>
      <c r="U29" s="31"/>
      <c r="W29" s="31"/>
      <c r="X29" s="31"/>
    </row>
    <row r="30" spans="2:24" s="44" customFormat="1" ht="51.75" customHeight="1" x14ac:dyDescent="0.25">
      <c r="B30" s="329" t="s">
        <v>118</v>
      </c>
      <c r="C30" s="329"/>
      <c r="D30" s="329"/>
      <c r="E30" s="329"/>
      <c r="F30" s="329"/>
      <c r="G30" s="329"/>
      <c r="H30" s="329"/>
      <c r="I30" s="329"/>
      <c r="J30" s="329"/>
      <c r="K30" s="329"/>
      <c r="L30" s="329"/>
      <c r="M30" s="329"/>
      <c r="Q30" s="246"/>
      <c r="R30" s="246"/>
    </row>
    <row r="32" spans="2:24" x14ac:dyDescent="0.25">
      <c r="J32" s="259"/>
      <c r="R32" s="259"/>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6" r:id="rId4" name="Control 4">
          <controlPr defaultSize="0" r:id="rId5">
            <anchor moveWithCells="1">
              <from>
                <xdr:col>6</xdr:col>
                <xdr:colOff>571500</xdr:colOff>
                <xdr:row>2</xdr:row>
                <xdr:rowOff>68580</xdr:rowOff>
              </from>
              <to>
                <xdr:col>7</xdr:col>
                <xdr:colOff>228600</xdr:colOff>
                <xdr:row>3</xdr:row>
                <xdr:rowOff>175260</xdr:rowOff>
              </to>
            </anchor>
          </controlPr>
        </control>
      </mc:Choice>
      <mc:Fallback>
        <control shapeId="28676" r:id="rId4" name="Control 4"/>
      </mc:Fallback>
    </mc:AlternateContent>
    <mc:AlternateContent xmlns:mc="http://schemas.openxmlformats.org/markup-compatibility/2006">
      <mc:Choice Requires="x14">
        <control shapeId="28675" r:id="rId6" name="Control 3">
          <controlPr defaultSize="0" r:id="rId7">
            <anchor moveWithCells="1">
              <from>
                <xdr:col>6</xdr:col>
                <xdr:colOff>571500</xdr:colOff>
                <xdr:row>2</xdr:row>
                <xdr:rowOff>68580</xdr:rowOff>
              </from>
              <to>
                <xdr:col>7</xdr:col>
                <xdr:colOff>167640</xdr:colOff>
                <xdr:row>3</xdr:row>
                <xdr:rowOff>91440</xdr:rowOff>
              </to>
            </anchor>
          </controlPr>
        </control>
      </mc:Choice>
      <mc:Fallback>
        <control shapeId="28675" r:id="rId6" name="Control 3"/>
      </mc:Fallback>
    </mc:AlternateContent>
    <mc:AlternateContent xmlns:mc="http://schemas.openxmlformats.org/markup-compatibility/2006">
      <mc:Choice Requires="x14">
        <control shapeId="28674" r:id="rId8" name="Control 2">
          <controlPr defaultSize="0" r:id="rId9">
            <anchor moveWithCells="1">
              <from>
                <xdr:col>6</xdr:col>
                <xdr:colOff>571500</xdr:colOff>
                <xdr:row>2</xdr:row>
                <xdr:rowOff>68580</xdr:rowOff>
              </from>
              <to>
                <xdr:col>7</xdr:col>
                <xdr:colOff>167640</xdr:colOff>
                <xdr:row>3</xdr:row>
                <xdr:rowOff>91440</xdr:rowOff>
              </to>
            </anchor>
          </controlPr>
        </control>
      </mc:Choice>
      <mc:Fallback>
        <control shapeId="28674" r:id="rId8" name="Control 2"/>
      </mc:Fallback>
    </mc:AlternateContent>
    <mc:AlternateContent xmlns:mc="http://schemas.openxmlformats.org/markup-compatibility/2006">
      <mc:Choice Requires="x14">
        <control shapeId="28673" r:id="rId10" name="Control 1">
          <controlPr defaultSize="0" r:id="rId11">
            <anchor moveWithCells="1">
              <from>
                <xdr:col>6</xdr:col>
                <xdr:colOff>571500</xdr:colOff>
                <xdr:row>2</xdr:row>
                <xdr:rowOff>68580</xdr:rowOff>
              </from>
              <to>
                <xdr:col>6</xdr:col>
                <xdr:colOff>792480</xdr:colOff>
                <xdr:row>3</xdr:row>
                <xdr:rowOff>91440</xdr:rowOff>
              </to>
            </anchor>
          </controlPr>
        </control>
      </mc:Choice>
      <mc:Fallback>
        <control shapeId="28673" r:id="rId10" name="Control 1"/>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H28" sqref="H28"/>
    </sheetView>
  </sheetViews>
  <sheetFormatPr defaultColWidth="9.109375" defaultRowHeight="14.4" x14ac:dyDescent="0.3"/>
  <cols>
    <col min="1" max="16384" width="9.109375" style="76"/>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tabSelected="1" topLeftCell="A7" workbookViewId="0">
      <selection activeCell="F20" sqref="F20"/>
    </sheetView>
  </sheetViews>
  <sheetFormatPr defaultColWidth="8.88671875" defaultRowHeight="15" x14ac:dyDescent="0.25"/>
  <cols>
    <col min="1" max="1" width="2.6640625" style="59" customWidth="1"/>
    <col min="2" max="2" width="4" style="59" bestFit="1" customWidth="1"/>
    <col min="3" max="3" width="9.6640625" style="59" customWidth="1"/>
    <col min="4" max="16" width="10" style="59" customWidth="1"/>
    <col min="17" max="17" width="14.109375" style="66" customWidth="1"/>
    <col min="18" max="16384" width="8.88671875" style="59"/>
  </cols>
  <sheetData>
    <row r="2" spans="2:17" ht="49.2" customHeight="1" x14ac:dyDescent="0.3">
      <c r="C2" s="330" t="s">
        <v>126</v>
      </c>
      <c r="D2" s="330"/>
      <c r="E2" s="330"/>
      <c r="F2" s="330"/>
      <c r="G2" s="330"/>
      <c r="H2" s="330"/>
      <c r="I2" s="330"/>
      <c r="J2" s="330"/>
      <c r="K2" s="330"/>
      <c r="L2" s="330"/>
      <c r="M2" s="330"/>
      <c r="N2" s="330"/>
      <c r="O2" s="330"/>
      <c r="P2" s="330"/>
      <c r="Q2" s="330"/>
    </row>
    <row r="3" spans="2:17" ht="16.2" thickBot="1" x14ac:dyDescent="0.35">
      <c r="C3" s="58"/>
      <c r="Q3" s="73"/>
    </row>
    <row r="4" spans="2:17" ht="15.6" x14ac:dyDescent="0.25">
      <c r="C4" s="60"/>
      <c r="D4" s="68" t="s">
        <v>64</v>
      </c>
      <c r="E4" s="68">
        <v>2</v>
      </c>
      <c r="F4" s="68">
        <v>3</v>
      </c>
      <c r="G4" s="68">
        <v>4</v>
      </c>
      <c r="H4" s="68">
        <v>5</v>
      </c>
      <c r="I4" s="68">
        <v>6</v>
      </c>
      <c r="J4" s="68">
        <v>7</v>
      </c>
      <c r="K4" s="68">
        <v>8</v>
      </c>
      <c r="L4" s="68">
        <v>9</v>
      </c>
      <c r="M4" s="68">
        <v>10</v>
      </c>
      <c r="N4" s="68">
        <v>11</v>
      </c>
      <c r="O4" s="68">
        <v>12</v>
      </c>
      <c r="P4" s="69" t="s">
        <v>42</v>
      </c>
      <c r="Q4" s="73"/>
    </row>
    <row r="5" spans="2:17" ht="16.2" thickBot="1" x14ac:dyDescent="0.3">
      <c r="C5" s="70" t="s">
        <v>43</v>
      </c>
      <c r="D5" s="71"/>
      <c r="E5" s="71"/>
      <c r="F5" s="71"/>
      <c r="G5" s="71"/>
      <c r="H5" s="71"/>
      <c r="I5" s="71"/>
      <c r="J5" s="71"/>
      <c r="K5" s="71"/>
      <c r="L5" s="71"/>
      <c r="M5" s="71"/>
      <c r="N5" s="71"/>
      <c r="O5" s="71"/>
      <c r="P5" s="72"/>
      <c r="Q5" s="73"/>
    </row>
    <row r="6" spans="2:17" ht="15.6" thickBot="1" x14ac:dyDescent="0.3">
      <c r="B6" s="213">
        <v>1</v>
      </c>
      <c r="C6" s="61">
        <v>2020</v>
      </c>
      <c r="D6" s="62">
        <v>25.99</v>
      </c>
      <c r="E6" s="62">
        <v>26.25</v>
      </c>
      <c r="F6" s="62">
        <v>6.31</v>
      </c>
      <c r="G6" s="62">
        <v>9.8699999999999992</v>
      </c>
      <c r="H6" s="62">
        <v>6.91</v>
      </c>
      <c r="I6" s="62">
        <v>11.33</v>
      </c>
      <c r="J6" s="62">
        <v>19.98</v>
      </c>
      <c r="K6" s="62">
        <v>23.73</v>
      </c>
      <c r="L6" s="62">
        <v>23.67</v>
      </c>
      <c r="M6" s="62">
        <v>24.02</v>
      </c>
      <c r="N6" s="62">
        <v>25.91</v>
      </c>
      <c r="O6" s="62">
        <v>30.05</v>
      </c>
      <c r="P6" s="62">
        <v>19.48</v>
      </c>
      <c r="Q6" s="73"/>
    </row>
    <row r="7" spans="2:17" ht="15.6" thickBot="1" x14ac:dyDescent="0.3">
      <c r="B7" s="59">
        <v>2</v>
      </c>
      <c r="C7" s="61">
        <f>C6+1</f>
        <v>2021</v>
      </c>
      <c r="D7" s="62">
        <v>27.69</v>
      </c>
      <c r="E7" s="62">
        <v>28.82</v>
      </c>
      <c r="F7" s="62">
        <v>21.13</v>
      </c>
      <c r="G7" s="62">
        <v>17.18</v>
      </c>
      <c r="H7" s="62">
        <v>10.79</v>
      </c>
      <c r="I7" s="62">
        <v>13.67</v>
      </c>
      <c r="J7" s="62">
        <v>22.61</v>
      </c>
      <c r="K7" s="62">
        <v>25.02</v>
      </c>
      <c r="L7" s="62">
        <v>25.99</v>
      </c>
      <c r="M7" s="62">
        <v>25.91</v>
      </c>
      <c r="N7" s="62">
        <v>26.7</v>
      </c>
      <c r="O7" s="62">
        <v>28.98</v>
      </c>
      <c r="P7" s="62">
        <v>22.85</v>
      </c>
      <c r="Q7" s="75"/>
    </row>
    <row r="8" spans="2:17" ht="15.6" thickBot="1" x14ac:dyDescent="0.3">
      <c r="B8" s="59">
        <v>3</v>
      </c>
      <c r="C8" s="61">
        <f t="shared" ref="C8:C26" si="0">C7+1</f>
        <v>2022</v>
      </c>
      <c r="D8" s="62">
        <v>26.56</v>
      </c>
      <c r="E8" s="62">
        <v>27.65</v>
      </c>
      <c r="F8" s="62">
        <v>20.55</v>
      </c>
      <c r="G8" s="62">
        <v>15.1</v>
      </c>
      <c r="H8" s="62">
        <v>9.49</v>
      </c>
      <c r="I8" s="62">
        <v>11.31</v>
      </c>
      <c r="J8" s="62">
        <v>21.01</v>
      </c>
      <c r="K8" s="62">
        <v>22.88</v>
      </c>
      <c r="L8" s="62">
        <v>24.31</v>
      </c>
      <c r="M8" s="62">
        <v>23.59</v>
      </c>
      <c r="N8" s="62">
        <v>24.69</v>
      </c>
      <c r="O8" s="62">
        <v>27.53</v>
      </c>
      <c r="P8" s="62">
        <v>21.19</v>
      </c>
      <c r="Q8" s="75"/>
    </row>
    <row r="9" spans="2:17" ht="15.6" thickBot="1" x14ac:dyDescent="0.3">
      <c r="B9" s="213">
        <v>4</v>
      </c>
      <c r="C9" s="61">
        <f t="shared" si="0"/>
        <v>2023</v>
      </c>
      <c r="D9" s="62">
        <v>25.24</v>
      </c>
      <c r="E9" s="62">
        <v>26.5</v>
      </c>
      <c r="F9" s="62">
        <v>19.77</v>
      </c>
      <c r="G9" s="62">
        <v>14.79</v>
      </c>
      <c r="H9" s="62">
        <v>9.6999999999999993</v>
      </c>
      <c r="I9" s="62">
        <v>10.29</v>
      </c>
      <c r="J9" s="62">
        <v>20.13</v>
      </c>
      <c r="K9" s="62">
        <v>21.93</v>
      </c>
      <c r="L9" s="62">
        <v>23.68</v>
      </c>
      <c r="M9" s="62">
        <v>23.11</v>
      </c>
      <c r="N9" s="62">
        <v>24.42</v>
      </c>
      <c r="O9" s="62">
        <v>27.09</v>
      </c>
      <c r="P9" s="62">
        <v>20.53</v>
      </c>
      <c r="Q9" s="75"/>
    </row>
    <row r="10" spans="2:17" ht="15.6" thickBot="1" x14ac:dyDescent="0.3">
      <c r="B10" s="59">
        <v>5</v>
      </c>
      <c r="C10" s="61">
        <f t="shared" si="0"/>
        <v>2024</v>
      </c>
      <c r="D10" s="62">
        <v>24.49</v>
      </c>
      <c r="E10" s="62">
        <v>25.82</v>
      </c>
      <c r="F10" s="62">
        <v>18.79</v>
      </c>
      <c r="G10" s="62">
        <v>13.88</v>
      </c>
      <c r="H10" s="62">
        <v>7.17</v>
      </c>
      <c r="I10" s="62">
        <v>9.23</v>
      </c>
      <c r="J10" s="62">
        <v>18.46</v>
      </c>
      <c r="K10" s="62">
        <v>22.35</v>
      </c>
      <c r="L10" s="62">
        <v>24</v>
      </c>
      <c r="M10" s="62">
        <v>22.97</v>
      </c>
      <c r="N10" s="62">
        <v>24.39</v>
      </c>
      <c r="O10" s="62">
        <v>26.06</v>
      </c>
      <c r="P10" s="62">
        <v>19.79</v>
      </c>
      <c r="Q10" s="75"/>
    </row>
    <row r="11" spans="2:17" ht="15.6" thickBot="1" x14ac:dyDescent="0.3">
      <c r="B11" s="59">
        <v>6</v>
      </c>
      <c r="C11" s="61">
        <f t="shared" si="0"/>
        <v>2025</v>
      </c>
      <c r="D11" s="62">
        <v>24.49</v>
      </c>
      <c r="E11" s="62">
        <v>25.82</v>
      </c>
      <c r="F11" s="62">
        <v>18.97</v>
      </c>
      <c r="G11" s="62">
        <v>12.83</v>
      </c>
      <c r="H11" s="62">
        <v>7.53</v>
      </c>
      <c r="I11" s="62">
        <v>9.73</v>
      </c>
      <c r="J11" s="62">
        <v>18.21</v>
      </c>
      <c r="K11" s="62">
        <v>22.47</v>
      </c>
      <c r="L11" s="62">
        <v>24.22</v>
      </c>
      <c r="M11" s="62">
        <v>22.79</v>
      </c>
      <c r="N11" s="62">
        <v>23.8</v>
      </c>
      <c r="O11" s="62">
        <v>26.5</v>
      </c>
      <c r="P11" s="62">
        <v>19.75</v>
      </c>
      <c r="Q11" s="75"/>
    </row>
    <row r="12" spans="2:17" ht="15.6" thickBot="1" x14ac:dyDescent="0.3">
      <c r="B12" s="213">
        <v>7</v>
      </c>
      <c r="C12" s="61">
        <f t="shared" si="0"/>
        <v>2026</v>
      </c>
      <c r="D12" s="62">
        <v>24.38</v>
      </c>
      <c r="E12" s="62">
        <v>26.73</v>
      </c>
      <c r="F12" s="62">
        <v>18.2</v>
      </c>
      <c r="G12" s="62">
        <v>13.87</v>
      </c>
      <c r="H12" s="62">
        <v>7.99</v>
      </c>
      <c r="I12" s="62">
        <v>9.5500000000000007</v>
      </c>
      <c r="J12" s="62">
        <v>18.670000000000002</v>
      </c>
      <c r="K12" s="62">
        <v>22.57</v>
      </c>
      <c r="L12" s="62">
        <v>24.01</v>
      </c>
      <c r="M12" s="62">
        <v>23.09</v>
      </c>
      <c r="N12" s="62">
        <v>23.99</v>
      </c>
      <c r="O12" s="62">
        <v>26.99</v>
      </c>
      <c r="P12" s="62">
        <v>19.97</v>
      </c>
      <c r="Q12" s="75"/>
    </row>
    <row r="13" spans="2:17" ht="15.6" thickBot="1" x14ac:dyDescent="0.3">
      <c r="B13" s="59">
        <v>8</v>
      </c>
      <c r="C13" s="61">
        <f t="shared" si="0"/>
        <v>2027</v>
      </c>
      <c r="D13" s="62">
        <v>28.08</v>
      </c>
      <c r="E13" s="62">
        <v>28.91</v>
      </c>
      <c r="F13" s="62">
        <v>19.71</v>
      </c>
      <c r="G13" s="62">
        <v>15.44</v>
      </c>
      <c r="H13" s="62">
        <v>9.14</v>
      </c>
      <c r="I13" s="62">
        <v>10.75</v>
      </c>
      <c r="J13" s="62">
        <v>22.01</v>
      </c>
      <c r="K13" s="62">
        <v>26.84</v>
      </c>
      <c r="L13" s="62">
        <v>28.62</v>
      </c>
      <c r="M13" s="62">
        <v>28.87</v>
      </c>
      <c r="N13" s="62">
        <v>29</v>
      </c>
      <c r="O13" s="62">
        <v>31.2</v>
      </c>
      <c r="P13" s="62">
        <v>23.19</v>
      </c>
      <c r="Q13" s="75"/>
    </row>
    <row r="14" spans="2:17" ht="15.6" thickBot="1" x14ac:dyDescent="0.3">
      <c r="B14" s="59">
        <v>9</v>
      </c>
      <c r="C14" s="61">
        <f t="shared" si="0"/>
        <v>2028</v>
      </c>
      <c r="D14" s="62">
        <v>28.71</v>
      </c>
      <c r="E14" s="62">
        <v>29.47</v>
      </c>
      <c r="F14" s="62">
        <v>19.64</v>
      </c>
      <c r="G14" s="62">
        <v>16.52</v>
      </c>
      <c r="H14" s="62">
        <v>9.08</v>
      </c>
      <c r="I14" s="62">
        <v>11.2</v>
      </c>
      <c r="J14" s="62">
        <v>23.79</v>
      </c>
      <c r="K14" s="62">
        <v>28.14</v>
      </c>
      <c r="L14" s="62">
        <v>32.15</v>
      </c>
      <c r="M14" s="62">
        <v>31.02</v>
      </c>
      <c r="N14" s="62">
        <v>30.01</v>
      </c>
      <c r="O14" s="62">
        <v>33.369999999999997</v>
      </c>
      <c r="P14" s="62">
        <v>24.42</v>
      </c>
      <c r="Q14" s="75"/>
    </row>
    <row r="15" spans="2:17" ht="15.6" thickBot="1" x14ac:dyDescent="0.3">
      <c r="B15" s="213">
        <v>10</v>
      </c>
      <c r="C15" s="61">
        <f t="shared" si="0"/>
        <v>2029</v>
      </c>
      <c r="D15" s="62">
        <v>29.33</v>
      </c>
      <c r="E15" s="62">
        <v>31.29</v>
      </c>
      <c r="F15" s="62">
        <v>19.63</v>
      </c>
      <c r="G15" s="62">
        <v>20.07</v>
      </c>
      <c r="H15" s="62">
        <v>8.8699999999999992</v>
      </c>
      <c r="I15" s="62">
        <v>11.5</v>
      </c>
      <c r="J15" s="62">
        <v>23.61</v>
      </c>
      <c r="K15" s="62">
        <v>30.2</v>
      </c>
      <c r="L15" s="62">
        <v>35.24</v>
      </c>
      <c r="M15" s="62">
        <v>32.07</v>
      </c>
      <c r="N15" s="62">
        <v>28.96</v>
      </c>
      <c r="O15" s="62">
        <v>34.85</v>
      </c>
      <c r="P15" s="62">
        <v>25.44</v>
      </c>
      <c r="Q15" s="75"/>
    </row>
    <row r="16" spans="2:17" ht="15.6" thickBot="1" x14ac:dyDescent="0.3">
      <c r="B16" s="59">
        <v>11</v>
      </c>
      <c r="C16" s="61">
        <f t="shared" si="0"/>
        <v>2030</v>
      </c>
      <c r="D16" s="62">
        <v>29.05</v>
      </c>
      <c r="E16" s="62">
        <v>30.29</v>
      </c>
      <c r="F16" s="62">
        <v>18.28</v>
      </c>
      <c r="G16" s="62">
        <v>18.75</v>
      </c>
      <c r="H16" s="62">
        <v>8.06</v>
      </c>
      <c r="I16" s="62">
        <v>10.96</v>
      </c>
      <c r="J16" s="62">
        <v>22.71</v>
      </c>
      <c r="K16" s="62">
        <v>29.93</v>
      </c>
      <c r="L16" s="62">
        <v>34.659999999999997</v>
      </c>
      <c r="M16" s="62">
        <v>32.94</v>
      </c>
      <c r="N16" s="62">
        <v>30.73</v>
      </c>
      <c r="O16" s="62">
        <v>34.61</v>
      </c>
      <c r="P16" s="62">
        <v>25.05</v>
      </c>
      <c r="Q16" s="75"/>
    </row>
    <row r="17" spans="2:17" ht="15.6" thickBot="1" x14ac:dyDescent="0.3">
      <c r="B17" s="59">
        <v>12</v>
      </c>
      <c r="C17" s="61">
        <f t="shared" si="0"/>
        <v>2031</v>
      </c>
      <c r="D17" s="62">
        <v>28.42</v>
      </c>
      <c r="E17" s="62">
        <v>30.42</v>
      </c>
      <c r="F17" s="62">
        <v>18.22</v>
      </c>
      <c r="G17" s="62">
        <v>18.190000000000001</v>
      </c>
      <c r="H17" s="62">
        <v>8.5500000000000007</v>
      </c>
      <c r="I17" s="62">
        <v>11.12</v>
      </c>
      <c r="J17" s="62">
        <v>22.13</v>
      </c>
      <c r="K17" s="62">
        <v>29.98</v>
      </c>
      <c r="L17" s="62">
        <v>34.53</v>
      </c>
      <c r="M17" s="62">
        <v>32.65</v>
      </c>
      <c r="N17" s="62">
        <v>29.03</v>
      </c>
      <c r="O17" s="62">
        <v>34.49</v>
      </c>
      <c r="P17" s="62">
        <v>24.78</v>
      </c>
      <c r="Q17" s="75"/>
    </row>
    <row r="18" spans="2:17" ht="15.6" thickBot="1" x14ac:dyDescent="0.3">
      <c r="B18" s="213">
        <v>13</v>
      </c>
      <c r="C18" s="61">
        <f t="shared" si="0"/>
        <v>2032</v>
      </c>
      <c r="D18" s="62">
        <v>28.24</v>
      </c>
      <c r="E18" s="62">
        <v>29.21</v>
      </c>
      <c r="F18" s="62">
        <v>18.309999999999999</v>
      </c>
      <c r="G18" s="62">
        <v>19.43</v>
      </c>
      <c r="H18" s="62">
        <v>10.210000000000001</v>
      </c>
      <c r="I18" s="62">
        <v>10.67</v>
      </c>
      <c r="J18" s="62">
        <v>23.05</v>
      </c>
      <c r="K18" s="62">
        <v>29.05</v>
      </c>
      <c r="L18" s="62">
        <v>33.67</v>
      </c>
      <c r="M18" s="62">
        <v>34.86</v>
      </c>
      <c r="N18" s="62">
        <v>32.28</v>
      </c>
      <c r="O18" s="62">
        <v>35.65</v>
      </c>
      <c r="P18" s="62">
        <v>25.38</v>
      </c>
      <c r="Q18" s="75"/>
    </row>
    <row r="19" spans="2:17" ht="15.6" thickBot="1" x14ac:dyDescent="0.3">
      <c r="B19" s="59">
        <v>14</v>
      </c>
      <c r="C19" s="61">
        <f t="shared" si="0"/>
        <v>2033</v>
      </c>
      <c r="D19" s="62">
        <v>29.08</v>
      </c>
      <c r="E19" s="62">
        <v>31.54</v>
      </c>
      <c r="F19" s="62">
        <v>19.170000000000002</v>
      </c>
      <c r="G19" s="62">
        <v>19.670000000000002</v>
      </c>
      <c r="H19" s="62">
        <v>9.61</v>
      </c>
      <c r="I19" s="62">
        <v>11.64</v>
      </c>
      <c r="J19" s="62">
        <v>24.84</v>
      </c>
      <c r="K19" s="62">
        <v>29.95</v>
      </c>
      <c r="L19" s="62">
        <v>34.57</v>
      </c>
      <c r="M19" s="62">
        <v>37.49</v>
      </c>
      <c r="N19" s="62">
        <v>36.03</v>
      </c>
      <c r="O19" s="62">
        <v>37.07</v>
      </c>
      <c r="P19" s="62">
        <v>26.69</v>
      </c>
      <c r="Q19" s="75"/>
    </row>
    <row r="20" spans="2:17" ht="15.6" thickBot="1" x14ac:dyDescent="0.3">
      <c r="B20" s="59">
        <v>15</v>
      </c>
      <c r="C20" s="61">
        <f t="shared" si="0"/>
        <v>2034</v>
      </c>
      <c r="D20" s="62">
        <v>29.79</v>
      </c>
      <c r="E20" s="62">
        <v>32.26</v>
      </c>
      <c r="F20" s="62">
        <v>19.170000000000002</v>
      </c>
      <c r="G20" s="62">
        <v>19.690000000000001</v>
      </c>
      <c r="H20" s="62">
        <v>10.51</v>
      </c>
      <c r="I20" s="62">
        <v>12.34</v>
      </c>
      <c r="J20" s="62">
        <v>27.12</v>
      </c>
      <c r="K20" s="62">
        <v>30.25</v>
      </c>
      <c r="L20" s="62">
        <v>36.25</v>
      </c>
      <c r="M20" s="62">
        <v>37.68</v>
      </c>
      <c r="N20" s="62">
        <v>35.17</v>
      </c>
      <c r="O20" s="62">
        <v>38.81</v>
      </c>
      <c r="P20" s="62">
        <v>27.4</v>
      </c>
      <c r="Q20" s="75"/>
    </row>
    <row r="21" spans="2:17" ht="15.6" thickBot="1" x14ac:dyDescent="0.3">
      <c r="B21" s="213">
        <v>16</v>
      </c>
      <c r="C21" s="61">
        <f t="shared" si="0"/>
        <v>2035</v>
      </c>
      <c r="D21" s="62">
        <v>31</v>
      </c>
      <c r="E21" s="62">
        <v>35.33</v>
      </c>
      <c r="F21" s="62">
        <v>19.95</v>
      </c>
      <c r="G21" s="62">
        <v>22.93</v>
      </c>
      <c r="H21" s="62">
        <v>11.6</v>
      </c>
      <c r="I21" s="62">
        <v>12.6</v>
      </c>
      <c r="J21" s="62">
        <v>27.03</v>
      </c>
      <c r="K21" s="62">
        <v>32.04</v>
      </c>
      <c r="L21" s="62">
        <v>37.97</v>
      </c>
      <c r="M21" s="62">
        <v>36.64</v>
      </c>
      <c r="N21" s="62">
        <v>32.090000000000003</v>
      </c>
      <c r="O21" s="62">
        <v>40.270000000000003</v>
      </c>
      <c r="P21" s="62">
        <v>28.25</v>
      </c>
      <c r="Q21" s="75"/>
    </row>
    <row r="22" spans="2:17" ht="15.6" thickBot="1" x14ac:dyDescent="0.3">
      <c r="B22" s="59">
        <v>17</v>
      </c>
      <c r="C22" s="61">
        <f t="shared" si="0"/>
        <v>2036</v>
      </c>
      <c r="D22" s="62">
        <v>31.9</v>
      </c>
      <c r="E22" s="62">
        <v>35.4</v>
      </c>
      <c r="F22" s="62">
        <v>20.49</v>
      </c>
      <c r="G22" s="62">
        <v>21.57</v>
      </c>
      <c r="H22" s="62">
        <v>11.51</v>
      </c>
      <c r="I22" s="62">
        <v>13.52</v>
      </c>
      <c r="J22" s="62">
        <v>29.25</v>
      </c>
      <c r="K22" s="62">
        <v>34.32</v>
      </c>
      <c r="L22" s="62">
        <v>39.07</v>
      </c>
      <c r="M22" s="62">
        <v>38.76</v>
      </c>
      <c r="N22" s="62">
        <v>38.04</v>
      </c>
      <c r="O22" s="62">
        <v>42.85</v>
      </c>
      <c r="P22" s="62">
        <v>29.71</v>
      </c>
      <c r="Q22" s="75"/>
    </row>
    <row r="23" spans="2:17" ht="15.6" thickBot="1" x14ac:dyDescent="0.3">
      <c r="B23" s="59">
        <v>18</v>
      </c>
      <c r="C23" s="61">
        <f t="shared" si="0"/>
        <v>2037</v>
      </c>
      <c r="D23" s="62">
        <v>32.89</v>
      </c>
      <c r="E23" s="62">
        <v>35.549999999999997</v>
      </c>
      <c r="F23" s="62">
        <v>19.899999999999999</v>
      </c>
      <c r="G23" s="62">
        <v>20.059999999999999</v>
      </c>
      <c r="H23" s="62">
        <v>11.58</v>
      </c>
      <c r="I23" s="62">
        <v>12.92</v>
      </c>
      <c r="J23" s="62">
        <v>30.46</v>
      </c>
      <c r="K23" s="62">
        <v>34.47</v>
      </c>
      <c r="L23" s="62">
        <v>38.51</v>
      </c>
      <c r="M23" s="62">
        <v>38.58</v>
      </c>
      <c r="N23" s="62">
        <v>35.590000000000003</v>
      </c>
      <c r="O23" s="62">
        <v>42.87</v>
      </c>
      <c r="P23" s="62">
        <v>29.43</v>
      </c>
      <c r="Q23" s="75"/>
    </row>
    <row r="24" spans="2:17" ht="15.6" thickBot="1" x14ac:dyDescent="0.3">
      <c r="B24" s="213">
        <v>19</v>
      </c>
      <c r="C24" s="61">
        <f t="shared" si="0"/>
        <v>2038</v>
      </c>
      <c r="D24" s="62">
        <v>33.049999999999997</v>
      </c>
      <c r="E24" s="62">
        <v>34.31</v>
      </c>
      <c r="F24" s="62">
        <v>19.61</v>
      </c>
      <c r="G24" s="62">
        <v>20.59</v>
      </c>
      <c r="H24" s="62">
        <v>12.34</v>
      </c>
      <c r="I24" s="62">
        <v>12.73</v>
      </c>
      <c r="J24" s="62">
        <v>30.02</v>
      </c>
      <c r="K24" s="62">
        <v>34.49</v>
      </c>
      <c r="L24" s="62">
        <v>38.54</v>
      </c>
      <c r="M24" s="62">
        <v>38.11</v>
      </c>
      <c r="N24" s="62">
        <v>34.6</v>
      </c>
      <c r="O24" s="62">
        <v>43.72</v>
      </c>
      <c r="P24" s="62">
        <v>29.33</v>
      </c>
      <c r="Q24" s="75"/>
    </row>
    <row r="25" spans="2:17" ht="15.6" thickBot="1" x14ac:dyDescent="0.3">
      <c r="B25" s="59">
        <v>20</v>
      </c>
      <c r="C25" s="61">
        <f t="shared" si="0"/>
        <v>2039</v>
      </c>
      <c r="D25" s="62">
        <v>31.29</v>
      </c>
      <c r="E25" s="62">
        <v>33.46</v>
      </c>
      <c r="F25" s="62">
        <v>18.2</v>
      </c>
      <c r="G25" s="62">
        <v>19.010000000000002</v>
      </c>
      <c r="H25" s="62">
        <v>10.72</v>
      </c>
      <c r="I25" s="62">
        <v>12.48</v>
      </c>
      <c r="J25" s="62">
        <v>30.87</v>
      </c>
      <c r="K25" s="62">
        <v>34.28</v>
      </c>
      <c r="L25" s="62">
        <v>40.25</v>
      </c>
      <c r="M25" s="62">
        <v>38.630000000000003</v>
      </c>
      <c r="N25" s="62">
        <v>36.81</v>
      </c>
      <c r="O25" s="62">
        <v>43.64</v>
      </c>
      <c r="P25" s="62">
        <v>29.12</v>
      </c>
      <c r="Q25" s="75"/>
    </row>
    <row r="26" spans="2:17" ht="15.6" thickBot="1" x14ac:dyDescent="0.3">
      <c r="B26" s="59">
        <v>21</v>
      </c>
      <c r="C26" s="61">
        <f t="shared" si="0"/>
        <v>2040</v>
      </c>
      <c r="D26" s="62">
        <v>31.22</v>
      </c>
      <c r="E26" s="62">
        <v>33.69</v>
      </c>
      <c r="F26" s="62">
        <v>17.21</v>
      </c>
      <c r="G26" s="62">
        <v>18.62</v>
      </c>
      <c r="H26" s="62">
        <v>10</v>
      </c>
      <c r="I26" s="62">
        <v>12.67</v>
      </c>
      <c r="J26" s="62">
        <v>30.73</v>
      </c>
      <c r="K26" s="62">
        <v>33.44</v>
      </c>
      <c r="L26" s="62">
        <v>41.9</v>
      </c>
      <c r="M26" s="62">
        <v>38.880000000000003</v>
      </c>
      <c r="N26" s="62">
        <v>37.619999999999997</v>
      </c>
      <c r="O26" s="62">
        <v>46.67</v>
      </c>
      <c r="P26" s="62">
        <v>29.38</v>
      </c>
      <c r="Q26" s="75"/>
    </row>
    <row r="27" spans="2:17" ht="15.6" thickBot="1" x14ac:dyDescent="0.3">
      <c r="C27" s="63"/>
      <c r="D27" s="64"/>
      <c r="E27" s="64"/>
      <c r="F27" s="64"/>
      <c r="G27" s="64"/>
      <c r="H27" s="64"/>
      <c r="I27" s="64"/>
      <c r="J27" s="64"/>
      <c r="K27" s="64"/>
      <c r="L27" s="64"/>
      <c r="M27" s="64"/>
      <c r="N27" s="64"/>
      <c r="O27" s="64"/>
      <c r="P27" s="65"/>
      <c r="Q27" s="74"/>
    </row>
    <row r="28" spans="2:17" ht="15.6" thickBot="1" x14ac:dyDescent="0.3">
      <c r="O28" s="66" t="s">
        <v>61</v>
      </c>
      <c r="P28" s="67">
        <f>-PMT(Rate_of_Return,20,NPV(Rate_of_Return,P6:P25))</f>
        <v>23.309665672276324</v>
      </c>
      <c r="Q28" s="73"/>
    </row>
    <row r="29" spans="2:17" ht="15.6" thickBot="1" x14ac:dyDescent="0.3">
      <c r="O29" s="66" t="s">
        <v>62</v>
      </c>
      <c r="P29" s="262">
        <f>-PMT(Rate_of_Return,15,NPV(Rate_of_Return,P6:P20))</f>
        <v>22.395023563750637</v>
      </c>
      <c r="Q29" s="73"/>
    </row>
    <row r="31" spans="2:17" x14ac:dyDescent="0.25">
      <c r="B31"/>
      <c r="C31"/>
      <c r="D31"/>
      <c r="E31"/>
      <c r="F31"/>
      <c r="G31"/>
      <c r="H31"/>
      <c r="I31"/>
      <c r="J31"/>
      <c r="K31"/>
      <c r="L31"/>
      <c r="M31"/>
      <c r="N31"/>
      <c r="O31"/>
      <c r="P31"/>
      <c r="Q31"/>
    </row>
    <row r="32" spans="2:17" x14ac:dyDescent="0.25">
      <c r="B32"/>
      <c r="C32"/>
      <c r="D32"/>
      <c r="E32"/>
      <c r="F32"/>
      <c r="G32"/>
      <c r="H32"/>
      <c r="I32"/>
      <c r="J32"/>
      <c r="K32"/>
      <c r="L32"/>
      <c r="M32"/>
      <c r="N32"/>
      <c r="O32"/>
      <c r="P32"/>
      <c r="Q32"/>
    </row>
    <row r="33" spans="2:17" x14ac:dyDescent="0.25">
      <c r="B33"/>
      <c r="C33"/>
      <c r="D33"/>
      <c r="E33"/>
      <c r="F33"/>
      <c r="G33"/>
      <c r="H33"/>
      <c r="I33"/>
      <c r="J33"/>
      <c r="K33"/>
      <c r="L33"/>
      <c r="M33"/>
      <c r="N33"/>
      <c r="O33"/>
      <c r="P33"/>
      <c r="Q33"/>
    </row>
    <row r="34" spans="2:17" x14ac:dyDescent="0.25">
      <c r="B34"/>
      <c r="C34"/>
      <c r="D34"/>
      <c r="E34"/>
      <c r="F34"/>
      <c r="G34"/>
      <c r="H34"/>
      <c r="I34"/>
      <c r="J34"/>
      <c r="K34"/>
      <c r="L34"/>
      <c r="M34"/>
      <c r="N34"/>
      <c r="O34"/>
      <c r="P34"/>
      <c r="Q34"/>
    </row>
    <row r="35" spans="2:17" ht="15.6" customHeight="1" x14ac:dyDescent="0.25">
      <c r="B35"/>
      <c r="C35"/>
      <c r="D35"/>
      <c r="E35"/>
      <c r="F35"/>
      <c r="G35"/>
      <c r="H35"/>
      <c r="I35"/>
      <c r="J35"/>
      <c r="K35"/>
      <c r="L35"/>
      <c r="M35"/>
      <c r="N35"/>
      <c r="O35"/>
      <c r="P35"/>
      <c r="Q35"/>
    </row>
    <row r="36" spans="2:17" x14ac:dyDescent="0.25">
      <c r="B36"/>
      <c r="C36"/>
      <c r="D36"/>
      <c r="E36"/>
      <c r="F36"/>
      <c r="G36"/>
      <c r="H36"/>
      <c r="I36"/>
      <c r="J36"/>
      <c r="K36"/>
      <c r="L36"/>
      <c r="M36"/>
      <c r="N36"/>
      <c r="O36"/>
      <c r="P36"/>
      <c r="Q36"/>
    </row>
    <row r="37" spans="2:17" ht="40.950000000000003" customHeight="1" x14ac:dyDescent="0.25">
      <c r="B37"/>
      <c r="C37"/>
      <c r="D37"/>
      <c r="E37"/>
      <c r="F37"/>
      <c r="G37"/>
      <c r="H37"/>
      <c r="I37"/>
      <c r="J37"/>
      <c r="K37"/>
      <c r="L37"/>
      <c r="M37"/>
      <c r="N37"/>
      <c r="O37"/>
      <c r="P37"/>
      <c r="Q37"/>
    </row>
    <row r="38" spans="2:17" x14ac:dyDescent="0.25">
      <c r="B38"/>
      <c r="C38"/>
      <c r="D38"/>
      <c r="E38"/>
      <c r="F38"/>
      <c r="G38"/>
      <c r="H38"/>
      <c r="I38"/>
      <c r="J38"/>
      <c r="K38"/>
      <c r="L38"/>
      <c r="M38"/>
      <c r="N38"/>
      <c r="O38"/>
      <c r="P38"/>
      <c r="Q38"/>
    </row>
    <row r="39" spans="2:17" x14ac:dyDescent="0.25">
      <c r="B39"/>
      <c r="C39"/>
      <c r="D39"/>
      <c r="E39"/>
      <c r="F39"/>
      <c r="G39"/>
      <c r="H39"/>
      <c r="I39"/>
      <c r="J39"/>
      <c r="K39"/>
      <c r="L39"/>
      <c r="M39"/>
      <c r="N39"/>
      <c r="O39"/>
      <c r="P39"/>
      <c r="Q39"/>
    </row>
    <row r="40" spans="2:17" x14ac:dyDescent="0.25">
      <c r="B40"/>
      <c r="C40"/>
      <c r="D40"/>
      <c r="E40"/>
      <c r="F40"/>
      <c r="G40"/>
      <c r="H40"/>
      <c r="I40"/>
      <c r="J40"/>
      <c r="K40"/>
      <c r="L40"/>
      <c r="M40"/>
      <c r="N40"/>
      <c r="O40"/>
      <c r="P40"/>
      <c r="Q40"/>
    </row>
    <row r="41" spans="2:17" x14ac:dyDescent="0.25">
      <c r="B41"/>
      <c r="C41"/>
      <c r="D41"/>
      <c r="E41"/>
      <c r="F41"/>
      <c r="G41"/>
      <c r="H41"/>
      <c r="I41"/>
      <c r="J41"/>
      <c r="K41"/>
      <c r="L41"/>
      <c r="M41"/>
      <c r="N41"/>
      <c r="O41"/>
      <c r="P41"/>
      <c r="Q41"/>
    </row>
    <row r="42" spans="2:17" ht="93.6" customHeight="1" x14ac:dyDescent="0.25">
      <c r="B42"/>
      <c r="C42"/>
      <c r="D42"/>
      <c r="E42"/>
      <c r="F42"/>
      <c r="G42"/>
      <c r="H42"/>
      <c r="I42"/>
      <c r="J42"/>
      <c r="K42"/>
      <c r="L42"/>
      <c r="M42"/>
      <c r="N42"/>
      <c r="O42"/>
      <c r="P42"/>
      <c r="Q42"/>
    </row>
    <row r="43" spans="2:17" ht="80.400000000000006" customHeight="1" x14ac:dyDescent="0.25">
      <c r="B43"/>
      <c r="C43"/>
      <c r="D43"/>
      <c r="E43"/>
      <c r="F43"/>
      <c r="G43"/>
      <c r="H43"/>
      <c r="I43"/>
      <c r="J43"/>
      <c r="K43"/>
      <c r="L43"/>
      <c r="M43"/>
      <c r="N43"/>
      <c r="O43"/>
      <c r="P43"/>
      <c r="Q43"/>
    </row>
    <row r="44" spans="2:17" x14ac:dyDescent="0.25">
      <c r="B44"/>
      <c r="C44"/>
      <c r="D44"/>
      <c r="E44"/>
      <c r="F44"/>
      <c r="G44"/>
      <c r="H44"/>
      <c r="I44"/>
      <c r="J44"/>
      <c r="K44"/>
      <c r="L44"/>
      <c r="M44"/>
      <c r="N44"/>
      <c r="O44"/>
      <c r="P44"/>
      <c r="Q44"/>
    </row>
    <row r="45" spans="2:17" x14ac:dyDescent="0.25">
      <c r="B45"/>
      <c r="C45"/>
      <c r="D45"/>
      <c r="E45"/>
      <c r="F45"/>
      <c r="G45"/>
      <c r="H45"/>
      <c r="I45"/>
      <c r="J45"/>
      <c r="K45"/>
      <c r="L45"/>
      <c r="M45"/>
      <c r="N45"/>
      <c r="O45"/>
      <c r="P45"/>
      <c r="Q45"/>
    </row>
    <row r="46" spans="2:17" x14ac:dyDescent="0.25">
      <c r="B46"/>
      <c r="C46"/>
      <c r="D46"/>
      <c r="E46"/>
      <c r="F46"/>
      <c r="G46"/>
      <c r="H46"/>
      <c r="I46"/>
      <c r="J46"/>
      <c r="K46"/>
      <c r="L46"/>
      <c r="M46"/>
      <c r="N46"/>
      <c r="O46"/>
      <c r="P46"/>
      <c r="Q46"/>
    </row>
    <row r="47" spans="2:17" x14ac:dyDescent="0.25">
      <c r="B47"/>
      <c r="C47"/>
      <c r="D47"/>
      <c r="E47"/>
      <c r="F47"/>
      <c r="G47"/>
      <c r="H47"/>
      <c r="I47"/>
      <c r="J47"/>
      <c r="K47"/>
      <c r="L47"/>
      <c r="M47"/>
      <c r="N47"/>
      <c r="O47"/>
      <c r="P47"/>
      <c r="Q47"/>
    </row>
    <row r="48" spans="2: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sheetData>
  <mergeCells count="1">
    <mergeCell ref="C2:Q2"/>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50"/>
  <sheetViews>
    <sheetView topLeftCell="A4" zoomScale="120" zoomScaleNormal="120" workbookViewId="0">
      <selection activeCell="A9" sqref="A9"/>
    </sheetView>
  </sheetViews>
  <sheetFormatPr defaultColWidth="8.88671875" defaultRowHeight="13.2" x14ac:dyDescent="0.25"/>
  <cols>
    <col min="1" max="1" width="2.6640625" style="227" customWidth="1"/>
    <col min="2" max="2" width="3.88671875" style="227" bestFit="1" customWidth="1"/>
    <col min="3" max="3" width="9" style="227" bestFit="1" customWidth="1"/>
    <col min="4" max="4" width="23" style="227" customWidth="1"/>
    <col min="5" max="5" width="24.6640625" style="227" customWidth="1"/>
    <col min="6" max="6" width="2.109375" style="176" customWidth="1"/>
    <col min="7" max="7" width="17.44140625" style="227" bestFit="1" customWidth="1"/>
    <col min="8" max="9" width="13.88671875" style="227" bestFit="1" customWidth="1"/>
    <col min="10" max="10" width="2.109375" style="176" customWidth="1"/>
    <col min="11" max="11" width="8.88671875" style="227"/>
    <col min="12" max="12" width="11.109375" style="227" customWidth="1"/>
    <col min="13" max="13" width="2.109375" style="176" customWidth="1"/>
    <col min="14" max="14" width="14" style="227" customWidth="1"/>
    <col min="15" max="15" width="11.33203125" style="227" bestFit="1" customWidth="1"/>
    <col min="16" max="16" width="11.6640625" style="227" customWidth="1"/>
    <col min="17" max="17" width="10.109375" style="227" bestFit="1" customWidth="1"/>
    <col min="18" max="18" width="12.109375" style="227" customWidth="1"/>
    <col min="19" max="19" width="11.33203125" style="227" bestFit="1" customWidth="1"/>
    <col min="20" max="16384" width="8.88671875" style="227"/>
  </cols>
  <sheetData>
    <row r="1" spans="1:19" x14ac:dyDescent="0.25">
      <c r="O1" s="260"/>
      <c r="Q1" s="260"/>
    </row>
    <row r="2" spans="1:19" x14ac:dyDescent="0.25">
      <c r="K2" s="176"/>
      <c r="L2" s="176"/>
      <c r="O2" s="261"/>
      <c r="P2" s="176"/>
      <c r="Q2" s="261"/>
      <c r="R2" s="176"/>
      <c r="S2" s="261"/>
    </row>
    <row r="3" spans="1:19" s="305" customFormat="1" ht="27.6" customHeight="1" thickBot="1" x14ac:dyDescent="0.3">
      <c r="D3" s="338" t="s">
        <v>44</v>
      </c>
      <c r="E3" s="338"/>
      <c r="F3" s="279"/>
      <c r="G3" s="331" t="s">
        <v>96</v>
      </c>
      <c r="H3" s="331"/>
      <c r="I3" s="331"/>
      <c r="J3" s="279"/>
      <c r="K3" s="279"/>
      <c r="L3" s="279"/>
      <c r="M3" s="279"/>
      <c r="N3" s="331" t="s">
        <v>97</v>
      </c>
      <c r="O3" s="331"/>
      <c r="P3" s="331"/>
      <c r="Q3" s="331"/>
      <c r="R3" s="331"/>
      <c r="S3" s="331"/>
    </row>
    <row r="4" spans="1:19" s="305" customFormat="1" ht="85.95" customHeight="1" x14ac:dyDescent="0.25">
      <c r="D4" s="283" t="s">
        <v>45</v>
      </c>
      <c r="E4" s="297" t="s">
        <v>98</v>
      </c>
      <c r="F4" s="279"/>
      <c r="G4" s="306" t="s">
        <v>127</v>
      </c>
      <c r="H4" s="306" t="s">
        <v>128</v>
      </c>
      <c r="I4" s="307" t="s">
        <v>129</v>
      </c>
      <c r="J4" s="229"/>
      <c r="K4" s="332" t="s">
        <v>130</v>
      </c>
      <c r="L4" s="335" t="s">
        <v>131</v>
      </c>
      <c r="M4" s="229"/>
      <c r="N4" s="308" t="s">
        <v>132</v>
      </c>
      <c r="O4" s="309" t="s">
        <v>133</v>
      </c>
      <c r="P4" s="308" t="s">
        <v>134</v>
      </c>
      <c r="Q4" s="309" t="s">
        <v>135</v>
      </c>
      <c r="R4" s="310" t="s">
        <v>136</v>
      </c>
      <c r="S4" s="309" t="s">
        <v>137</v>
      </c>
    </row>
    <row r="5" spans="1:19" s="305" customFormat="1" x14ac:dyDescent="0.25">
      <c r="C5" s="311"/>
      <c r="D5" s="285"/>
      <c r="E5" s="286"/>
      <c r="F5" s="279"/>
      <c r="G5" s="322">
        <v>1</v>
      </c>
      <c r="H5" s="323">
        <v>6.4000000000000001E-2</v>
      </c>
      <c r="I5" s="324">
        <v>0.01</v>
      </c>
      <c r="J5" s="229"/>
      <c r="K5" s="333"/>
      <c r="L5" s="336"/>
      <c r="M5" s="229"/>
      <c r="N5" s="312">
        <v>1</v>
      </c>
      <c r="O5" s="313"/>
      <c r="P5" s="312">
        <v>0.3</v>
      </c>
      <c r="Q5" s="313"/>
      <c r="R5" s="314">
        <v>0.26</v>
      </c>
      <c r="S5" s="315"/>
    </row>
    <row r="6" spans="1:19" s="305" customFormat="1" ht="27" thickBot="1" x14ac:dyDescent="0.3">
      <c r="B6" s="311"/>
      <c r="C6" s="316"/>
      <c r="D6" s="287"/>
      <c r="E6" s="288" t="s">
        <v>100</v>
      </c>
      <c r="F6" s="279"/>
      <c r="G6" s="317" t="s">
        <v>100</v>
      </c>
      <c r="H6" s="317" t="s">
        <v>100</v>
      </c>
      <c r="I6" s="318" t="s">
        <v>100</v>
      </c>
      <c r="J6" s="279"/>
      <c r="K6" s="334"/>
      <c r="L6" s="337"/>
      <c r="M6" s="229"/>
      <c r="N6" s="319" t="s">
        <v>99</v>
      </c>
      <c r="O6" s="320" t="s">
        <v>14</v>
      </c>
      <c r="P6" s="319" t="s">
        <v>99</v>
      </c>
      <c r="Q6" s="320" t="s">
        <v>14</v>
      </c>
      <c r="R6" s="321" t="s">
        <v>99</v>
      </c>
      <c r="S6" s="320" t="s">
        <v>14</v>
      </c>
    </row>
    <row r="7" spans="1:19" x14ac:dyDescent="0.25">
      <c r="A7" s="230"/>
      <c r="B7" s="298">
        <v>1</v>
      </c>
      <c r="C7" s="284">
        <v>2020</v>
      </c>
      <c r="D7" s="234" t="s">
        <v>46</v>
      </c>
      <c r="E7" s="289">
        <v>89</v>
      </c>
      <c r="G7" s="236">
        <f t="shared" ref="G7:I27" si="0">G$5*$E7</f>
        <v>89</v>
      </c>
      <c r="H7" s="236">
        <f>H$5*$E7</f>
        <v>5.6959999999999997</v>
      </c>
      <c r="I7" s="238">
        <f>I$5*$E7</f>
        <v>0.89</v>
      </c>
      <c r="K7" s="235">
        <f t="shared" ref="K7:K28" si="1">C7</f>
        <v>2020</v>
      </c>
      <c r="L7" s="217">
        <v>8784</v>
      </c>
      <c r="M7" s="228"/>
      <c r="N7" s="225">
        <f t="shared" ref="N7:N28" si="2">L7*$N$5</f>
        <v>8784</v>
      </c>
      <c r="O7" s="226">
        <f>(+G7*1000)/$N7</f>
        <v>10.132058287795992</v>
      </c>
      <c r="P7" s="225">
        <f>L7*$P$5</f>
        <v>2635.2</v>
      </c>
      <c r="Q7" s="226">
        <f>(+H7*1000)/$P7</f>
        <v>2.1615057680631451</v>
      </c>
      <c r="R7" s="240">
        <f t="shared" ref="R7:R28" si="3">L7*$R$5</f>
        <v>2283.84</v>
      </c>
      <c r="S7" s="226">
        <f>(+I7*1000)/$R7</f>
        <v>0.38969454953061505</v>
      </c>
    </row>
    <row r="8" spans="1:19" x14ac:dyDescent="0.25">
      <c r="A8" s="230"/>
      <c r="B8" s="299">
        <f t="shared" ref="B8:B28" si="4">+B7+1</f>
        <v>2</v>
      </c>
      <c r="C8" s="231">
        <f>C7+1</f>
        <v>2021</v>
      </c>
      <c r="D8" s="234"/>
      <c r="E8" s="290">
        <v>89</v>
      </c>
      <c r="G8" s="237">
        <f t="shared" si="0"/>
        <v>89</v>
      </c>
      <c r="H8" s="236">
        <f t="shared" si="0"/>
        <v>5.6959999999999997</v>
      </c>
      <c r="I8" s="239">
        <f t="shared" si="0"/>
        <v>0.89</v>
      </c>
      <c r="K8" s="218">
        <f t="shared" si="1"/>
        <v>2021</v>
      </c>
      <c r="L8" s="219">
        <v>8760</v>
      </c>
      <c r="M8" s="228"/>
      <c r="N8" s="221">
        <f t="shared" si="2"/>
        <v>8760</v>
      </c>
      <c r="O8" s="222">
        <f>(+G8*1000)/$N8</f>
        <v>10.159817351598173</v>
      </c>
      <c r="P8" s="221">
        <f t="shared" ref="P8:P28" si="5">L8*$P$5</f>
        <v>2628</v>
      </c>
      <c r="Q8" s="222">
        <f t="shared" ref="Q8:Q28" si="6">(+H8*1000)/$P8</f>
        <v>2.1674277016742769</v>
      </c>
      <c r="R8" s="241">
        <f>L8*$R$5</f>
        <v>2277.6</v>
      </c>
      <c r="S8" s="222">
        <f>(+I8*1000)/$R8</f>
        <v>0.39076220583069898</v>
      </c>
    </row>
    <row r="9" spans="1:19" x14ac:dyDescent="0.25">
      <c r="A9" s="230"/>
      <c r="B9" s="299">
        <f t="shared" si="4"/>
        <v>3</v>
      </c>
      <c r="C9" s="231">
        <f>+C8+1</f>
        <v>2022</v>
      </c>
      <c r="D9" s="234"/>
      <c r="E9" s="290">
        <v>89</v>
      </c>
      <c r="G9" s="237">
        <f t="shared" si="0"/>
        <v>89</v>
      </c>
      <c r="H9" s="236">
        <f t="shared" si="0"/>
        <v>5.6959999999999997</v>
      </c>
      <c r="I9" s="239">
        <f t="shared" si="0"/>
        <v>0.89</v>
      </c>
      <c r="K9" s="218">
        <f t="shared" si="1"/>
        <v>2022</v>
      </c>
      <c r="L9" s="219">
        <v>8760</v>
      </c>
      <c r="M9" s="228"/>
      <c r="N9" s="221">
        <f t="shared" si="2"/>
        <v>8760</v>
      </c>
      <c r="O9" s="222">
        <f t="shared" ref="O9:O28" si="7">(+G9*1000)/$N9</f>
        <v>10.159817351598173</v>
      </c>
      <c r="P9" s="221">
        <f t="shared" si="5"/>
        <v>2628</v>
      </c>
      <c r="Q9" s="222">
        <f t="shared" si="6"/>
        <v>2.1674277016742769</v>
      </c>
      <c r="R9" s="241">
        <f t="shared" si="3"/>
        <v>2277.6</v>
      </c>
      <c r="S9" s="222">
        <f t="shared" ref="S9:S28" si="8">(+I9*1000)/$R9</f>
        <v>0.39076220583069898</v>
      </c>
    </row>
    <row r="10" spans="1:19" x14ac:dyDescent="0.25">
      <c r="A10" s="230"/>
      <c r="B10" s="299">
        <f t="shared" si="4"/>
        <v>4</v>
      </c>
      <c r="C10" s="231">
        <f t="shared" ref="C10:C28" si="9">+C9+1</f>
        <v>2023</v>
      </c>
      <c r="D10" s="234" t="s">
        <v>117</v>
      </c>
      <c r="E10" s="291">
        <v>93</v>
      </c>
      <c r="G10" s="237">
        <f t="shared" si="0"/>
        <v>93</v>
      </c>
      <c r="H10" s="236">
        <f t="shared" si="0"/>
        <v>5.952</v>
      </c>
      <c r="I10" s="239">
        <f t="shared" si="0"/>
        <v>0.93</v>
      </c>
      <c r="K10" s="218">
        <f t="shared" si="1"/>
        <v>2023</v>
      </c>
      <c r="L10" s="219">
        <v>8760</v>
      </c>
      <c r="M10" s="228"/>
      <c r="N10" s="221">
        <f t="shared" si="2"/>
        <v>8760</v>
      </c>
      <c r="O10" s="222">
        <f t="shared" si="7"/>
        <v>10.616438356164384</v>
      </c>
      <c r="P10" s="221">
        <f t="shared" si="5"/>
        <v>2628</v>
      </c>
      <c r="Q10" s="222">
        <f t="shared" si="6"/>
        <v>2.2648401826484017</v>
      </c>
      <c r="R10" s="241">
        <f t="shared" si="3"/>
        <v>2277.6</v>
      </c>
      <c r="S10" s="222">
        <f t="shared" si="8"/>
        <v>0.40832455216016861</v>
      </c>
    </row>
    <row r="11" spans="1:19" x14ac:dyDescent="0.25">
      <c r="A11" s="230"/>
      <c r="B11" s="299">
        <f t="shared" si="4"/>
        <v>5</v>
      </c>
      <c r="C11" s="231">
        <f t="shared" si="9"/>
        <v>2024</v>
      </c>
      <c r="D11" s="234" t="s">
        <v>117</v>
      </c>
      <c r="E11" s="291">
        <v>93</v>
      </c>
      <c r="G11" s="237">
        <f t="shared" si="0"/>
        <v>93</v>
      </c>
      <c r="H11" s="236">
        <f t="shared" si="0"/>
        <v>5.952</v>
      </c>
      <c r="I11" s="239">
        <f t="shared" si="0"/>
        <v>0.93</v>
      </c>
      <c r="K11" s="218">
        <f t="shared" si="1"/>
        <v>2024</v>
      </c>
      <c r="L11" s="219">
        <v>8784</v>
      </c>
      <c r="M11" s="228"/>
      <c r="N11" s="221">
        <f t="shared" si="2"/>
        <v>8784</v>
      </c>
      <c r="O11" s="222">
        <f t="shared" si="7"/>
        <v>10.587431693989071</v>
      </c>
      <c r="P11" s="221">
        <f t="shared" si="5"/>
        <v>2635.2</v>
      </c>
      <c r="Q11" s="222">
        <f t="shared" si="6"/>
        <v>2.2586520947176685</v>
      </c>
      <c r="R11" s="241">
        <f t="shared" si="3"/>
        <v>2283.84</v>
      </c>
      <c r="S11" s="222">
        <f t="shared" si="8"/>
        <v>0.40720891130727194</v>
      </c>
    </row>
    <row r="12" spans="1:19" x14ac:dyDescent="0.25">
      <c r="A12" s="230"/>
      <c r="B12" s="299">
        <f t="shared" si="4"/>
        <v>6</v>
      </c>
      <c r="C12" s="231">
        <f t="shared" si="9"/>
        <v>2025</v>
      </c>
      <c r="D12" s="234" t="s">
        <v>46</v>
      </c>
      <c r="E12" s="291">
        <v>80</v>
      </c>
      <c r="G12" s="237">
        <f t="shared" si="0"/>
        <v>80</v>
      </c>
      <c r="H12" s="236">
        <f t="shared" si="0"/>
        <v>5.12</v>
      </c>
      <c r="I12" s="239">
        <f t="shared" si="0"/>
        <v>0.8</v>
      </c>
      <c r="K12" s="218">
        <f t="shared" si="1"/>
        <v>2025</v>
      </c>
      <c r="L12" s="219">
        <v>8760</v>
      </c>
      <c r="M12" s="228"/>
      <c r="N12" s="221">
        <f t="shared" si="2"/>
        <v>8760</v>
      </c>
      <c r="O12" s="222">
        <f t="shared" si="7"/>
        <v>9.1324200913242013</v>
      </c>
      <c r="P12" s="221">
        <f t="shared" si="5"/>
        <v>2628</v>
      </c>
      <c r="Q12" s="222">
        <f t="shared" si="6"/>
        <v>1.9482496194824961</v>
      </c>
      <c r="R12" s="241">
        <f t="shared" si="3"/>
        <v>2277.6</v>
      </c>
      <c r="S12" s="222">
        <f t="shared" si="8"/>
        <v>0.35124692658939238</v>
      </c>
    </row>
    <row r="13" spans="1:19" x14ac:dyDescent="0.25">
      <c r="A13" s="230"/>
      <c r="B13" s="299">
        <f t="shared" si="4"/>
        <v>7</v>
      </c>
      <c r="C13" s="231">
        <f t="shared" si="9"/>
        <v>2026</v>
      </c>
      <c r="D13" s="234" t="s">
        <v>46</v>
      </c>
      <c r="E13" s="291">
        <v>80</v>
      </c>
      <c r="G13" s="237">
        <f t="shared" si="0"/>
        <v>80</v>
      </c>
      <c r="H13" s="236">
        <f t="shared" si="0"/>
        <v>5.12</v>
      </c>
      <c r="I13" s="239">
        <f t="shared" si="0"/>
        <v>0.8</v>
      </c>
      <c r="K13" s="218">
        <f t="shared" si="1"/>
        <v>2026</v>
      </c>
      <c r="L13" s="219">
        <v>8760</v>
      </c>
      <c r="M13" s="228"/>
      <c r="N13" s="221">
        <f t="shared" si="2"/>
        <v>8760</v>
      </c>
      <c r="O13" s="222">
        <f t="shared" si="7"/>
        <v>9.1324200913242013</v>
      </c>
      <c r="P13" s="221">
        <f t="shared" si="5"/>
        <v>2628</v>
      </c>
      <c r="Q13" s="222">
        <f t="shared" si="6"/>
        <v>1.9482496194824961</v>
      </c>
      <c r="R13" s="241">
        <f t="shared" si="3"/>
        <v>2277.6</v>
      </c>
      <c r="S13" s="222">
        <f t="shared" si="8"/>
        <v>0.35124692658939238</v>
      </c>
    </row>
    <row r="14" spans="1:19" x14ac:dyDescent="0.25">
      <c r="A14" s="230"/>
      <c r="B14" s="299">
        <f t="shared" si="4"/>
        <v>8</v>
      </c>
      <c r="C14" s="231">
        <f t="shared" si="9"/>
        <v>2027</v>
      </c>
      <c r="D14" s="234" t="s">
        <v>46</v>
      </c>
      <c r="E14" s="291">
        <v>80.477938899565444</v>
      </c>
      <c r="G14" s="237">
        <f t="shared" si="0"/>
        <v>80.477938899565444</v>
      </c>
      <c r="H14" s="236">
        <f t="shared" si="0"/>
        <v>5.1505880895721887</v>
      </c>
      <c r="I14" s="239">
        <f t="shared" si="0"/>
        <v>0.80477938899565449</v>
      </c>
      <c r="K14" s="218">
        <f t="shared" si="1"/>
        <v>2027</v>
      </c>
      <c r="L14" s="219">
        <v>8760</v>
      </c>
      <c r="M14" s="228"/>
      <c r="N14" s="221">
        <f t="shared" si="2"/>
        <v>8760</v>
      </c>
      <c r="O14" s="222">
        <f t="shared" si="7"/>
        <v>9.1869793264344111</v>
      </c>
      <c r="P14" s="221">
        <f t="shared" si="5"/>
        <v>2628</v>
      </c>
      <c r="Q14" s="222">
        <f t="shared" si="6"/>
        <v>1.9598889229726744</v>
      </c>
      <c r="R14" s="241">
        <f t="shared" si="3"/>
        <v>2277.6</v>
      </c>
      <c r="S14" s="222">
        <f t="shared" si="8"/>
        <v>0.35334535870901584</v>
      </c>
    </row>
    <row r="15" spans="1:19" x14ac:dyDescent="0.25">
      <c r="A15" s="230"/>
      <c r="B15" s="299">
        <f t="shared" si="4"/>
        <v>9</v>
      </c>
      <c r="C15" s="231">
        <f t="shared" si="9"/>
        <v>2028</v>
      </c>
      <c r="D15" s="234"/>
      <c r="E15" s="291">
        <v>80.477938899565444</v>
      </c>
      <c r="G15" s="237">
        <f t="shared" si="0"/>
        <v>80.477938899565444</v>
      </c>
      <c r="H15" s="236">
        <f t="shared" si="0"/>
        <v>5.1505880895721887</v>
      </c>
      <c r="I15" s="239">
        <f t="shared" si="0"/>
        <v>0.80477938899565449</v>
      </c>
      <c r="K15" s="218">
        <f t="shared" si="1"/>
        <v>2028</v>
      </c>
      <c r="L15" s="219">
        <v>8784</v>
      </c>
      <c r="M15" s="228"/>
      <c r="N15" s="221">
        <f t="shared" si="2"/>
        <v>8784</v>
      </c>
      <c r="O15" s="222">
        <f t="shared" si="7"/>
        <v>9.1618782900233882</v>
      </c>
      <c r="P15" s="221">
        <f t="shared" si="5"/>
        <v>2635.2</v>
      </c>
      <c r="Q15" s="222">
        <f t="shared" si="6"/>
        <v>1.9545340352049896</v>
      </c>
      <c r="R15" s="241">
        <f t="shared" si="3"/>
        <v>2283.84</v>
      </c>
      <c r="S15" s="222">
        <f t="shared" si="8"/>
        <v>0.3523799342316688</v>
      </c>
    </row>
    <row r="16" spans="1:19" x14ac:dyDescent="0.25">
      <c r="A16" s="230"/>
      <c r="B16" s="299">
        <f t="shared" si="4"/>
        <v>10</v>
      </c>
      <c r="C16" s="231">
        <f t="shared" si="9"/>
        <v>2029</v>
      </c>
      <c r="D16" s="234"/>
      <c r="E16" s="291">
        <v>80.477938899565444</v>
      </c>
      <c r="G16" s="237">
        <f t="shared" si="0"/>
        <v>80.477938899565444</v>
      </c>
      <c r="H16" s="236">
        <f t="shared" si="0"/>
        <v>5.1505880895721887</v>
      </c>
      <c r="I16" s="239">
        <f t="shared" si="0"/>
        <v>0.80477938899565449</v>
      </c>
      <c r="K16" s="218">
        <f t="shared" si="1"/>
        <v>2029</v>
      </c>
      <c r="L16" s="219">
        <v>8760</v>
      </c>
      <c r="M16" s="228"/>
      <c r="N16" s="221">
        <f t="shared" si="2"/>
        <v>8760</v>
      </c>
      <c r="O16" s="222">
        <f t="shared" si="7"/>
        <v>9.1869793264344111</v>
      </c>
      <c r="P16" s="221">
        <f t="shared" si="5"/>
        <v>2628</v>
      </c>
      <c r="Q16" s="222">
        <f t="shared" si="6"/>
        <v>1.9598889229726744</v>
      </c>
      <c r="R16" s="241">
        <f t="shared" si="3"/>
        <v>2277.6</v>
      </c>
      <c r="S16" s="222">
        <f t="shared" si="8"/>
        <v>0.35334535870901584</v>
      </c>
    </row>
    <row r="17" spans="1:19" x14ac:dyDescent="0.25">
      <c r="A17" s="230"/>
      <c r="B17" s="299">
        <f t="shared" si="4"/>
        <v>11</v>
      </c>
      <c r="C17" s="231">
        <f t="shared" si="9"/>
        <v>2030</v>
      </c>
      <c r="D17" s="234"/>
      <c r="E17" s="291">
        <v>80.477938899565444</v>
      </c>
      <c r="G17" s="237">
        <f t="shared" si="0"/>
        <v>80.477938899565444</v>
      </c>
      <c r="H17" s="236">
        <f t="shared" si="0"/>
        <v>5.1505880895721887</v>
      </c>
      <c r="I17" s="239">
        <f t="shared" si="0"/>
        <v>0.80477938899565449</v>
      </c>
      <c r="K17" s="218">
        <f t="shared" si="1"/>
        <v>2030</v>
      </c>
      <c r="L17" s="219">
        <v>8760</v>
      </c>
      <c r="M17" s="228"/>
      <c r="N17" s="221">
        <f t="shared" si="2"/>
        <v>8760</v>
      </c>
      <c r="O17" s="222">
        <f t="shared" si="7"/>
        <v>9.1869793264344111</v>
      </c>
      <c r="P17" s="221">
        <f t="shared" si="5"/>
        <v>2628</v>
      </c>
      <c r="Q17" s="222">
        <f t="shared" si="6"/>
        <v>1.9598889229726744</v>
      </c>
      <c r="R17" s="241">
        <f t="shared" si="3"/>
        <v>2277.6</v>
      </c>
      <c r="S17" s="222">
        <f t="shared" si="8"/>
        <v>0.35334535870901584</v>
      </c>
    </row>
    <row r="18" spans="1:19" x14ac:dyDescent="0.25">
      <c r="A18" s="230"/>
      <c r="B18" s="299">
        <f t="shared" si="4"/>
        <v>12</v>
      </c>
      <c r="C18" s="231">
        <f t="shared" si="9"/>
        <v>2031</v>
      </c>
      <c r="D18" s="234" t="s">
        <v>46</v>
      </c>
      <c r="E18" s="291">
        <v>84.157096346974001</v>
      </c>
      <c r="G18" s="237">
        <f t="shared" si="0"/>
        <v>84.157096346974001</v>
      </c>
      <c r="H18" s="236">
        <f t="shared" si="0"/>
        <v>5.3860541662063364</v>
      </c>
      <c r="I18" s="239">
        <f t="shared" si="0"/>
        <v>0.84157096346974003</v>
      </c>
      <c r="K18" s="218">
        <f t="shared" si="1"/>
        <v>2031</v>
      </c>
      <c r="L18" s="219">
        <v>8760</v>
      </c>
      <c r="M18" s="228"/>
      <c r="N18" s="221">
        <f t="shared" si="2"/>
        <v>8760</v>
      </c>
      <c r="O18" s="222">
        <f t="shared" si="7"/>
        <v>9.6069744688326484</v>
      </c>
      <c r="P18" s="221">
        <f t="shared" si="5"/>
        <v>2628</v>
      </c>
      <c r="Q18" s="222">
        <f t="shared" si="6"/>
        <v>2.0494878866842985</v>
      </c>
      <c r="R18" s="241">
        <f t="shared" si="3"/>
        <v>2277.6</v>
      </c>
      <c r="S18" s="222">
        <f t="shared" si="8"/>
        <v>0.36949901803202495</v>
      </c>
    </row>
    <row r="19" spans="1:19" x14ac:dyDescent="0.25">
      <c r="A19" s="230"/>
      <c r="B19" s="299">
        <f t="shared" si="4"/>
        <v>13</v>
      </c>
      <c r="C19" s="231">
        <f t="shared" si="9"/>
        <v>2032</v>
      </c>
      <c r="D19" s="234"/>
      <c r="E19" s="291">
        <v>84.157096346974001</v>
      </c>
      <c r="G19" s="237">
        <f t="shared" si="0"/>
        <v>84.157096346974001</v>
      </c>
      <c r="H19" s="236">
        <f t="shared" si="0"/>
        <v>5.3860541662063364</v>
      </c>
      <c r="I19" s="239">
        <f t="shared" si="0"/>
        <v>0.84157096346974003</v>
      </c>
      <c r="K19" s="218">
        <f t="shared" si="1"/>
        <v>2032</v>
      </c>
      <c r="L19" s="219">
        <v>8784</v>
      </c>
      <c r="M19" s="228"/>
      <c r="N19" s="221">
        <f t="shared" si="2"/>
        <v>8784</v>
      </c>
      <c r="O19" s="222">
        <f t="shared" si="7"/>
        <v>9.5807259047101549</v>
      </c>
      <c r="P19" s="221">
        <f t="shared" si="5"/>
        <v>2635.2</v>
      </c>
      <c r="Q19" s="222">
        <f t="shared" si="6"/>
        <v>2.0438881930048334</v>
      </c>
      <c r="R19" s="241">
        <f t="shared" si="3"/>
        <v>2283.84</v>
      </c>
      <c r="S19" s="222">
        <f t="shared" si="8"/>
        <v>0.36848945787346749</v>
      </c>
    </row>
    <row r="20" spans="1:19" x14ac:dyDescent="0.25">
      <c r="A20" s="230"/>
      <c r="B20" s="299">
        <f t="shared" si="4"/>
        <v>14</v>
      </c>
      <c r="C20" s="231">
        <f t="shared" si="9"/>
        <v>2033</v>
      </c>
      <c r="D20" s="234"/>
      <c r="E20" s="291">
        <v>84.157096346974001</v>
      </c>
      <c r="G20" s="237">
        <f t="shared" si="0"/>
        <v>84.157096346974001</v>
      </c>
      <c r="H20" s="236">
        <f t="shared" si="0"/>
        <v>5.3860541662063364</v>
      </c>
      <c r="I20" s="239">
        <f t="shared" si="0"/>
        <v>0.84157096346974003</v>
      </c>
      <c r="K20" s="218">
        <f t="shared" si="1"/>
        <v>2033</v>
      </c>
      <c r="L20" s="219">
        <v>8760</v>
      </c>
      <c r="M20" s="228"/>
      <c r="N20" s="221">
        <f t="shared" si="2"/>
        <v>8760</v>
      </c>
      <c r="O20" s="222">
        <f t="shared" si="7"/>
        <v>9.6069744688326484</v>
      </c>
      <c r="P20" s="221">
        <f t="shared" si="5"/>
        <v>2628</v>
      </c>
      <c r="Q20" s="222">
        <f t="shared" si="6"/>
        <v>2.0494878866842985</v>
      </c>
      <c r="R20" s="241">
        <f t="shared" si="3"/>
        <v>2277.6</v>
      </c>
      <c r="S20" s="222">
        <f t="shared" si="8"/>
        <v>0.36949901803202495</v>
      </c>
    </row>
    <row r="21" spans="1:19" x14ac:dyDescent="0.25">
      <c r="A21" s="230"/>
      <c r="B21" s="299">
        <f t="shared" si="4"/>
        <v>15</v>
      </c>
      <c r="C21" s="231">
        <f t="shared" si="9"/>
        <v>2034</v>
      </c>
      <c r="D21" s="234" t="s">
        <v>46</v>
      </c>
      <c r="E21" s="291">
        <v>88.306829270347322</v>
      </c>
      <c r="G21" s="237">
        <f t="shared" si="0"/>
        <v>88.306829270347322</v>
      </c>
      <c r="H21" s="236">
        <f t="shared" si="0"/>
        <v>5.6516370733022283</v>
      </c>
      <c r="I21" s="239">
        <f t="shared" si="0"/>
        <v>0.8830682927034732</v>
      </c>
      <c r="K21" s="218">
        <f t="shared" si="1"/>
        <v>2034</v>
      </c>
      <c r="L21" s="219">
        <v>8760</v>
      </c>
      <c r="M21" s="228"/>
      <c r="N21" s="221">
        <f t="shared" si="2"/>
        <v>8760</v>
      </c>
      <c r="O21" s="222">
        <f t="shared" si="7"/>
        <v>10.080688272870699</v>
      </c>
      <c r="P21" s="221">
        <f t="shared" si="5"/>
        <v>2628</v>
      </c>
      <c r="Q21" s="222">
        <f t="shared" si="6"/>
        <v>2.150546831545749</v>
      </c>
      <c r="R21" s="241">
        <f t="shared" si="3"/>
        <v>2277.6</v>
      </c>
      <c r="S21" s="222">
        <f t="shared" si="8"/>
        <v>0.3877187797257961</v>
      </c>
    </row>
    <row r="22" spans="1:19" x14ac:dyDescent="0.25">
      <c r="A22" s="230"/>
      <c r="B22" s="299">
        <f t="shared" si="4"/>
        <v>16</v>
      </c>
      <c r="C22" s="231">
        <f t="shared" si="9"/>
        <v>2035</v>
      </c>
      <c r="D22" s="234"/>
      <c r="E22" s="291">
        <v>88.306829270347322</v>
      </c>
      <c r="G22" s="237">
        <f t="shared" si="0"/>
        <v>88.306829270347322</v>
      </c>
      <c r="H22" s="236">
        <f t="shared" si="0"/>
        <v>5.6516370733022283</v>
      </c>
      <c r="I22" s="239">
        <f t="shared" si="0"/>
        <v>0.8830682927034732</v>
      </c>
      <c r="K22" s="218">
        <f t="shared" si="1"/>
        <v>2035</v>
      </c>
      <c r="L22" s="219">
        <v>8760</v>
      </c>
      <c r="M22" s="228"/>
      <c r="N22" s="221">
        <f t="shared" si="2"/>
        <v>8760</v>
      </c>
      <c r="O22" s="222">
        <f t="shared" si="7"/>
        <v>10.080688272870699</v>
      </c>
      <c r="P22" s="221">
        <f t="shared" si="5"/>
        <v>2628</v>
      </c>
      <c r="Q22" s="222">
        <f t="shared" si="6"/>
        <v>2.150546831545749</v>
      </c>
      <c r="R22" s="241">
        <f t="shared" si="3"/>
        <v>2277.6</v>
      </c>
      <c r="S22" s="222">
        <f t="shared" si="8"/>
        <v>0.3877187797257961</v>
      </c>
    </row>
    <row r="23" spans="1:19" x14ac:dyDescent="0.25">
      <c r="A23" s="230"/>
      <c r="B23" s="299">
        <f t="shared" si="4"/>
        <v>17</v>
      </c>
      <c r="C23" s="231">
        <f t="shared" si="9"/>
        <v>2036</v>
      </c>
      <c r="D23" s="234" t="s">
        <v>46</v>
      </c>
      <c r="E23" s="291">
        <v>91.089450907608253</v>
      </c>
      <c r="G23" s="237">
        <f t="shared" si="0"/>
        <v>91.089450907608253</v>
      </c>
      <c r="H23" s="236">
        <f t="shared" si="0"/>
        <v>5.8297248580869283</v>
      </c>
      <c r="I23" s="239">
        <f t="shared" si="0"/>
        <v>0.91089450907608249</v>
      </c>
      <c r="K23" s="218">
        <f t="shared" si="1"/>
        <v>2036</v>
      </c>
      <c r="L23" s="219">
        <v>8784</v>
      </c>
      <c r="M23" s="228"/>
      <c r="N23" s="221">
        <f t="shared" si="2"/>
        <v>8784</v>
      </c>
      <c r="O23" s="222">
        <f t="shared" si="7"/>
        <v>10.36992838201369</v>
      </c>
      <c r="P23" s="221">
        <f t="shared" si="5"/>
        <v>2635.2</v>
      </c>
      <c r="Q23" s="222">
        <f t="shared" si="6"/>
        <v>2.2122513881629207</v>
      </c>
      <c r="R23" s="241">
        <f t="shared" si="3"/>
        <v>2283.84</v>
      </c>
      <c r="S23" s="222">
        <f t="shared" si="8"/>
        <v>0.39884339930821883</v>
      </c>
    </row>
    <row r="24" spans="1:19" x14ac:dyDescent="0.25">
      <c r="A24" s="230"/>
      <c r="B24" s="299">
        <f t="shared" si="4"/>
        <v>18</v>
      </c>
      <c r="C24" s="231">
        <f t="shared" si="9"/>
        <v>2037</v>
      </c>
      <c r="D24" s="234"/>
      <c r="E24" s="292">
        <v>91.089450907608253</v>
      </c>
      <c r="G24" s="237">
        <f t="shared" si="0"/>
        <v>91.089450907608253</v>
      </c>
      <c r="H24" s="236">
        <f t="shared" si="0"/>
        <v>5.8297248580869283</v>
      </c>
      <c r="I24" s="239">
        <f t="shared" si="0"/>
        <v>0.91089450907608249</v>
      </c>
      <c r="K24" s="218">
        <f t="shared" si="1"/>
        <v>2037</v>
      </c>
      <c r="L24" s="219">
        <v>8760</v>
      </c>
      <c r="M24" s="228"/>
      <c r="N24" s="221">
        <f t="shared" si="2"/>
        <v>8760</v>
      </c>
      <c r="O24" s="222">
        <f t="shared" si="7"/>
        <v>10.398339144704138</v>
      </c>
      <c r="P24" s="221">
        <f t="shared" si="5"/>
        <v>2628</v>
      </c>
      <c r="Q24" s="222">
        <f t="shared" si="6"/>
        <v>2.2183123508702161</v>
      </c>
      <c r="R24" s="241">
        <f t="shared" si="3"/>
        <v>2277.6</v>
      </c>
      <c r="S24" s="222">
        <f t="shared" si="8"/>
        <v>0.39993612095015918</v>
      </c>
    </row>
    <row r="25" spans="1:19" x14ac:dyDescent="0.25">
      <c r="A25" s="230"/>
      <c r="B25" s="299">
        <f t="shared" si="4"/>
        <v>19</v>
      </c>
      <c r="C25" s="231">
        <f t="shared" si="9"/>
        <v>2038</v>
      </c>
      <c r="D25" s="234"/>
      <c r="E25" s="292">
        <v>91.089450907608253</v>
      </c>
      <c r="G25" s="237">
        <f t="shared" si="0"/>
        <v>91.089450907608253</v>
      </c>
      <c r="H25" s="236">
        <f t="shared" si="0"/>
        <v>5.8297248580869283</v>
      </c>
      <c r="I25" s="239">
        <f t="shared" si="0"/>
        <v>0.91089450907608249</v>
      </c>
      <c r="K25" s="218">
        <f t="shared" si="1"/>
        <v>2038</v>
      </c>
      <c r="L25" s="219">
        <v>8760</v>
      </c>
      <c r="M25" s="228"/>
      <c r="N25" s="221">
        <f t="shared" si="2"/>
        <v>8760</v>
      </c>
      <c r="O25" s="222">
        <f t="shared" si="7"/>
        <v>10.398339144704138</v>
      </c>
      <c r="P25" s="221">
        <f t="shared" si="5"/>
        <v>2628</v>
      </c>
      <c r="Q25" s="222">
        <f t="shared" si="6"/>
        <v>2.2183123508702161</v>
      </c>
      <c r="R25" s="241">
        <f t="shared" si="3"/>
        <v>2277.6</v>
      </c>
      <c r="S25" s="222">
        <f t="shared" si="8"/>
        <v>0.39993612095015918</v>
      </c>
    </row>
    <row r="26" spans="1:19" x14ac:dyDescent="0.25">
      <c r="A26" s="230"/>
      <c r="B26" s="299">
        <f t="shared" si="4"/>
        <v>20</v>
      </c>
      <c r="C26" s="231">
        <f t="shared" si="9"/>
        <v>2039</v>
      </c>
      <c r="D26" s="234"/>
      <c r="E26" s="292">
        <v>91.089450907608253</v>
      </c>
      <c r="G26" s="237">
        <f t="shared" si="0"/>
        <v>91.089450907608253</v>
      </c>
      <c r="H26" s="236">
        <f t="shared" si="0"/>
        <v>5.8297248580869283</v>
      </c>
      <c r="I26" s="239">
        <f t="shared" si="0"/>
        <v>0.91089450907608249</v>
      </c>
      <c r="K26" s="218">
        <f t="shared" si="1"/>
        <v>2039</v>
      </c>
      <c r="L26" s="219">
        <v>8760</v>
      </c>
      <c r="M26" s="228"/>
      <c r="N26" s="221">
        <f t="shared" si="2"/>
        <v>8760</v>
      </c>
      <c r="O26" s="222">
        <f t="shared" si="7"/>
        <v>10.398339144704138</v>
      </c>
      <c r="P26" s="221">
        <f t="shared" si="5"/>
        <v>2628</v>
      </c>
      <c r="Q26" s="222">
        <f t="shared" si="6"/>
        <v>2.2183123508702161</v>
      </c>
      <c r="R26" s="241">
        <f t="shared" si="3"/>
        <v>2277.6</v>
      </c>
      <c r="S26" s="222">
        <f t="shared" si="8"/>
        <v>0.39993612095015918</v>
      </c>
    </row>
    <row r="27" spans="1:19" x14ac:dyDescent="0.25">
      <c r="A27" s="230"/>
      <c r="B27" s="299">
        <f t="shared" si="4"/>
        <v>21</v>
      </c>
      <c r="C27" s="231">
        <f t="shared" si="9"/>
        <v>2040</v>
      </c>
      <c r="D27" s="234"/>
      <c r="E27" s="292">
        <f>E26</f>
        <v>91.089450907608253</v>
      </c>
      <c r="G27" s="237">
        <f t="shared" si="0"/>
        <v>91.089450907608253</v>
      </c>
      <c r="H27" s="236">
        <f t="shared" si="0"/>
        <v>5.8297248580869283</v>
      </c>
      <c r="I27" s="239">
        <f t="shared" si="0"/>
        <v>0.91089450907608249</v>
      </c>
      <c r="K27" s="218">
        <f t="shared" si="1"/>
        <v>2040</v>
      </c>
      <c r="L27" s="219">
        <v>8784</v>
      </c>
      <c r="M27" s="228"/>
      <c r="N27" s="221">
        <f t="shared" si="2"/>
        <v>8784</v>
      </c>
      <c r="O27" s="222">
        <f t="shared" si="7"/>
        <v>10.36992838201369</v>
      </c>
      <c r="P27" s="221">
        <f t="shared" si="5"/>
        <v>2635.2</v>
      </c>
      <c r="Q27" s="222">
        <f t="shared" si="6"/>
        <v>2.2122513881629207</v>
      </c>
      <c r="R27" s="241">
        <f t="shared" si="3"/>
        <v>2283.84</v>
      </c>
      <c r="S27" s="222">
        <f t="shared" si="8"/>
        <v>0.39884339930821883</v>
      </c>
    </row>
    <row r="28" spans="1:19" ht="13.8" thickBot="1" x14ac:dyDescent="0.3">
      <c r="A28" s="230"/>
      <c r="B28" s="300">
        <f t="shared" si="4"/>
        <v>22</v>
      </c>
      <c r="C28" s="263">
        <f t="shared" si="9"/>
        <v>2041</v>
      </c>
      <c r="D28" s="293"/>
      <c r="E28" s="294">
        <f>E27</f>
        <v>91.089450907608253</v>
      </c>
      <c r="G28" s="264">
        <f>G27</f>
        <v>91.089450907608253</v>
      </c>
      <c r="H28" s="265">
        <f>H27</f>
        <v>5.8297248580869283</v>
      </c>
      <c r="I28" s="266">
        <f>I27</f>
        <v>0.91089450907608249</v>
      </c>
      <c r="J28" s="229"/>
      <c r="K28" s="216">
        <f t="shared" si="1"/>
        <v>2041</v>
      </c>
      <c r="L28" s="220">
        <v>8760</v>
      </c>
      <c r="M28" s="229"/>
      <c r="N28" s="223">
        <f t="shared" si="2"/>
        <v>8760</v>
      </c>
      <c r="O28" s="224">
        <f t="shared" si="7"/>
        <v>10.398339144704138</v>
      </c>
      <c r="P28" s="223">
        <f t="shared" si="5"/>
        <v>2628</v>
      </c>
      <c r="Q28" s="224">
        <f t="shared" si="6"/>
        <v>2.2183123508702161</v>
      </c>
      <c r="R28" s="242">
        <f t="shared" si="3"/>
        <v>2277.6</v>
      </c>
      <c r="S28" s="224">
        <f t="shared" si="8"/>
        <v>0.39993612095015918</v>
      </c>
    </row>
    <row r="29" spans="1:19" x14ac:dyDescent="0.25">
      <c r="B29" s="230"/>
      <c r="C29" s="230"/>
      <c r="D29" s="230"/>
      <c r="E29" s="230"/>
      <c r="G29" s="230"/>
      <c r="H29" s="230"/>
      <c r="I29" s="230"/>
    </row>
    <row r="30" spans="1:19" x14ac:dyDescent="0.25">
      <c r="B30" s="340" t="s">
        <v>138</v>
      </c>
      <c r="C30" s="340"/>
      <c r="D30" s="340"/>
      <c r="E30" s="340"/>
      <c r="F30" s="340"/>
      <c r="G30" s="340"/>
      <c r="H30" s="340"/>
      <c r="I30" s="340"/>
      <c r="J30" s="340"/>
      <c r="K30" s="340"/>
      <c r="L30" s="340"/>
      <c r="M30" s="340"/>
      <c r="N30" s="340"/>
      <c r="O30" s="340"/>
      <c r="P30" s="340"/>
      <c r="Q30" s="340"/>
      <c r="R30" s="340"/>
      <c r="S30" s="232"/>
    </row>
    <row r="31" spans="1:19" x14ac:dyDescent="0.25">
      <c r="C31" s="341" t="s">
        <v>139</v>
      </c>
      <c r="D31" s="341"/>
      <c r="E31" s="341"/>
      <c r="F31" s="341"/>
      <c r="G31" s="341"/>
      <c r="H31" s="341"/>
      <c r="I31" s="341"/>
      <c r="J31" s="341"/>
      <c r="K31" s="341"/>
      <c r="L31" s="341"/>
      <c r="M31" s="341"/>
      <c r="N31" s="341"/>
      <c r="O31" s="341"/>
      <c r="P31" s="341"/>
      <c r="Q31" s="341"/>
      <c r="R31" s="341"/>
    </row>
    <row r="32" spans="1:19" x14ac:dyDescent="0.25">
      <c r="C32" s="243"/>
      <c r="D32" s="339" t="s">
        <v>125</v>
      </c>
      <c r="E32" s="339"/>
      <c r="F32" s="339"/>
      <c r="G32" s="339"/>
      <c r="H32" s="339"/>
      <c r="I32" s="339"/>
      <c r="J32" s="339"/>
      <c r="K32" s="339"/>
      <c r="L32" s="339"/>
      <c r="M32" s="339"/>
      <c r="N32" s="339"/>
      <c r="O32" s="339"/>
      <c r="P32" s="339"/>
      <c r="Q32" s="339"/>
      <c r="R32" s="339"/>
    </row>
    <row r="33" spans="2:19" ht="1.5" customHeight="1" x14ac:dyDescent="0.25">
      <c r="C33" s="243"/>
      <c r="D33" s="339"/>
      <c r="E33" s="339"/>
      <c r="F33" s="339"/>
      <c r="G33" s="339"/>
      <c r="H33" s="339"/>
      <c r="I33" s="339"/>
      <c r="J33" s="339"/>
      <c r="K33" s="339"/>
      <c r="L33" s="339"/>
      <c r="M33" s="339"/>
      <c r="N33" s="339"/>
      <c r="O33" s="339"/>
      <c r="P33" s="339"/>
      <c r="Q33" s="339"/>
      <c r="R33" s="339"/>
    </row>
    <row r="34" spans="2:19" x14ac:dyDescent="0.25">
      <c r="C34" s="243"/>
      <c r="D34" s="339" t="s">
        <v>140</v>
      </c>
      <c r="E34" s="339"/>
      <c r="F34" s="339"/>
      <c r="G34" s="339"/>
      <c r="H34" s="339"/>
      <c r="I34" s="339"/>
      <c r="J34" s="339"/>
      <c r="K34" s="339"/>
      <c r="L34" s="339"/>
      <c r="M34" s="339"/>
      <c r="N34" s="339"/>
      <c r="O34" s="339"/>
      <c r="P34" s="339"/>
      <c r="Q34" s="339"/>
      <c r="R34" s="339"/>
    </row>
    <row r="35" spans="2:19" x14ac:dyDescent="0.25">
      <c r="C35" s="341" t="s">
        <v>141</v>
      </c>
      <c r="D35" s="341"/>
      <c r="E35" s="341"/>
      <c r="F35" s="341"/>
      <c r="G35" s="341"/>
      <c r="H35" s="341"/>
      <c r="I35" s="341"/>
      <c r="J35" s="341"/>
      <c r="K35" s="341"/>
      <c r="L35" s="341"/>
      <c r="M35" s="341"/>
      <c r="N35" s="341"/>
      <c r="O35" s="341"/>
      <c r="P35" s="341"/>
      <c r="Q35" s="341"/>
      <c r="R35" s="341"/>
    </row>
    <row r="36" spans="2:19" x14ac:dyDescent="0.25">
      <c r="C36" s="243"/>
      <c r="D36" s="339" t="s">
        <v>124</v>
      </c>
      <c r="E36" s="339"/>
      <c r="F36" s="339"/>
      <c r="G36" s="339"/>
      <c r="H36" s="339"/>
      <c r="I36" s="339"/>
      <c r="J36" s="339"/>
      <c r="K36" s="339"/>
      <c r="L36" s="339"/>
      <c r="M36" s="339"/>
      <c r="N36" s="339"/>
      <c r="O36" s="339"/>
      <c r="P36" s="339"/>
      <c r="Q36" s="339"/>
      <c r="R36" s="339"/>
    </row>
    <row r="37" spans="2:19" x14ac:dyDescent="0.25">
      <c r="C37" s="243"/>
      <c r="D37" s="339"/>
      <c r="E37" s="339"/>
      <c r="F37" s="339"/>
      <c r="G37" s="339"/>
      <c r="H37" s="339"/>
      <c r="I37" s="339"/>
      <c r="J37" s="339"/>
      <c r="K37" s="339"/>
      <c r="L37" s="339"/>
      <c r="M37" s="339"/>
      <c r="N37" s="339"/>
      <c r="O37" s="339"/>
      <c r="P37" s="339"/>
      <c r="Q37" s="339"/>
      <c r="R37" s="339"/>
    </row>
    <row r="38" spans="2:19" ht="12.75" customHeight="1" x14ac:dyDescent="0.25">
      <c r="C38" s="340" t="s">
        <v>101</v>
      </c>
      <c r="D38" s="340"/>
      <c r="E38" s="340"/>
      <c r="F38" s="340"/>
      <c r="G38" s="340"/>
      <c r="H38" s="340"/>
      <c r="I38" s="340"/>
      <c r="J38" s="340"/>
      <c r="K38" s="340"/>
      <c r="L38" s="340"/>
      <c r="M38" s="340"/>
      <c r="N38" s="340"/>
      <c r="O38" s="340"/>
      <c r="P38" s="340"/>
      <c r="Q38" s="340"/>
      <c r="R38" s="340"/>
      <c r="S38" s="340"/>
    </row>
    <row r="39" spans="2:19" x14ac:dyDescent="0.25">
      <c r="B39" s="244"/>
      <c r="D39" s="295" t="s">
        <v>142</v>
      </c>
      <c r="E39" s="244"/>
      <c r="F39" s="244"/>
      <c r="G39" s="244"/>
      <c r="H39" s="244"/>
      <c r="I39" s="244"/>
      <c r="J39" s="244"/>
      <c r="K39" s="244"/>
      <c r="L39" s="244"/>
      <c r="M39" s="244"/>
      <c r="N39" s="244"/>
      <c r="O39" s="244"/>
      <c r="P39" s="244"/>
      <c r="Q39" s="244"/>
      <c r="R39" s="244"/>
    </row>
    <row r="40" spans="2:19" x14ac:dyDescent="0.25">
      <c r="D40" s="296" t="s">
        <v>103</v>
      </c>
    </row>
    <row r="41" spans="2:19" x14ac:dyDescent="0.25">
      <c r="D41" s="295" t="s">
        <v>102</v>
      </c>
    </row>
    <row r="42" spans="2:19" x14ac:dyDescent="0.25">
      <c r="F42" s="227"/>
      <c r="J42" s="227"/>
      <c r="M42" s="227"/>
    </row>
    <row r="43" spans="2:19" x14ac:dyDescent="0.25">
      <c r="D43" s="233"/>
    </row>
    <row r="44" spans="2:19" x14ac:dyDescent="0.25">
      <c r="D44" s="233"/>
    </row>
    <row r="45" spans="2:19" x14ac:dyDescent="0.25">
      <c r="D45" s="233"/>
    </row>
    <row r="46" spans="2:19" x14ac:dyDescent="0.25">
      <c r="D46" s="233"/>
    </row>
    <row r="47" spans="2:19" x14ac:dyDescent="0.25">
      <c r="D47" s="233"/>
    </row>
    <row r="48" spans="2:19" x14ac:dyDescent="0.25">
      <c r="D48" s="233"/>
    </row>
    <row r="49" spans="4:4" x14ac:dyDescent="0.25">
      <c r="D49" s="233"/>
    </row>
    <row r="50" spans="4:4" x14ac:dyDescent="0.25">
      <c r="D50" s="233"/>
    </row>
  </sheetData>
  <mergeCells count="12">
    <mergeCell ref="D36:R37"/>
    <mergeCell ref="D34:R34"/>
    <mergeCell ref="B30:R30"/>
    <mergeCell ref="C38:S38"/>
    <mergeCell ref="C35:R35"/>
    <mergeCell ref="C31:R31"/>
    <mergeCell ref="D32:R33"/>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C29" sqref="C29"/>
    </sheetView>
  </sheetViews>
  <sheetFormatPr defaultColWidth="9.109375" defaultRowHeight="14.4" x14ac:dyDescent="0.3"/>
  <cols>
    <col min="1" max="1" width="2.6640625" style="76" customWidth="1"/>
    <col min="2" max="2" width="41.33203125" style="76" bestFit="1" customWidth="1"/>
    <col min="3" max="3" width="32.88671875" style="76" bestFit="1" customWidth="1"/>
    <col min="4" max="4" width="11.5546875" style="76" bestFit="1" customWidth="1"/>
    <col min="5" max="5" width="7.5546875" style="76" bestFit="1" customWidth="1"/>
    <col min="6" max="6" width="19.88671875" style="76" bestFit="1" customWidth="1"/>
    <col min="7" max="16384" width="9.109375" style="76"/>
  </cols>
  <sheetData>
    <row r="1" spans="2:6" ht="15" thickBot="1" x14ac:dyDescent="0.35"/>
    <row r="2" spans="2:6" x14ac:dyDescent="0.3">
      <c r="B2" s="77"/>
      <c r="C2" s="78"/>
      <c r="D2" s="78"/>
      <c r="E2" s="78"/>
      <c r="F2" s="79" t="s">
        <v>121</v>
      </c>
    </row>
    <row r="3" spans="2:6" x14ac:dyDescent="0.3">
      <c r="B3" s="80"/>
      <c r="C3" s="81"/>
      <c r="D3" s="81"/>
      <c r="E3" s="81"/>
      <c r="F3" s="82"/>
    </row>
    <row r="4" spans="2:6" x14ac:dyDescent="0.3">
      <c r="B4" s="342" t="s">
        <v>65</v>
      </c>
      <c r="C4" s="343"/>
      <c r="D4" s="343"/>
      <c r="E4" s="343"/>
      <c r="F4" s="345"/>
    </row>
    <row r="5" spans="2:6" x14ac:dyDescent="0.3">
      <c r="B5" s="342" t="s">
        <v>122</v>
      </c>
      <c r="C5" s="343"/>
      <c r="D5" s="343"/>
      <c r="E5" s="343"/>
      <c r="F5" s="345"/>
    </row>
    <row r="6" spans="2:6" x14ac:dyDescent="0.3">
      <c r="B6" s="342" t="s">
        <v>123</v>
      </c>
      <c r="C6" s="343"/>
      <c r="D6" s="343"/>
      <c r="E6" s="343"/>
      <c r="F6" s="344"/>
    </row>
    <row r="7" spans="2:6" x14ac:dyDescent="0.3">
      <c r="B7" s="342"/>
      <c r="C7" s="343"/>
      <c r="D7" s="343"/>
      <c r="E7" s="343"/>
      <c r="F7" s="344"/>
    </row>
    <row r="8" spans="2:6" x14ac:dyDescent="0.3">
      <c r="B8" s="84"/>
      <c r="C8" s="81"/>
      <c r="D8" s="81"/>
      <c r="E8" s="81"/>
      <c r="F8" s="85"/>
    </row>
    <row r="9" spans="2:6" x14ac:dyDescent="0.3">
      <c r="B9" s="84"/>
      <c r="C9" s="81"/>
      <c r="D9" s="81"/>
      <c r="E9" s="81"/>
      <c r="F9" s="85"/>
    </row>
    <row r="10" spans="2:6" x14ac:dyDescent="0.3">
      <c r="B10" s="83"/>
      <c r="C10" s="81"/>
      <c r="D10" s="81"/>
      <c r="E10" s="81"/>
      <c r="F10" s="86"/>
    </row>
    <row r="11" spans="2:6" x14ac:dyDescent="0.3">
      <c r="B11" s="84" t="s">
        <v>66</v>
      </c>
      <c r="C11" s="81"/>
      <c r="D11" s="87" t="s">
        <v>67</v>
      </c>
      <c r="E11" s="81"/>
      <c r="F11" s="88" t="s">
        <v>68</v>
      </c>
    </row>
    <row r="12" spans="2:6" ht="15" thickBot="1" x14ac:dyDescent="0.35">
      <c r="B12" s="89" t="s">
        <v>69</v>
      </c>
      <c r="C12" s="90" t="s">
        <v>70</v>
      </c>
      <c r="D12" s="91" t="s">
        <v>71</v>
      </c>
      <c r="E12" s="91" t="s">
        <v>72</v>
      </c>
      <c r="F12" s="92" t="s">
        <v>73</v>
      </c>
    </row>
    <row r="13" spans="2:6" x14ac:dyDescent="0.3">
      <c r="B13" s="83"/>
      <c r="C13" s="81"/>
      <c r="D13" s="81"/>
      <c r="E13" s="81"/>
      <c r="F13" s="86"/>
    </row>
    <row r="14" spans="2:6" x14ac:dyDescent="0.3">
      <c r="B14" s="93">
        <v>1</v>
      </c>
      <c r="C14" s="94" t="s">
        <v>74</v>
      </c>
      <c r="D14" s="95">
        <v>0.51500000000000001</v>
      </c>
      <c r="E14" s="95">
        <v>5.5E-2</v>
      </c>
      <c r="F14" s="96">
        <f>ROUND(D14*E14,4)</f>
        <v>2.8299999999999999E-2</v>
      </c>
    </row>
    <row r="15" spans="2:6" ht="15" thickBot="1" x14ac:dyDescent="0.35">
      <c r="B15" s="93">
        <v>2</v>
      </c>
      <c r="C15" s="94" t="s">
        <v>75</v>
      </c>
      <c r="D15" s="95">
        <v>0.48499999999999999</v>
      </c>
      <c r="E15" s="97">
        <v>9.4E-2</v>
      </c>
      <c r="F15" s="96">
        <f>ROUND(D15*E15,4)</f>
        <v>4.5600000000000002E-2</v>
      </c>
    </row>
    <row r="16" spans="2:6" x14ac:dyDescent="0.3">
      <c r="B16" s="93">
        <v>3</v>
      </c>
      <c r="C16" s="94" t="s">
        <v>76</v>
      </c>
      <c r="D16" s="98">
        <v>1</v>
      </c>
      <c r="E16" s="99"/>
      <c r="F16" s="109">
        <f>SUM(F14:F15)</f>
        <v>7.3899999999999993E-2</v>
      </c>
    </row>
    <row r="17" spans="2:7" x14ac:dyDescent="0.3">
      <c r="B17" s="93">
        <v>4</v>
      </c>
      <c r="C17" s="81"/>
      <c r="D17" s="81"/>
      <c r="E17" s="81"/>
      <c r="F17" s="86"/>
    </row>
    <row r="18" spans="2:7" x14ac:dyDescent="0.3">
      <c r="B18" s="93">
        <v>5</v>
      </c>
      <c r="C18" s="94" t="s">
        <v>77</v>
      </c>
      <c r="D18" s="100">
        <v>0.51500000000000001</v>
      </c>
      <c r="E18" s="100">
        <f>E14</f>
        <v>5.5E-2</v>
      </c>
      <c r="F18" s="101">
        <f>ROUND(D18*E18*0.79,4)</f>
        <v>2.24E-2</v>
      </c>
      <c r="G18" s="102"/>
    </row>
    <row r="19" spans="2:7" ht="15" thickBot="1" x14ac:dyDescent="0.35">
      <c r="B19" s="93">
        <v>6</v>
      </c>
      <c r="C19" s="94" t="s">
        <v>75</v>
      </c>
      <c r="D19" s="100">
        <v>0.48499999999999999</v>
      </c>
      <c r="E19" s="103">
        <f>E15</f>
        <v>9.4E-2</v>
      </c>
      <c r="F19" s="101">
        <f>ROUND(D19*E19,4)</f>
        <v>4.5600000000000002E-2</v>
      </c>
    </row>
    <row r="20" spans="2:7" x14ac:dyDescent="0.3">
      <c r="B20" s="93">
        <v>7</v>
      </c>
      <c r="C20" s="94" t="s">
        <v>78</v>
      </c>
      <c r="D20" s="104">
        <v>1</v>
      </c>
      <c r="E20" s="81"/>
      <c r="F20" s="105">
        <f>SUM(F18:F19)</f>
        <v>6.8000000000000005E-2</v>
      </c>
    </row>
    <row r="21" spans="2:7" ht="15" thickBot="1" x14ac:dyDescent="0.35">
      <c r="B21" s="106"/>
      <c r="C21" s="107"/>
      <c r="D21" s="107"/>
      <c r="E21" s="107"/>
      <c r="F21" s="108"/>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7"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29" ht="19.5" customHeight="1" x14ac:dyDescent="0.3">
      <c r="C2" s="215" t="s">
        <v>94</v>
      </c>
      <c r="D2" s="215"/>
      <c r="E2" s="215"/>
      <c r="F2" s="215"/>
      <c r="G2" s="215"/>
      <c r="H2" s="215"/>
      <c r="I2" s="215"/>
      <c r="J2" s="215"/>
      <c r="K2" s="215"/>
      <c r="L2" s="215"/>
    </row>
    <row r="3" spans="2:29" ht="15.6" x14ac:dyDescent="0.3">
      <c r="C3" s="42" t="s">
        <v>95</v>
      </c>
    </row>
    <row r="4" spans="2:29" s="111" customFormat="1" ht="45" x14ac:dyDescent="0.25">
      <c r="B4" s="110"/>
      <c r="C4" s="145" t="s">
        <v>0</v>
      </c>
      <c r="D4" s="145"/>
      <c r="E4" s="145" t="s">
        <v>1</v>
      </c>
      <c r="F4" s="145" t="s">
        <v>2</v>
      </c>
      <c r="G4" s="145" t="s">
        <v>3</v>
      </c>
      <c r="H4" s="145" t="s">
        <v>4</v>
      </c>
      <c r="I4" s="145" t="s">
        <v>5</v>
      </c>
      <c r="J4" s="145" t="s">
        <v>6</v>
      </c>
      <c r="K4" s="145" t="s">
        <v>7</v>
      </c>
      <c r="L4" s="146" t="s">
        <v>14</v>
      </c>
      <c r="M4" s="146"/>
    </row>
    <row r="5" spans="2:29" x14ac:dyDescent="0.25">
      <c r="C5" s="148"/>
      <c r="D5" s="149"/>
      <c r="E5" s="150">
        <v>5</v>
      </c>
      <c r="F5" s="304">
        <f>+'Capacity Delivered'!$G$5</f>
        <v>1</v>
      </c>
      <c r="G5" s="151" t="s">
        <v>8</v>
      </c>
      <c r="H5" s="152">
        <f>'Electric EES CE Std Energy'!D13</f>
        <v>1.9880571443947437E-2</v>
      </c>
      <c r="I5" s="153">
        <f>'Baseload Avoided Capacity Calcs'!X11</f>
        <v>1.3310764330824199E-2</v>
      </c>
      <c r="J5" s="153">
        <f>H5+I5</f>
        <v>3.3191335774771638E-2</v>
      </c>
      <c r="K5" s="154">
        <f>J5</f>
        <v>3.3191335774771638E-2</v>
      </c>
      <c r="L5" s="155">
        <f>K5*1000</f>
        <v>33.191335774771638</v>
      </c>
      <c r="M5" s="139"/>
    </row>
    <row r="6" spans="2:29" ht="15.6" x14ac:dyDescent="0.3">
      <c r="C6" s="147"/>
      <c r="D6" s="147"/>
      <c r="E6" s="114"/>
      <c r="F6" s="114"/>
      <c r="G6" s="114"/>
      <c r="H6" s="32">
        <f>H5*1000</f>
        <v>19.880571443947439</v>
      </c>
      <c r="I6" s="32">
        <f t="shared" ref="I6:K6" si="0">I5*1000</f>
        <v>13.310764330824199</v>
      </c>
      <c r="J6" s="32">
        <f t="shared" si="0"/>
        <v>33.191335774771638</v>
      </c>
      <c r="K6" s="32">
        <f t="shared" si="0"/>
        <v>33.191335774771638</v>
      </c>
      <c r="L6" s="116">
        <f>L5*(1-M6)</f>
        <v>32.195595701528489</v>
      </c>
      <c r="M6" s="245">
        <v>0.03</v>
      </c>
      <c r="N6" s="117" t="s">
        <v>41</v>
      </c>
    </row>
    <row r="7" spans="2:29" x14ac:dyDescent="0.25">
      <c r="C7" s="118"/>
      <c r="D7" s="115"/>
      <c r="H7" s="40"/>
      <c r="I7" s="113"/>
      <c r="J7" s="40"/>
      <c r="K7" s="113"/>
      <c r="L7" s="113"/>
      <c r="M7" s="114"/>
    </row>
    <row r="8" spans="2:29" ht="15.6" x14ac:dyDescent="0.3">
      <c r="C8" s="114"/>
      <c r="D8" s="114"/>
      <c r="E8" s="114"/>
      <c r="F8" s="114"/>
      <c r="G8" s="114"/>
      <c r="H8" s="119"/>
      <c r="I8" s="119"/>
      <c r="J8" s="119"/>
      <c r="K8" s="119"/>
      <c r="L8" s="119"/>
      <c r="M8" s="119"/>
      <c r="N8" s="119"/>
      <c r="O8" s="119"/>
      <c r="P8" s="119"/>
      <c r="S8" s="119"/>
      <c r="T8" s="119"/>
      <c r="U8" s="120"/>
      <c r="V8" s="120"/>
      <c r="X8" s="202" t="s">
        <v>84</v>
      </c>
      <c r="Y8" s="119"/>
      <c r="Z8" s="120"/>
      <c r="AA8" s="120"/>
      <c r="AB8" s="119"/>
      <c r="AC8" s="114"/>
    </row>
    <row r="9" spans="2:29" x14ac:dyDescent="0.25">
      <c r="C9" s="121" t="s">
        <v>9</v>
      </c>
      <c r="D9" s="121"/>
      <c r="E9" s="121"/>
      <c r="F9" s="122">
        <f>+L6</f>
        <v>32.195595701528489</v>
      </c>
      <c r="G9" s="122">
        <f t="shared" ref="G9:J9" si="1">F9</f>
        <v>32.195595701528489</v>
      </c>
      <c r="H9" s="122">
        <f t="shared" si="1"/>
        <v>32.195595701528489</v>
      </c>
      <c r="I9" s="122">
        <f t="shared" si="1"/>
        <v>32.195595701528489</v>
      </c>
      <c r="J9" s="122">
        <f t="shared" si="1"/>
        <v>32.195595701528489</v>
      </c>
      <c r="K9" s="119"/>
      <c r="L9" s="119"/>
      <c r="M9" s="119"/>
      <c r="N9" s="119"/>
      <c r="O9" s="120"/>
      <c r="P9" s="40"/>
      <c r="S9" s="40"/>
      <c r="T9" s="40"/>
      <c r="U9" s="40"/>
      <c r="X9" s="201">
        <f>NPV(Rate_of_Return,F9:J9)</f>
        <v>130.64119405270586</v>
      </c>
      <c r="Y9" s="201">
        <f>-PMT(Rate_of_Return,E5,X9)</f>
        <v>32.195595701528482</v>
      </c>
    </row>
    <row r="10" spans="2:29" x14ac:dyDescent="0.25">
      <c r="C10" s="114"/>
      <c r="D10" s="114"/>
      <c r="E10" s="114"/>
      <c r="F10" s="123"/>
      <c r="G10" s="123"/>
      <c r="H10" s="123"/>
      <c r="I10" s="123"/>
      <c r="J10" s="123"/>
      <c r="K10" s="119"/>
      <c r="L10" s="119"/>
      <c r="M10" s="119"/>
      <c r="N10" s="119"/>
      <c r="O10" s="120"/>
      <c r="P10" s="40"/>
      <c r="S10" s="40"/>
      <c r="T10" s="40"/>
      <c r="U10" s="40"/>
      <c r="X10" s="32"/>
      <c r="Y10" s="32"/>
    </row>
    <row r="11" spans="2:29" x14ac:dyDescent="0.25">
      <c r="C11" s="53" t="s">
        <v>63</v>
      </c>
      <c r="F11" s="210">
        <v>1</v>
      </c>
      <c r="G11" s="210">
        <v>2</v>
      </c>
      <c r="H11" s="210">
        <v>3</v>
      </c>
      <c r="I11" s="210">
        <v>4</v>
      </c>
      <c r="J11" s="210">
        <v>5</v>
      </c>
      <c r="K11" s="210">
        <v>6</v>
      </c>
      <c r="L11" s="210">
        <v>7</v>
      </c>
      <c r="M11" s="119"/>
      <c r="N11" s="119"/>
      <c r="O11" s="120"/>
      <c r="P11" s="40"/>
      <c r="S11" s="40"/>
      <c r="T11" s="40"/>
      <c r="U11" s="40"/>
      <c r="X11" s="40"/>
      <c r="Y11" s="40"/>
    </row>
    <row r="12" spans="2:29" ht="15.6" x14ac:dyDescent="0.3">
      <c r="C12" s="114"/>
      <c r="D12" s="112"/>
      <c r="E12" s="114"/>
      <c r="F12" s="124">
        <f>'Energy Prices'!$C$6</f>
        <v>2020</v>
      </c>
      <c r="G12" s="124">
        <f>F12+1</f>
        <v>2021</v>
      </c>
      <c r="H12" s="124">
        <f>G12+1</f>
        <v>2022</v>
      </c>
      <c r="I12" s="124">
        <f t="shared" ref="I12:L12" si="2">H12+1</f>
        <v>2023</v>
      </c>
      <c r="J12" s="124">
        <f t="shared" si="2"/>
        <v>2024</v>
      </c>
      <c r="K12" s="124">
        <f t="shared" si="2"/>
        <v>2025</v>
      </c>
      <c r="L12" s="124">
        <f t="shared" si="2"/>
        <v>2026</v>
      </c>
      <c r="M12" s="119"/>
      <c r="N12" s="119"/>
      <c r="O12" s="120"/>
      <c r="P12" s="208"/>
      <c r="S12" s="120"/>
      <c r="T12" s="120"/>
      <c r="U12" s="120"/>
      <c r="X12" s="202" t="s">
        <v>84</v>
      </c>
      <c r="Y12" s="32"/>
    </row>
    <row r="13" spans="2:29" ht="52.95" customHeight="1" x14ac:dyDescent="0.25">
      <c r="B13" s="114"/>
      <c r="C13" s="211" t="s">
        <v>104</v>
      </c>
      <c r="D13" s="114"/>
      <c r="F13" s="156">
        <f>F$9*F$20</f>
        <v>30.73343530937689</v>
      </c>
      <c r="G13" s="157">
        <f t="shared" ref="G13:J13" si="3">G$9*G$20</f>
        <v>31.50177119211131</v>
      </c>
      <c r="H13" s="158">
        <f t="shared" si="3"/>
        <v>32.289315471914087</v>
      </c>
      <c r="I13" s="158">
        <f t="shared" si="3"/>
        <v>33.096548358711935</v>
      </c>
      <c r="J13" s="158">
        <f t="shared" si="3"/>
        <v>33.923962067679739</v>
      </c>
      <c r="K13" s="207">
        <f>J13*1.025</f>
        <v>34.772061119371728</v>
      </c>
      <c r="L13" s="207">
        <f>K13*1.025</f>
        <v>35.641362647356019</v>
      </c>
      <c r="M13" s="119"/>
      <c r="N13" s="119"/>
      <c r="O13" s="120"/>
      <c r="P13" s="126"/>
      <c r="S13" s="126"/>
      <c r="T13" s="126"/>
      <c r="U13" s="126"/>
      <c r="X13" s="201">
        <f>NPV(Rate_of_Return,F13:J13)</f>
        <v>130.64119405270591</v>
      </c>
      <c r="Y13" s="201">
        <f>-PMT(Rate_of_Return,E5,X13)</f>
        <v>32.195595701528497</v>
      </c>
    </row>
    <row r="14" spans="2:29" x14ac:dyDescent="0.25">
      <c r="C14" s="125"/>
      <c r="E14" s="128"/>
      <c r="F14" s="126"/>
      <c r="G14" s="126"/>
      <c r="H14" s="126"/>
      <c r="I14" s="126"/>
      <c r="J14" s="126"/>
      <c r="K14" s="119"/>
      <c r="L14" s="119"/>
      <c r="M14" s="119"/>
      <c r="N14" s="119"/>
      <c r="O14" s="120"/>
      <c r="P14" s="126"/>
      <c r="S14" s="120"/>
      <c r="T14" s="120"/>
      <c r="U14" s="120"/>
      <c r="V14" s="119"/>
      <c r="W14" s="114"/>
      <c r="X14" s="120"/>
      <c r="Y14" s="120"/>
    </row>
    <row r="15" spans="2:29" x14ac:dyDescent="0.25">
      <c r="C15" s="129"/>
      <c r="E15" s="128"/>
      <c r="F15" s="126"/>
      <c r="G15" s="126"/>
      <c r="H15" s="126"/>
      <c r="I15" s="126"/>
      <c r="J15" s="126"/>
      <c r="K15" s="119"/>
      <c r="L15" s="119"/>
      <c r="M15" s="119"/>
      <c r="N15" s="119"/>
      <c r="O15" s="120"/>
      <c r="P15" s="126"/>
      <c r="S15" s="120"/>
      <c r="T15" s="120"/>
      <c r="U15" s="120"/>
      <c r="V15" s="120"/>
      <c r="X15" s="120"/>
      <c r="Y15" s="120"/>
    </row>
    <row r="16" spans="2:29" x14ac:dyDescent="0.25">
      <c r="C16" s="53" t="s">
        <v>10</v>
      </c>
      <c r="K16" s="119"/>
      <c r="L16" s="119"/>
      <c r="M16" s="119"/>
      <c r="N16" s="119"/>
      <c r="O16" s="120"/>
    </row>
    <row r="17" spans="2:25" x14ac:dyDescent="0.25">
      <c r="K17" s="119"/>
      <c r="L17" s="119"/>
      <c r="M17" s="119"/>
      <c r="N17" s="119"/>
      <c r="O17" s="120"/>
    </row>
    <row r="18" spans="2:25" ht="15.6" x14ac:dyDescent="0.3">
      <c r="C18" s="114"/>
      <c r="D18" s="114"/>
      <c r="E18" s="114"/>
      <c r="F18" s="114"/>
      <c r="G18" s="114"/>
      <c r="H18" s="114"/>
      <c r="I18" s="114"/>
      <c r="J18" s="114"/>
      <c r="K18" s="119"/>
      <c r="L18" s="119"/>
      <c r="M18" s="119"/>
      <c r="N18" s="119"/>
      <c r="O18" s="120"/>
      <c r="X18" s="202" t="s">
        <v>84</v>
      </c>
      <c r="Y18" s="114"/>
    </row>
    <row r="19" spans="2:25" x14ac:dyDescent="0.25">
      <c r="C19" s="121" t="s">
        <v>11</v>
      </c>
      <c r="D19" s="121"/>
      <c r="E19" s="121"/>
      <c r="F19" s="140">
        <v>100</v>
      </c>
      <c r="G19" s="140">
        <f t="shared" ref="G19:J19" si="4">F19*1.025</f>
        <v>102.49999999999999</v>
      </c>
      <c r="H19" s="140">
        <f t="shared" si="4"/>
        <v>105.06249999999997</v>
      </c>
      <c r="I19" s="140">
        <f t="shared" si="4"/>
        <v>107.68906249999996</v>
      </c>
      <c r="J19" s="140">
        <f t="shared" si="4"/>
        <v>110.38128906249996</v>
      </c>
      <c r="K19" s="119"/>
      <c r="L19" s="119"/>
      <c r="M19" s="119"/>
      <c r="N19" s="119"/>
      <c r="O19" s="120"/>
      <c r="P19" s="130"/>
      <c r="S19" s="120"/>
      <c r="T19" s="120"/>
      <c r="U19" s="120"/>
      <c r="X19" s="160">
        <f>NPV(Rate_of_Return,F19:J19)</f>
        <v>425.07839666347598</v>
      </c>
      <c r="Y19" s="160">
        <f>-PMT(Rate_of_Return,E5,X19)</f>
        <v>104.75755598888578</v>
      </c>
    </row>
    <row r="20" spans="2:25" x14ac:dyDescent="0.25">
      <c r="C20" s="143" t="s">
        <v>12</v>
      </c>
      <c r="D20" s="143"/>
      <c r="E20" s="143"/>
      <c r="F20" s="144">
        <f>F19/$Y$19</f>
        <v>0.95458508034121625</v>
      </c>
      <c r="G20" s="144">
        <f>G19/$Y$19</f>
        <v>0.97844970734974657</v>
      </c>
      <c r="H20" s="144">
        <f>H19/$Y$19</f>
        <v>1.0029109500334901</v>
      </c>
      <c r="I20" s="144">
        <f>I19/$Y$19</f>
        <v>1.0279837237843272</v>
      </c>
      <c r="J20" s="144">
        <f>J19/$Y$19</f>
        <v>1.0536833168789355</v>
      </c>
      <c r="K20" s="119"/>
      <c r="L20" s="119"/>
      <c r="M20" s="119"/>
      <c r="N20" s="119"/>
      <c r="O20" s="120"/>
      <c r="P20" s="131"/>
      <c r="S20" s="120"/>
      <c r="T20" s="120"/>
      <c r="U20" s="120"/>
      <c r="X20" s="159">
        <f>NPV(Rate_of_Return,F20:J20)</f>
        <v>4.0577349543031964</v>
      </c>
      <c r="Y20" s="159">
        <f>-PMT(Rate_of_Return,E5,X20)</f>
        <v>1</v>
      </c>
    </row>
    <row r="21" spans="2:25" x14ac:dyDescent="0.25">
      <c r="C21" s="114"/>
      <c r="D21" s="114"/>
      <c r="E21" s="141"/>
      <c r="F21" s="141"/>
      <c r="G21" s="141"/>
      <c r="H21" s="141"/>
      <c r="I21" s="141"/>
      <c r="J21" s="141"/>
      <c r="K21" s="141"/>
      <c r="L21" s="141"/>
      <c r="M21" s="142"/>
      <c r="N21" s="142"/>
      <c r="O21" s="142"/>
      <c r="P21" s="119"/>
      <c r="S21" s="119"/>
      <c r="T21" s="119"/>
      <c r="U21" s="120"/>
      <c r="W21" s="114"/>
      <c r="X21" s="119"/>
      <c r="Y21" s="119"/>
    </row>
    <row r="22" spans="2:25" x14ac:dyDescent="0.25">
      <c r="B22" s="132" t="s">
        <v>13</v>
      </c>
      <c r="C22" s="133"/>
      <c r="D22" s="134"/>
      <c r="E22" s="134"/>
      <c r="F22" s="134"/>
      <c r="G22" s="134"/>
      <c r="H22" s="134"/>
      <c r="I22" s="134"/>
      <c r="J22" s="134"/>
      <c r="K22" s="134"/>
      <c r="L22" s="134"/>
      <c r="M22" s="134"/>
      <c r="N22" s="134"/>
      <c r="O22" s="134"/>
      <c r="Y22" s="129"/>
    </row>
    <row r="23" spans="2:25" x14ac:dyDescent="0.25">
      <c r="B23" s="135">
        <v>1</v>
      </c>
      <c r="C23" s="301" t="s">
        <v>143</v>
      </c>
      <c r="D23" s="134"/>
      <c r="E23" s="134"/>
      <c r="F23" s="134"/>
      <c r="G23" s="134"/>
      <c r="H23" s="134"/>
      <c r="I23" s="134"/>
      <c r="J23" s="134"/>
      <c r="K23" s="134"/>
      <c r="L23" s="134"/>
      <c r="M23" s="134"/>
      <c r="N23" s="134"/>
      <c r="O23" s="134"/>
      <c r="Y23" s="125"/>
    </row>
    <row r="24" spans="2:25" x14ac:dyDescent="0.25">
      <c r="B24" s="135">
        <v>2</v>
      </c>
      <c r="C24" s="134" t="s">
        <v>119</v>
      </c>
      <c r="D24" s="134"/>
      <c r="E24" s="134"/>
      <c r="F24" s="134"/>
      <c r="G24" s="134"/>
      <c r="H24" s="134"/>
      <c r="I24" s="134"/>
      <c r="J24" s="134"/>
      <c r="K24" s="134"/>
      <c r="L24" s="134"/>
      <c r="M24" s="134"/>
      <c r="N24" s="134"/>
      <c r="O24" s="134"/>
      <c r="Y24" s="126"/>
    </row>
    <row r="25" spans="2:25" x14ac:dyDescent="0.25">
      <c r="B25" s="135">
        <v>3</v>
      </c>
      <c r="C25" s="134" t="s">
        <v>49</v>
      </c>
      <c r="D25" s="134"/>
      <c r="E25" s="134"/>
      <c r="F25" s="134"/>
      <c r="G25" s="134"/>
      <c r="H25" s="134"/>
      <c r="I25" s="134"/>
      <c r="J25" s="134"/>
      <c r="K25" s="134"/>
      <c r="L25" s="134"/>
      <c r="M25" s="134"/>
      <c r="N25" s="134"/>
      <c r="O25" s="134"/>
      <c r="Y25" s="136"/>
    </row>
    <row r="26" spans="2:25" x14ac:dyDescent="0.25">
      <c r="B26" s="135">
        <v>4</v>
      </c>
      <c r="C26" s="134" t="s">
        <v>120</v>
      </c>
      <c r="D26" s="134"/>
      <c r="E26" s="134"/>
      <c r="F26" s="134"/>
      <c r="G26" s="134"/>
      <c r="H26" s="134"/>
      <c r="I26" s="134"/>
      <c r="J26" s="134"/>
      <c r="K26" s="134"/>
      <c r="L26" s="134"/>
      <c r="M26" s="134"/>
      <c r="N26" s="134"/>
      <c r="O26" s="134"/>
      <c r="Y26" s="136"/>
    </row>
    <row r="27" spans="2:25" x14ac:dyDescent="0.25">
      <c r="B27" s="135">
        <v>5</v>
      </c>
      <c r="C27" s="134" t="s">
        <v>89</v>
      </c>
      <c r="D27" s="134"/>
      <c r="E27" s="134"/>
      <c r="F27" s="134"/>
      <c r="G27" s="134"/>
      <c r="H27" s="134"/>
      <c r="I27" s="134"/>
      <c r="J27" s="134"/>
      <c r="K27" s="134"/>
      <c r="L27" s="134"/>
      <c r="M27" s="134"/>
      <c r="N27" s="134"/>
      <c r="O27" s="134"/>
      <c r="Y27" s="125"/>
    </row>
    <row r="28" spans="2:25" x14ac:dyDescent="0.25">
      <c r="B28" s="135">
        <v>6</v>
      </c>
      <c r="C28" s="134" t="s">
        <v>90</v>
      </c>
      <c r="D28" s="134"/>
      <c r="E28" s="134"/>
      <c r="F28" s="134"/>
      <c r="G28" s="134"/>
      <c r="H28" s="134"/>
      <c r="I28" s="134"/>
      <c r="J28" s="134"/>
      <c r="K28" s="134"/>
      <c r="L28" s="134"/>
      <c r="M28" s="134"/>
      <c r="N28" s="134"/>
      <c r="O28" s="134"/>
      <c r="Y28" s="126"/>
    </row>
    <row r="29" spans="2:25" x14ac:dyDescent="0.25">
      <c r="B29" s="135">
        <v>7</v>
      </c>
      <c r="C29" s="134" t="s">
        <v>91</v>
      </c>
      <c r="D29" s="134"/>
      <c r="E29" s="134"/>
      <c r="F29" s="134"/>
      <c r="G29" s="134"/>
      <c r="H29" s="134"/>
      <c r="I29" s="134"/>
      <c r="J29" s="134"/>
      <c r="K29" s="134"/>
      <c r="L29" s="134"/>
      <c r="M29" s="134"/>
      <c r="N29" s="134"/>
      <c r="O29" s="134"/>
      <c r="P29" s="134"/>
      <c r="Q29" s="134"/>
    </row>
    <row r="30" spans="2:25" x14ac:dyDescent="0.25">
      <c r="B30" s="135">
        <v>8</v>
      </c>
      <c r="C30" s="134" t="s">
        <v>58</v>
      </c>
      <c r="D30" s="134"/>
      <c r="E30" s="134"/>
      <c r="F30" s="134"/>
      <c r="G30" s="134"/>
      <c r="H30" s="134"/>
      <c r="I30" s="134"/>
      <c r="J30" s="134"/>
      <c r="K30" s="134"/>
      <c r="L30" s="134"/>
      <c r="M30" s="134"/>
      <c r="N30" s="134"/>
      <c r="O30" s="134"/>
      <c r="P30" s="134"/>
      <c r="Q30" s="134"/>
    </row>
    <row r="31" spans="2:25" x14ac:dyDescent="0.25">
      <c r="B31" s="135">
        <v>9</v>
      </c>
      <c r="C31" s="134" t="s">
        <v>92</v>
      </c>
      <c r="D31" s="134"/>
      <c r="E31" s="134"/>
      <c r="F31" s="134"/>
      <c r="G31" s="134"/>
      <c r="H31" s="134"/>
      <c r="I31" s="134"/>
      <c r="J31" s="134"/>
      <c r="K31" s="134"/>
      <c r="L31" s="134"/>
      <c r="M31" s="134"/>
      <c r="N31" s="134"/>
      <c r="O31" s="134"/>
      <c r="P31" s="134"/>
      <c r="Q31" s="134"/>
    </row>
    <row r="32" spans="2:25"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5"/>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15" t="s">
        <v>94</v>
      </c>
      <c r="D2" s="215"/>
      <c r="E2" s="215"/>
      <c r="F2" s="215"/>
      <c r="G2" s="215"/>
      <c r="H2" s="215"/>
      <c r="I2" s="215"/>
      <c r="J2" s="215"/>
      <c r="K2" s="215"/>
      <c r="L2" s="215"/>
    </row>
    <row r="3" spans="2:30" ht="15.6" x14ac:dyDescent="0.3">
      <c r="C3" s="42" t="s">
        <v>95</v>
      </c>
    </row>
    <row r="4" spans="2:30" s="111" customFormat="1" ht="45" x14ac:dyDescent="0.25">
      <c r="B4" s="110"/>
      <c r="C4" s="145" t="s">
        <v>0</v>
      </c>
      <c r="D4" s="145"/>
      <c r="E4" s="145" t="s">
        <v>1</v>
      </c>
      <c r="F4" s="145" t="s">
        <v>2</v>
      </c>
      <c r="G4" s="145" t="s">
        <v>3</v>
      </c>
      <c r="H4" s="145" t="s">
        <v>4</v>
      </c>
      <c r="I4" s="145" t="s">
        <v>5</v>
      </c>
      <c r="J4" s="145" t="s">
        <v>6</v>
      </c>
      <c r="K4" s="145" t="s">
        <v>7</v>
      </c>
      <c r="L4" s="146" t="s">
        <v>14</v>
      </c>
      <c r="M4" s="146"/>
    </row>
    <row r="5" spans="2:30" x14ac:dyDescent="0.25">
      <c r="C5" s="148"/>
      <c r="D5" s="149"/>
      <c r="E5" s="150">
        <v>10</v>
      </c>
      <c r="F5" s="304">
        <f>+'Capacity Delivered'!$G$5</f>
        <v>1</v>
      </c>
      <c r="G5" s="151" t="s">
        <v>8</v>
      </c>
      <c r="H5" s="152">
        <f>'Electric EES CE Std Energy'!D18</f>
        <v>2.0487127178907497E-2</v>
      </c>
      <c r="I5" s="153">
        <f>'Baseload Avoided Capacity Calcs'!X16</f>
        <v>1.3076572866059297E-2</v>
      </c>
      <c r="J5" s="153">
        <f>H5+I5</f>
        <v>3.3563700044966796E-2</v>
      </c>
      <c r="K5" s="154">
        <f>J5</f>
        <v>3.3563700044966796E-2</v>
      </c>
      <c r="L5" s="155">
        <f>K5*1000</f>
        <v>33.563700044966794</v>
      </c>
      <c r="M5" s="139"/>
    </row>
    <row r="6" spans="2:30" ht="15.6" x14ac:dyDescent="0.3">
      <c r="C6" s="147"/>
      <c r="D6" s="147"/>
      <c r="E6" s="114"/>
      <c r="F6" s="114"/>
      <c r="G6" s="114"/>
      <c r="H6" s="32">
        <f>H5*1000</f>
        <v>20.487127178907496</v>
      </c>
      <c r="I6" s="32">
        <f t="shared" ref="I6:K6" si="0">I5*1000</f>
        <v>13.076572866059298</v>
      </c>
      <c r="J6" s="32">
        <f t="shared" si="0"/>
        <v>33.563700044966794</v>
      </c>
      <c r="K6" s="32">
        <f t="shared" si="0"/>
        <v>33.563700044966794</v>
      </c>
      <c r="L6" s="116">
        <f>L5*(1-M6)</f>
        <v>32.55678904361779</v>
      </c>
      <c r="M6" s="245">
        <v>0.03</v>
      </c>
      <c r="N6" s="117" t="s">
        <v>41</v>
      </c>
    </row>
    <row r="7" spans="2:30" x14ac:dyDescent="0.25">
      <c r="C7" s="118"/>
      <c r="D7" s="115"/>
      <c r="H7" s="40"/>
      <c r="I7" s="113"/>
      <c r="J7" s="40"/>
      <c r="K7" s="113"/>
      <c r="L7" s="113"/>
      <c r="M7" s="114"/>
    </row>
    <row r="8" spans="2:30" ht="15.6" x14ac:dyDescent="0.3">
      <c r="C8" s="114"/>
      <c r="D8" s="114"/>
      <c r="E8" s="114"/>
      <c r="F8" s="114"/>
      <c r="G8" s="114"/>
      <c r="H8" s="119"/>
      <c r="I8" s="119"/>
      <c r="J8" s="119"/>
      <c r="K8" s="119"/>
      <c r="L8" s="119"/>
      <c r="M8" s="119"/>
      <c r="N8" s="119"/>
      <c r="O8" s="119"/>
      <c r="P8" s="119"/>
      <c r="Q8" s="119"/>
      <c r="R8" s="119"/>
      <c r="U8" s="120"/>
      <c r="V8" s="120"/>
      <c r="X8" s="202" t="s">
        <v>84</v>
      </c>
      <c r="Y8" s="120"/>
      <c r="Z8" s="120"/>
      <c r="AA8" s="120"/>
      <c r="AB8" s="119"/>
      <c r="AC8" s="114"/>
    </row>
    <row r="9" spans="2:30" x14ac:dyDescent="0.25">
      <c r="C9" s="121" t="s">
        <v>9</v>
      </c>
      <c r="D9" s="121"/>
      <c r="E9" s="121"/>
      <c r="F9" s="122">
        <f>+L6</f>
        <v>32.55678904361779</v>
      </c>
      <c r="G9" s="122">
        <f t="shared" ref="G9:O9" si="1">F9</f>
        <v>32.55678904361779</v>
      </c>
      <c r="H9" s="122">
        <f t="shared" si="1"/>
        <v>32.55678904361779</v>
      </c>
      <c r="I9" s="122">
        <f t="shared" si="1"/>
        <v>32.55678904361779</v>
      </c>
      <c r="J9" s="122">
        <f t="shared" si="1"/>
        <v>32.55678904361779</v>
      </c>
      <c r="K9" s="122">
        <f t="shared" si="1"/>
        <v>32.55678904361779</v>
      </c>
      <c r="L9" s="122">
        <f t="shared" si="1"/>
        <v>32.55678904361779</v>
      </c>
      <c r="M9" s="122">
        <f t="shared" si="1"/>
        <v>32.55678904361779</v>
      </c>
      <c r="N9" s="122">
        <f t="shared" si="1"/>
        <v>32.55678904361779</v>
      </c>
      <c r="O9" s="122">
        <f t="shared" si="1"/>
        <v>32.55678904361779</v>
      </c>
      <c r="P9" s="119"/>
      <c r="Q9" s="119"/>
      <c r="R9" s="119"/>
      <c r="U9" s="120"/>
      <c r="V9" s="40"/>
      <c r="X9" s="201">
        <f>NPV(Rate_of_Return,F9:O9)</f>
        <v>224.59921684994714</v>
      </c>
      <c r="Y9" s="201">
        <f>-PMT(Rate_of_Return,10,X9)</f>
        <v>32.556789043617783</v>
      </c>
      <c r="Z9" s="40"/>
      <c r="AA9" s="40"/>
    </row>
    <row r="10" spans="2:30" x14ac:dyDescent="0.25">
      <c r="C10" s="114"/>
      <c r="D10" s="114"/>
      <c r="E10" s="114"/>
      <c r="F10" s="123"/>
      <c r="G10" s="123"/>
      <c r="H10" s="123"/>
      <c r="I10" s="123"/>
      <c r="J10" s="123"/>
      <c r="K10" s="123"/>
      <c r="L10" s="123"/>
      <c r="M10" s="123"/>
      <c r="N10" s="123"/>
      <c r="O10" s="123"/>
      <c r="P10" s="119"/>
      <c r="Q10" s="119"/>
      <c r="R10" s="119"/>
      <c r="U10" s="120"/>
      <c r="V10" s="40"/>
      <c r="X10" s="32"/>
      <c r="Y10" s="32"/>
      <c r="Z10" s="40"/>
      <c r="AA10" s="40"/>
    </row>
    <row r="11" spans="2:30" x14ac:dyDescent="0.25">
      <c r="C11" s="53" t="s">
        <v>63</v>
      </c>
      <c r="F11" s="210">
        <v>1</v>
      </c>
      <c r="G11" s="210">
        <v>2</v>
      </c>
      <c r="H11" s="210">
        <v>3</v>
      </c>
      <c r="I11" s="210">
        <v>4</v>
      </c>
      <c r="J11" s="210">
        <v>5</v>
      </c>
      <c r="K11" s="210">
        <v>6</v>
      </c>
      <c r="L11" s="210">
        <v>7</v>
      </c>
      <c r="M11" s="210">
        <v>8</v>
      </c>
      <c r="N11" s="210">
        <v>9</v>
      </c>
      <c r="O11" s="210">
        <v>10</v>
      </c>
      <c r="P11" s="210">
        <v>11</v>
      </c>
      <c r="Q11" s="210">
        <v>12</v>
      </c>
      <c r="R11" s="119"/>
      <c r="U11" s="120"/>
      <c r="V11" s="40"/>
      <c r="X11" s="40"/>
      <c r="Y11" s="40"/>
      <c r="Z11" s="40"/>
      <c r="AA11" s="40"/>
    </row>
    <row r="12" spans="2:30" ht="15.6" x14ac:dyDescent="0.3">
      <c r="C12" s="114"/>
      <c r="D12" s="112"/>
      <c r="E12" s="114"/>
      <c r="F12" s="124">
        <f>'Energy Prices'!$C$6</f>
        <v>2020</v>
      </c>
      <c r="G12" s="124">
        <f>F12+1</f>
        <v>2021</v>
      </c>
      <c r="H12" s="124">
        <f>G12+1</f>
        <v>2022</v>
      </c>
      <c r="I12" s="124">
        <f t="shared" ref="I12:O12" si="2">H12+1</f>
        <v>2023</v>
      </c>
      <c r="J12" s="124">
        <f t="shared" si="2"/>
        <v>2024</v>
      </c>
      <c r="K12" s="124">
        <f t="shared" si="2"/>
        <v>2025</v>
      </c>
      <c r="L12" s="124">
        <f t="shared" si="2"/>
        <v>2026</v>
      </c>
      <c r="M12" s="124">
        <f t="shared" si="2"/>
        <v>2027</v>
      </c>
      <c r="N12" s="124">
        <f t="shared" si="2"/>
        <v>2028</v>
      </c>
      <c r="O12" s="124">
        <f t="shared" si="2"/>
        <v>2029</v>
      </c>
      <c r="P12" s="124">
        <f t="shared" ref="P12:Q12" si="3">O12+1</f>
        <v>2030</v>
      </c>
      <c r="Q12" s="124">
        <f t="shared" si="3"/>
        <v>2031</v>
      </c>
      <c r="R12" s="119"/>
      <c r="U12" s="120"/>
      <c r="V12" s="208"/>
      <c r="X12" s="202" t="s">
        <v>84</v>
      </c>
      <c r="Y12" s="32"/>
      <c r="Z12" s="120"/>
      <c r="AA12" s="120"/>
    </row>
    <row r="13" spans="2:30" ht="52.95" customHeight="1" x14ac:dyDescent="0.25">
      <c r="B13" s="114"/>
      <c r="C13" s="211" t="s">
        <v>104</v>
      </c>
      <c r="D13" s="114"/>
      <c r="F13" s="156">
        <f>F$9*F$20</f>
        <v>29.482756048736128</v>
      </c>
      <c r="G13" s="157">
        <f t="shared" ref="G13:O13" si="4">G$9*G$20</f>
        <v>30.219824949954525</v>
      </c>
      <c r="H13" s="158">
        <f t="shared" si="4"/>
        <v>30.975320573703382</v>
      </c>
      <c r="I13" s="158">
        <f t="shared" si="4"/>
        <v>31.749703588045968</v>
      </c>
      <c r="J13" s="158">
        <f t="shared" si="4"/>
        <v>32.543446177747114</v>
      </c>
      <c r="K13" s="158">
        <f t="shared" si="4"/>
        <v>33.357032332190791</v>
      </c>
      <c r="L13" s="158">
        <f t="shared" si="4"/>
        <v>34.19095814049556</v>
      </c>
      <c r="M13" s="158">
        <f t="shared" si="4"/>
        <v>35.045732094007938</v>
      </c>
      <c r="N13" s="158">
        <f t="shared" si="4"/>
        <v>35.921875396358132</v>
      </c>
      <c r="O13" s="158">
        <f t="shared" si="4"/>
        <v>36.819922281267083</v>
      </c>
      <c r="P13" s="207">
        <f>O13*1.025</f>
        <v>37.740420338298755</v>
      </c>
      <c r="Q13" s="207">
        <f>P13*1.025</f>
        <v>38.683930846756219</v>
      </c>
      <c r="R13" s="119"/>
      <c r="U13" s="120"/>
      <c r="V13" s="126"/>
      <c r="X13" s="201">
        <f>NPV(Rate_of_Return,F13:O13)</f>
        <v>224.59921684994723</v>
      </c>
      <c r="Y13" s="201">
        <f>-PMT(Rate_of_Return,10,X13)</f>
        <v>32.55678904361779</v>
      </c>
      <c r="Z13" s="126"/>
      <c r="AA13" s="126"/>
      <c r="AD13" s="127"/>
    </row>
    <row r="14" spans="2:30" x14ac:dyDescent="0.25">
      <c r="C14" s="125"/>
      <c r="E14" s="128"/>
      <c r="F14" s="126"/>
      <c r="G14" s="126"/>
      <c r="H14" s="126"/>
      <c r="I14" s="126"/>
      <c r="J14" s="126"/>
      <c r="K14" s="126"/>
      <c r="L14" s="126"/>
      <c r="M14" s="126"/>
      <c r="N14" s="126"/>
      <c r="O14" s="126"/>
      <c r="P14" s="119"/>
      <c r="Q14" s="119"/>
      <c r="R14" s="119"/>
      <c r="U14" s="120"/>
      <c r="V14" s="126"/>
      <c r="X14" s="120"/>
      <c r="Y14" s="120"/>
      <c r="Z14" s="120"/>
      <c r="AA14" s="120"/>
      <c r="AB14" s="119"/>
      <c r="AC14" s="114"/>
    </row>
    <row r="15" spans="2:30" x14ac:dyDescent="0.25">
      <c r="C15" s="129"/>
      <c r="E15" s="128"/>
      <c r="F15" s="126"/>
      <c r="G15" s="126"/>
      <c r="H15" s="126"/>
      <c r="I15" s="126"/>
      <c r="J15" s="126"/>
      <c r="K15" s="126"/>
      <c r="L15" s="126"/>
      <c r="M15" s="126"/>
      <c r="N15" s="126"/>
      <c r="O15" s="126"/>
      <c r="P15" s="119"/>
      <c r="Q15" s="119"/>
      <c r="R15" s="119"/>
      <c r="U15" s="120"/>
      <c r="V15" s="126"/>
      <c r="X15" s="120"/>
      <c r="Y15" s="120"/>
      <c r="Z15" s="120"/>
      <c r="AA15" s="120"/>
      <c r="AB15" s="120"/>
    </row>
    <row r="16" spans="2:30" x14ac:dyDescent="0.25">
      <c r="C16" s="53" t="s">
        <v>10</v>
      </c>
      <c r="P16" s="119"/>
      <c r="Q16" s="119"/>
      <c r="R16" s="119"/>
      <c r="U16" s="120"/>
    </row>
    <row r="17" spans="2:27" x14ac:dyDescent="0.25">
      <c r="P17" s="119"/>
      <c r="Q17" s="119"/>
      <c r="R17" s="119"/>
      <c r="U17" s="120"/>
    </row>
    <row r="18" spans="2:27" ht="15.6" x14ac:dyDescent="0.3">
      <c r="C18" s="114"/>
      <c r="D18" s="114"/>
      <c r="E18" s="114"/>
      <c r="F18" s="114"/>
      <c r="G18" s="114"/>
      <c r="H18" s="114"/>
      <c r="I18" s="114"/>
      <c r="J18" s="114"/>
      <c r="K18" s="114"/>
      <c r="L18" s="114"/>
      <c r="M18" s="114"/>
      <c r="N18" s="114"/>
      <c r="O18" s="114"/>
      <c r="P18" s="119"/>
      <c r="Q18" s="119"/>
      <c r="R18" s="119"/>
      <c r="U18" s="120"/>
      <c r="X18" s="202" t="s">
        <v>84</v>
      </c>
      <c r="Y18" s="114"/>
    </row>
    <row r="19" spans="2:27" x14ac:dyDescent="0.25">
      <c r="C19" s="121" t="s">
        <v>11</v>
      </c>
      <c r="D19" s="121"/>
      <c r="E19" s="121"/>
      <c r="F19" s="140">
        <v>100</v>
      </c>
      <c r="G19" s="140">
        <f t="shared" ref="G19:O19" si="5">F19*1.025</f>
        <v>102.49999999999999</v>
      </c>
      <c r="H19" s="140">
        <f t="shared" si="5"/>
        <v>105.06249999999997</v>
      </c>
      <c r="I19" s="140">
        <f t="shared" si="5"/>
        <v>107.68906249999996</v>
      </c>
      <c r="J19" s="140">
        <f t="shared" si="5"/>
        <v>110.38128906249996</v>
      </c>
      <c r="K19" s="140">
        <f t="shared" si="5"/>
        <v>113.14082128906244</v>
      </c>
      <c r="L19" s="140">
        <f t="shared" si="5"/>
        <v>115.96934182128899</v>
      </c>
      <c r="M19" s="140">
        <f t="shared" si="5"/>
        <v>118.8685753668212</v>
      </c>
      <c r="N19" s="140">
        <f t="shared" si="5"/>
        <v>121.84028975099173</v>
      </c>
      <c r="O19" s="140">
        <f t="shared" si="5"/>
        <v>124.88629699476651</v>
      </c>
      <c r="P19" s="119"/>
      <c r="Q19" s="119"/>
      <c r="R19" s="119"/>
      <c r="U19" s="120"/>
      <c r="V19" s="130"/>
      <c r="X19" s="160">
        <f>NPV(Rate_of_Return,F19:O19)</f>
        <v>761.7985797483658</v>
      </c>
      <c r="Y19" s="160">
        <f>-PMT(Rate_of_Return,10,X19)</f>
        <v>110.42654557057071</v>
      </c>
      <c r="Z19" s="120"/>
      <c r="AA19" s="120"/>
    </row>
    <row r="20" spans="2:27" x14ac:dyDescent="0.25">
      <c r="C20" s="143" t="s">
        <v>12</v>
      </c>
      <c r="D20" s="143"/>
      <c r="E20" s="143"/>
      <c r="F20" s="144">
        <f t="shared" ref="F20:O20" si="6">F19/$Y$19</f>
        <v>0.90557935579079241</v>
      </c>
      <c r="G20" s="144">
        <f t="shared" si="6"/>
        <v>0.92821883968556207</v>
      </c>
      <c r="H20" s="144">
        <f t="shared" si="6"/>
        <v>0.95142431067770095</v>
      </c>
      <c r="I20" s="144">
        <f t="shared" si="6"/>
        <v>0.97520991844464344</v>
      </c>
      <c r="J20" s="144">
        <f t="shared" si="6"/>
        <v>0.99959016640575948</v>
      </c>
      <c r="K20" s="144">
        <f t="shared" si="6"/>
        <v>1.0245799205659034</v>
      </c>
      <c r="L20" s="144">
        <f t="shared" si="6"/>
        <v>1.0501944185800509</v>
      </c>
      <c r="M20" s="144">
        <f t="shared" si="6"/>
        <v>1.0764492790445519</v>
      </c>
      <c r="N20" s="144">
        <f t="shared" si="6"/>
        <v>1.1033605110206657</v>
      </c>
      <c r="O20" s="144">
        <f t="shared" si="6"/>
        <v>1.1309445237961822</v>
      </c>
      <c r="P20" s="119"/>
      <c r="Q20" s="119"/>
      <c r="R20" s="119"/>
      <c r="U20" s="120"/>
      <c r="V20" s="131"/>
      <c r="X20" s="159">
        <f>NPV(Rate_of_Return,F20:O20)</f>
        <v>6.8986906709086568</v>
      </c>
      <c r="Y20" s="159">
        <f>-PMT(Rate_of_Return,10,X20)</f>
        <v>1.0000000000000002</v>
      </c>
      <c r="Z20" s="120"/>
      <c r="AA20" s="120"/>
    </row>
    <row r="21" spans="2:27" x14ac:dyDescent="0.25">
      <c r="C21" s="114"/>
      <c r="D21" s="114"/>
      <c r="E21" s="141"/>
      <c r="F21" s="141"/>
      <c r="G21" s="141"/>
      <c r="H21" s="141"/>
      <c r="I21" s="141"/>
      <c r="J21" s="141"/>
      <c r="K21" s="141"/>
      <c r="L21" s="141"/>
      <c r="M21" s="142"/>
      <c r="N21" s="142"/>
      <c r="O21" s="142"/>
      <c r="P21" s="119"/>
      <c r="Q21" s="119"/>
      <c r="R21" s="119"/>
      <c r="S21" s="119"/>
      <c r="T21" s="119"/>
      <c r="U21" s="120"/>
      <c r="W21" s="114"/>
      <c r="X21" s="114"/>
    </row>
    <row r="22" spans="2:27" x14ac:dyDescent="0.25">
      <c r="B22" s="132" t="s">
        <v>13</v>
      </c>
      <c r="C22" s="133"/>
      <c r="D22" s="134"/>
      <c r="E22" s="134"/>
      <c r="F22" s="134"/>
      <c r="G22" s="134"/>
      <c r="H22" s="134"/>
      <c r="I22" s="134"/>
      <c r="J22" s="134"/>
      <c r="K22" s="134"/>
      <c r="L22" s="134"/>
      <c r="M22" s="134"/>
      <c r="N22" s="134"/>
      <c r="O22" s="134"/>
      <c r="Y22" s="129"/>
    </row>
    <row r="23" spans="2:27" x14ac:dyDescent="0.25">
      <c r="B23" s="135">
        <v>1</v>
      </c>
      <c r="C23" s="301" t="s">
        <v>143</v>
      </c>
      <c r="D23" s="134"/>
      <c r="E23" s="134"/>
      <c r="F23" s="134"/>
      <c r="G23" s="134"/>
      <c r="H23" s="134"/>
      <c r="I23" s="134"/>
      <c r="J23" s="134"/>
      <c r="K23" s="134"/>
      <c r="L23" s="134"/>
      <c r="M23" s="134"/>
      <c r="N23" s="134"/>
      <c r="O23" s="134"/>
      <c r="Y23" s="125"/>
    </row>
    <row r="24" spans="2:27" x14ac:dyDescent="0.25">
      <c r="B24" s="135">
        <v>2</v>
      </c>
      <c r="C24" s="134" t="s">
        <v>119</v>
      </c>
      <c r="D24" s="134"/>
      <c r="E24" s="134"/>
      <c r="F24" s="134"/>
      <c r="G24" s="134"/>
      <c r="H24" s="134"/>
      <c r="I24" s="134"/>
      <c r="J24" s="134"/>
      <c r="K24" s="134"/>
      <c r="L24" s="134"/>
      <c r="M24" s="134"/>
      <c r="N24" s="134"/>
      <c r="O24" s="134"/>
      <c r="Y24" s="126"/>
    </row>
    <row r="25" spans="2:27" x14ac:dyDescent="0.25">
      <c r="B25" s="135">
        <v>3</v>
      </c>
      <c r="C25" s="134" t="s">
        <v>49</v>
      </c>
      <c r="D25" s="134"/>
      <c r="E25" s="134"/>
      <c r="F25" s="134"/>
      <c r="G25" s="134"/>
      <c r="H25" s="134"/>
      <c r="I25" s="134"/>
      <c r="J25" s="134"/>
      <c r="K25" s="134"/>
      <c r="L25" s="134"/>
      <c r="M25" s="134"/>
      <c r="N25" s="134"/>
      <c r="O25" s="134"/>
      <c r="Y25" s="136"/>
    </row>
    <row r="26" spans="2:27" x14ac:dyDescent="0.25">
      <c r="B26" s="135">
        <v>4</v>
      </c>
      <c r="C26" s="134" t="s">
        <v>120</v>
      </c>
      <c r="D26" s="134"/>
      <c r="E26" s="134"/>
      <c r="F26" s="134"/>
      <c r="G26" s="134"/>
      <c r="H26" s="134"/>
      <c r="I26" s="134"/>
      <c r="J26" s="134"/>
      <c r="K26" s="134"/>
      <c r="L26" s="134"/>
      <c r="M26" s="134"/>
      <c r="N26" s="134"/>
      <c r="O26" s="134"/>
      <c r="Y26" s="136"/>
    </row>
    <row r="27" spans="2:27" x14ac:dyDescent="0.25">
      <c r="B27" s="135">
        <v>5</v>
      </c>
      <c r="C27" s="134" t="s">
        <v>89</v>
      </c>
      <c r="D27" s="134"/>
      <c r="E27" s="134"/>
      <c r="F27" s="134"/>
      <c r="G27" s="134"/>
      <c r="H27" s="134"/>
      <c r="I27" s="134"/>
      <c r="J27" s="134"/>
      <c r="K27" s="134"/>
      <c r="L27" s="134"/>
      <c r="M27" s="134"/>
      <c r="N27" s="134"/>
      <c r="O27" s="134"/>
      <c r="Y27" s="125"/>
    </row>
    <row r="28" spans="2:27" x14ac:dyDescent="0.25">
      <c r="B28" s="135">
        <v>6</v>
      </c>
      <c r="C28" s="134" t="s">
        <v>90</v>
      </c>
      <c r="D28" s="134"/>
      <c r="E28" s="134"/>
      <c r="F28" s="134"/>
      <c r="G28" s="134"/>
      <c r="H28" s="134"/>
      <c r="I28" s="134"/>
      <c r="J28" s="134"/>
      <c r="K28" s="134"/>
      <c r="L28" s="134"/>
      <c r="M28" s="134"/>
      <c r="N28" s="134"/>
      <c r="O28" s="134"/>
      <c r="Y28" s="126"/>
    </row>
    <row r="29" spans="2:27" x14ac:dyDescent="0.25">
      <c r="B29" s="135">
        <v>7</v>
      </c>
      <c r="C29" s="134" t="s">
        <v>91</v>
      </c>
      <c r="D29" s="134"/>
      <c r="E29" s="134"/>
      <c r="F29" s="134"/>
      <c r="G29" s="134"/>
      <c r="H29" s="134"/>
      <c r="I29" s="134"/>
      <c r="J29" s="134"/>
      <c r="K29" s="134"/>
      <c r="L29" s="134"/>
      <c r="M29" s="134"/>
      <c r="N29" s="134"/>
      <c r="O29" s="134"/>
      <c r="P29" s="134"/>
      <c r="Q29" s="134"/>
    </row>
    <row r="30" spans="2:27" x14ac:dyDescent="0.25">
      <c r="B30" s="135">
        <v>8</v>
      </c>
      <c r="C30" s="134" t="s">
        <v>58</v>
      </c>
      <c r="D30" s="134"/>
      <c r="E30" s="134"/>
      <c r="F30" s="134"/>
      <c r="G30" s="134"/>
      <c r="H30" s="134"/>
      <c r="I30" s="134"/>
      <c r="J30" s="134"/>
      <c r="K30" s="134"/>
      <c r="L30" s="134"/>
      <c r="M30" s="134"/>
      <c r="N30" s="134"/>
      <c r="O30" s="134"/>
      <c r="P30" s="134"/>
      <c r="Q30" s="134"/>
    </row>
    <row r="31" spans="2:27" x14ac:dyDescent="0.25">
      <c r="B31" s="135">
        <v>9</v>
      </c>
      <c r="C31" s="134" t="s">
        <v>92</v>
      </c>
      <c r="D31" s="134"/>
      <c r="E31" s="134"/>
      <c r="F31" s="134"/>
      <c r="G31" s="134"/>
      <c r="H31" s="134"/>
      <c r="I31" s="134"/>
      <c r="J31" s="134"/>
      <c r="K31" s="134"/>
      <c r="L31" s="134"/>
      <c r="M31" s="134"/>
      <c r="N31" s="134"/>
      <c r="O31" s="134"/>
      <c r="P31" s="134"/>
      <c r="Q31" s="134"/>
    </row>
    <row r="32" spans="2:27"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5"/>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D1"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15" t="s">
        <v>94</v>
      </c>
      <c r="D2" s="215"/>
      <c r="E2" s="215"/>
      <c r="F2" s="215"/>
      <c r="G2" s="215"/>
      <c r="H2" s="215"/>
      <c r="I2" s="215"/>
      <c r="J2" s="215"/>
      <c r="K2" s="215"/>
      <c r="L2" s="215"/>
    </row>
    <row r="3" spans="2:31" ht="15.6" x14ac:dyDescent="0.3">
      <c r="C3" s="42" t="s">
        <v>95</v>
      </c>
    </row>
    <row r="4" spans="2:31" s="111" customFormat="1" ht="45" x14ac:dyDescent="0.25">
      <c r="B4" s="110"/>
      <c r="C4" s="145" t="s">
        <v>0</v>
      </c>
      <c r="D4" s="145"/>
      <c r="E4" s="145" t="s">
        <v>1</v>
      </c>
      <c r="F4" s="145" t="s">
        <v>2</v>
      </c>
      <c r="G4" s="145" t="s">
        <v>3</v>
      </c>
      <c r="H4" s="145" t="s">
        <v>4</v>
      </c>
      <c r="I4" s="145" t="s">
        <v>5</v>
      </c>
      <c r="J4" s="145" t="s">
        <v>6</v>
      </c>
      <c r="K4" s="145" t="s">
        <v>7</v>
      </c>
      <c r="L4" s="146" t="s">
        <v>14</v>
      </c>
      <c r="M4" s="146"/>
    </row>
    <row r="5" spans="2:31" x14ac:dyDescent="0.25">
      <c r="C5" s="148"/>
      <c r="D5" s="149"/>
      <c r="E5" s="150">
        <v>15</v>
      </c>
      <c r="F5" s="304">
        <f>+'Capacity Delivered'!$G$5</f>
        <v>1</v>
      </c>
      <c r="G5" s="151" t="s">
        <v>8</v>
      </c>
      <c r="H5" s="152">
        <f>'Electric EES CE Std Energy'!D23</f>
        <v>2.1416974764849529E-2</v>
      </c>
      <c r="I5" s="153">
        <f>'Baseload Avoided Capacity Calcs'!X21</f>
        <v>1.3211367204470558E-2</v>
      </c>
      <c r="J5" s="153">
        <f>H5+I5</f>
        <v>3.4628341969320089E-2</v>
      </c>
      <c r="K5" s="154">
        <f>J5</f>
        <v>3.4628341969320089E-2</v>
      </c>
      <c r="L5" s="155">
        <f>K5*1000</f>
        <v>34.62834196932009</v>
      </c>
      <c r="M5" s="139"/>
    </row>
    <row r="6" spans="2:31" ht="15.6" x14ac:dyDescent="0.3">
      <c r="C6" s="147"/>
      <c r="D6" s="147"/>
      <c r="E6" s="114"/>
      <c r="F6" s="114"/>
      <c r="G6" s="114"/>
      <c r="H6" s="32">
        <f>H5*1000</f>
        <v>21.416974764849531</v>
      </c>
      <c r="I6" s="32">
        <f t="shared" ref="I6:K6" si="0">I5*1000</f>
        <v>13.211367204470559</v>
      </c>
      <c r="J6" s="32">
        <f t="shared" si="0"/>
        <v>34.62834196932009</v>
      </c>
      <c r="K6" s="32">
        <f t="shared" si="0"/>
        <v>34.62834196932009</v>
      </c>
      <c r="L6" s="116">
        <f>L5*(1-M6)</f>
        <v>33.589491710240488</v>
      </c>
      <c r="M6" s="245">
        <v>0.03</v>
      </c>
      <c r="N6" s="117" t="s">
        <v>41</v>
      </c>
    </row>
    <row r="7" spans="2:31" x14ac:dyDescent="0.25">
      <c r="C7" s="118"/>
      <c r="D7" s="115"/>
      <c r="H7" s="40"/>
      <c r="I7" s="113"/>
      <c r="J7" s="40"/>
      <c r="K7" s="113"/>
      <c r="L7" s="113"/>
      <c r="M7" s="114"/>
    </row>
    <row r="8" spans="2:31" ht="15.6" x14ac:dyDescent="0.3">
      <c r="C8" s="114"/>
      <c r="D8" s="114"/>
      <c r="E8" s="114"/>
      <c r="F8" s="114"/>
      <c r="G8" s="114"/>
      <c r="H8" s="119"/>
      <c r="I8" s="119"/>
      <c r="J8" s="119"/>
      <c r="K8" s="119"/>
      <c r="L8" s="119"/>
      <c r="M8" s="119"/>
      <c r="N8" s="119"/>
      <c r="O8" s="119"/>
      <c r="P8" s="119"/>
      <c r="Q8" s="119"/>
      <c r="R8" s="119"/>
      <c r="S8" s="119"/>
      <c r="T8" s="119"/>
      <c r="U8" s="120"/>
      <c r="V8" s="120"/>
      <c r="W8" s="120"/>
      <c r="X8" s="202" t="s">
        <v>84</v>
      </c>
      <c r="Y8" s="120"/>
      <c r="Z8" s="120"/>
      <c r="AA8" s="120"/>
      <c r="AB8" s="120"/>
      <c r="AC8" s="119"/>
      <c r="AD8" s="114"/>
    </row>
    <row r="9" spans="2:31" x14ac:dyDescent="0.25">
      <c r="C9" s="121" t="s">
        <v>9</v>
      </c>
      <c r="D9" s="121"/>
      <c r="E9" s="121"/>
      <c r="F9" s="122">
        <f>+L6</f>
        <v>33.589491710240488</v>
      </c>
      <c r="G9" s="122">
        <f t="shared" ref="G9:T9" si="1">F9</f>
        <v>33.589491710240488</v>
      </c>
      <c r="H9" s="122">
        <f t="shared" si="1"/>
        <v>33.589491710240488</v>
      </c>
      <c r="I9" s="122">
        <f t="shared" si="1"/>
        <v>33.589491710240488</v>
      </c>
      <c r="J9" s="122">
        <f t="shared" si="1"/>
        <v>33.589491710240488</v>
      </c>
      <c r="K9" s="122">
        <f t="shared" si="1"/>
        <v>33.589491710240488</v>
      </c>
      <c r="L9" s="122">
        <f t="shared" si="1"/>
        <v>33.589491710240488</v>
      </c>
      <c r="M9" s="122">
        <f t="shared" si="1"/>
        <v>33.589491710240488</v>
      </c>
      <c r="N9" s="122">
        <f t="shared" si="1"/>
        <v>33.589491710240488</v>
      </c>
      <c r="O9" s="122">
        <f t="shared" si="1"/>
        <v>33.589491710240488</v>
      </c>
      <c r="P9" s="122">
        <f t="shared" si="1"/>
        <v>33.589491710240488</v>
      </c>
      <c r="Q9" s="122">
        <f t="shared" si="1"/>
        <v>33.589491710240488</v>
      </c>
      <c r="R9" s="122">
        <f t="shared" si="1"/>
        <v>33.589491710240488</v>
      </c>
      <c r="S9" s="122">
        <f t="shared" si="1"/>
        <v>33.589491710240488</v>
      </c>
      <c r="T9" s="122">
        <f t="shared" si="1"/>
        <v>33.589491710240488</v>
      </c>
      <c r="U9" s="40"/>
      <c r="V9" s="40"/>
      <c r="W9" s="40"/>
      <c r="X9" s="201">
        <f>NPV(Rate_of_Return,F9:T9)</f>
        <v>298.53462265705861</v>
      </c>
      <c r="Y9" s="201">
        <f>-PMT(Rate_of_Return,15,X9)</f>
        <v>33.589491710240466</v>
      </c>
      <c r="Z9" s="40"/>
      <c r="AA9" s="40"/>
      <c r="AB9" s="40"/>
    </row>
    <row r="10" spans="2:31" x14ac:dyDescent="0.25">
      <c r="C10" s="114"/>
      <c r="D10" s="114"/>
      <c r="E10" s="114"/>
      <c r="F10" s="123"/>
      <c r="G10" s="123"/>
      <c r="H10" s="123"/>
      <c r="I10" s="123"/>
      <c r="J10" s="123"/>
      <c r="K10" s="123"/>
      <c r="L10" s="123"/>
      <c r="M10" s="123"/>
      <c r="N10" s="123"/>
      <c r="O10" s="123"/>
      <c r="P10" s="123"/>
      <c r="Q10" s="123"/>
      <c r="R10" s="123"/>
      <c r="S10" s="123"/>
      <c r="T10" s="123"/>
      <c r="U10" s="40"/>
      <c r="V10" s="40"/>
      <c r="W10" s="40"/>
      <c r="X10" s="32"/>
      <c r="Y10" s="32"/>
      <c r="Z10" s="40"/>
      <c r="AA10" s="40"/>
      <c r="AB10" s="40"/>
    </row>
    <row r="11" spans="2:31" x14ac:dyDescent="0.25">
      <c r="C11" s="53" t="s">
        <v>63</v>
      </c>
      <c r="F11" s="210">
        <v>1</v>
      </c>
      <c r="G11" s="210">
        <v>2</v>
      </c>
      <c r="H11" s="210">
        <v>3</v>
      </c>
      <c r="I11" s="210">
        <v>4</v>
      </c>
      <c r="J11" s="210">
        <v>5</v>
      </c>
      <c r="K11" s="210">
        <v>6</v>
      </c>
      <c r="L11" s="210">
        <v>7</v>
      </c>
      <c r="M11" s="210">
        <v>8</v>
      </c>
      <c r="N11" s="210">
        <v>9</v>
      </c>
      <c r="O11" s="210">
        <v>10</v>
      </c>
      <c r="P11" s="210">
        <v>11</v>
      </c>
      <c r="Q11" s="210">
        <v>12</v>
      </c>
      <c r="R11" s="210">
        <v>13</v>
      </c>
      <c r="S11" s="210">
        <v>14</v>
      </c>
      <c r="T11" s="210">
        <v>15</v>
      </c>
      <c r="U11" s="210">
        <v>16</v>
      </c>
      <c r="V11" s="210">
        <v>17</v>
      </c>
      <c r="W11" s="40"/>
      <c r="X11" s="40"/>
      <c r="Y11" s="40"/>
      <c r="Z11" s="40"/>
      <c r="AA11" s="40"/>
      <c r="AB11" s="40"/>
    </row>
    <row r="12" spans="2:31" ht="15.6" x14ac:dyDescent="0.3">
      <c r="C12" s="114"/>
      <c r="D12" s="112"/>
      <c r="E12" s="114"/>
      <c r="F12" s="124">
        <f>'Energy Prices'!$C$6</f>
        <v>2020</v>
      </c>
      <c r="G12" s="124">
        <f>F12+1</f>
        <v>2021</v>
      </c>
      <c r="H12" s="124">
        <f>G12+1</f>
        <v>2022</v>
      </c>
      <c r="I12" s="124">
        <f t="shared" ref="I12:T12" si="2">H12+1</f>
        <v>2023</v>
      </c>
      <c r="J12" s="124">
        <f t="shared" si="2"/>
        <v>2024</v>
      </c>
      <c r="K12" s="124">
        <f t="shared" si="2"/>
        <v>2025</v>
      </c>
      <c r="L12" s="124">
        <f t="shared" si="2"/>
        <v>2026</v>
      </c>
      <c r="M12" s="124">
        <f t="shared" si="2"/>
        <v>2027</v>
      </c>
      <c r="N12" s="124">
        <f t="shared" si="2"/>
        <v>2028</v>
      </c>
      <c r="O12" s="124">
        <f t="shared" si="2"/>
        <v>2029</v>
      </c>
      <c r="P12" s="124">
        <f t="shared" si="2"/>
        <v>2030</v>
      </c>
      <c r="Q12" s="124">
        <f t="shared" si="2"/>
        <v>2031</v>
      </c>
      <c r="R12" s="124">
        <f t="shared" si="2"/>
        <v>2032</v>
      </c>
      <c r="S12" s="124">
        <f t="shared" si="2"/>
        <v>2033</v>
      </c>
      <c r="T12" s="124">
        <f t="shared" si="2"/>
        <v>2034</v>
      </c>
      <c r="U12" s="124">
        <f>T12+1</f>
        <v>2035</v>
      </c>
      <c r="V12" s="124">
        <f>U12+1</f>
        <v>2036</v>
      </c>
      <c r="W12" s="208"/>
      <c r="X12" s="202" t="s">
        <v>84</v>
      </c>
      <c r="Y12" s="32"/>
      <c r="Z12" s="120"/>
      <c r="AA12" s="120"/>
      <c r="AB12" s="120"/>
    </row>
    <row r="13" spans="2:31" ht="52.5" customHeight="1" x14ac:dyDescent="0.25">
      <c r="B13" s="114"/>
      <c r="C13" s="211" t="s">
        <v>104</v>
      </c>
      <c r="D13" s="114"/>
      <c r="F13" s="156">
        <f>F$9*F$20</f>
        <v>29.02545366311843</v>
      </c>
      <c r="G13" s="157">
        <f t="shared" ref="G13:T13" si="3">G$9*G$20</f>
        <v>29.75109000469639</v>
      </c>
      <c r="H13" s="158">
        <f t="shared" si="3"/>
        <v>30.494867254813794</v>
      </c>
      <c r="I13" s="158">
        <f t="shared" si="3"/>
        <v>31.257238936184137</v>
      </c>
      <c r="J13" s="158">
        <f t="shared" si="3"/>
        <v>32.038669909588741</v>
      </c>
      <c r="K13" s="158">
        <f t="shared" si="3"/>
        <v>32.839636657328455</v>
      </c>
      <c r="L13" s="158">
        <f t="shared" si="3"/>
        <v>33.660627573761658</v>
      </c>
      <c r="M13" s="158">
        <f t="shared" si="3"/>
        <v>34.502143263105701</v>
      </c>
      <c r="N13" s="158">
        <f t="shared" si="3"/>
        <v>35.364696844683344</v>
      </c>
      <c r="O13" s="158">
        <f t="shared" si="3"/>
        <v>36.248814265800426</v>
      </c>
      <c r="P13" s="158">
        <f t="shared" si="3"/>
        <v>37.155034622445427</v>
      </c>
      <c r="Q13" s="158">
        <f t="shared" si="3"/>
        <v>38.083910488006552</v>
      </c>
      <c r="R13" s="158">
        <f t="shared" si="3"/>
        <v>39.03600825020672</v>
      </c>
      <c r="S13" s="158">
        <f t="shared" si="3"/>
        <v>40.011908456461875</v>
      </c>
      <c r="T13" s="158">
        <f t="shared" si="3"/>
        <v>41.012206167873423</v>
      </c>
      <c r="U13" s="207">
        <f>T13*1.025</f>
        <v>42.037511322070252</v>
      </c>
      <c r="V13" s="207">
        <f>U13*1.025</f>
        <v>43.088449105122002</v>
      </c>
      <c r="W13" s="126"/>
      <c r="X13" s="201">
        <f>NPV(Rate_of_Return,F13:T13)</f>
        <v>298.53462265705872</v>
      </c>
      <c r="Y13" s="201">
        <f>-PMT(Rate_of_Return,15,X13)</f>
        <v>33.58949171024048</v>
      </c>
      <c r="Z13" s="126"/>
      <c r="AA13" s="126"/>
      <c r="AB13" s="126"/>
      <c r="AE13" s="127"/>
    </row>
    <row r="14" spans="2:31" x14ac:dyDescent="0.25">
      <c r="C14" s="125"/>
      <c r="E14" s="128"/>
      <c r="F14" s="126"/>
      <c r="G14" s="126"/>
      <c r="H14" s="126"/>
      <c r="I14" s="126"/>
      <c r="J14" s="126"/>
      <c r="K14" s="126"/>
      <c r="L14" s="126"/>
      <c r="M14" s="126"/>
      <c r="N14" s="126"/>
      <c r="O14" s="126"/>
      <c r="P14" s="126"/>
      <c r="Q14" s="126"/>
      <c r="R14" s="126"/>
      <c r="S14" s="126"/>
      <c r="T14" s="126"/>
      <c r="U14" s="126"/>
      <c r="V14" s="126"/>
      <c r="W14" s="126"/>
      <c r="X14" s="120"/>
      <c r="Y14" s="120"/>
      <c r="Z14" s="120"/>
      <c r="AA14" s="120"/>
      <c r="AB14" s="120"/>
      <c r="AC14" s="119"/>
      <c r="AD14" s="114"/>
    </row>
    <row r="15" spans="2:31" x14ac:dyDescent="0.25">
      <c r="C15" s="129"/>
      <c r="E15" s="128"/>
      <c r="F15" s="126"/>
      <c r="G15" s="126"/>
      <c r="H15" s="126"/>
      <c r="I15" s="126"/>
      <c r="J15" s="126"/>
      <c r="K15" s="126"/>
      <c r="L15" s="126"/>
      <c r="M15" s="126"/>
      <c r="N15" s="126"/>
      <c r="O15" s="126"/>
      <c r="P15" s="126"/>
      <c r="Q15" s="126"/>
      <c r="R15" s="126"/>
      <c r="S15" s="126"/>
      <c r="T15" s="126"/>
      <c r="U15" s="126"/>
      <c r="V15" s="126"/>
      <c r="W15" s="126"/>
      <c r="X15" s="120"/>
      <c r="Y15" s="120"/>
      <c r="Z15" s="120"/>
      <c r="AA15" s="120"/>
      <c r="AB15" s="120"/>
      <c r="AC15" s="120"/>
    </row>
    <row r="16" spans="2:31" x14ac:dyDescent="0.25">
      <c r="C16" s="53" t="s">
        <v>10</v>
      </c>
      <c r="Q16" s="120"/>
      <c r="R16" s="120"/>
    </row>
    <row r="17" spans="2:28" x14ac:dyDescent="0.25">
      <c r="Q17" s="120"/>
      <c r="R17" s="120"/>
    </row>
    <row r="18" spans="2:28" ht="15.6" x14ac:dyDescent="0.3">
      <c r="C18" s="114"/>
      <c r="D18" s="114"/>
      <c r="E18" s="114"/>
      <c r="F18" s="114"/>
      <c r="G18" s="114"/>
      <c r="H18" s="114"/>
      <c r="I18" s="114"/>
      <c r="J18" s="114"/>
      <c r="K18" s="114"/>
      <c r="L18" s="114"/>
      <c r="M18" s="114"/>
      <c r="N18" s="114"/>
      <c r="O18" s="114"/>
      <c r="P18" s="114"/>
      <c r="Q18" s="119"/>
      <c r="R18" s="119"/>
      <c r="S18" s="114"/>
      <c r="T18" s="114"/>
      <c r="X18" s="202" t="s">
        <v>84</v>
      </c>
      <c r="Y18" s="114"/>
    </row>
    <row r="19" spans="2:28" x14ac:dyDescent="0.25">
      <c r="C19" s="121" t="s">
        <v>11</v>
      </c>
      <c r="D19" s="121"/>
      <c r="E19" s="121"/>
      <c r="F19" s="140">
        <v>100</v>
      </c>
      <c r="G19" s="140">
        <f t="shared" ref="G19:T19" si="4">F19*1.025</f>
        <v>102.49999999999999</v>
      </c>
      <c r="H19" s="140">
        <f t="shared" si="4"/>
        <v>105.06249999999997</v>
      </c>
      <c r="I19" s="140">
        <f t="shared" si="4"/>
        <v>107.68906249999996</v>
      </c>
      <c r="J19" s="140">
        <f t="shared" si="4"/>
        <v>110.38128906249996</v>
      </c>
      <c r="K19" s="140">
        <f t="shared" si="4"/>
        <v>113.14082128906244</v>
      </c>
      <c r="L19" s="140">
        <f t="shared" si="4"/>
        <v>115.96934182128899</v>
      </c>
      <c r="M19" s="140">
        <f t="shared" si="4"/>
        <v>118.8685753668212</v>
      </c>
      <c r="N19" s="140">
        <f t="shared" si="4"/>
        <v>121.84028975099173</v>
      </c>
      <c r="O19" s="140">
        <f t="shared" si="4"/>
        <v>124.88629699476651</v>
      </c>
      <c r="P19" s="140">
        <f t="shared" si="4"/>
        <v>128.00845441963565</v>
      </c>
      <c r="Q19" s="140">
        <f t="shared" si="4"/>
        <v>131.20866578012652</v>
      </c>
      <c r="R19" s="140">
        <f t="shared" si="4"/>
        <v>134.48888242462968</v>
      </c>
      <c r="S19" s="140">
        <f t="shared" si="4"/>
        <v>137.8511044852454</v>
      </c>
      <c r="T19" s="140">
        <f t="shared" si="4"/>
        <v>141.29738209737653</v>
      </c>
      <c r="U19" s="130"/>
      <c r="V19" s="130"/>
      <c r="W19" s="130"/>
      <c r="X19" s="160">
        <f>NPV(Rate_of_Return,F19:T19)</f>
        <v>1028.5269822893265</v>
      </c>
      <c r="Y19" s="160">
        <f>-PMT(Rate_of_Return,15,X19)</f>
        <v>115.72426085081801</v>
      </c>
      <c r="Z19" s="120"/>
      <c r="AA19" s="120"/>
      <c r="AB19" s="120"/>
    </row>
    <row r="20" spans="2:28" x14ac:dyDescent="0.25">
      <c r="C20" s="143" t="s">
        <v>12</v>
      </c>
      <c r="D20" s="143"/>
      <c r="E20" s="143"/>
      <c r="F20" s="144">
        <f>F19/$Y$19</f>
        <v>0.86412303923817313</v>
      </c>
      <c r="G20" s="144">
        <f t="shared" ref="G20:T20" si="5">G19/$Y$19</f>
        <v>0.88572611521912736</v>
      </c>
      <c r="H20" s="144">
        <f t="shared" si="5"/>
        <v>0.90786926809960544</v>
      </c>
      <c r="I20" s="144">
        <f t="shared" si="5"/>
        <v>0.93056599980209553</v>
      </c>
      <c r="J20" s="144">
        <f t="shared" si="5"/>
        <v>0.95383014979714786</v>
      </c>
      <c r="K20" s="144">
        <f t="shared" si="5"/>
        <v>0.97767590354207645</v>
      </c>
      <c r="L20" s="144">
        <f t="shared" si="5"/>
        <v>1.0021178011306282</v>
      </c>
      <c r="M20" s="144">
        <f t="shared" si="5"/>
        <v>1.0271707461588939</v>
      </c>
      <c r="N20" s="144">
        <f t="shared" si="5"/>
        <v>1.0528500148128661</v>
      </c>
      <c r="O20" s="144">
        <f t="shared" si="5"/>
        <v>1.0791712651831877</v>
      </c>
      <c r="P20" s="144">
        <f t="shared" si="5"/>
        <v>1.1061505468127673</v>
      </c>
      <c r="Q20" s="144">
        <f t="shared" si="5"/>
        <v>1.1338043104830862</v>
      </c>
      <c r="R20" s="144">
        <f t="shared" si="5"/>
        <v>1.1621494182451633</v>
      </c>
      <c r="S20" s="144">
        <f t="shared" si="5"/>
        <v>1.1912031537012922</v>
      </c>
      <c r="T20" s="144">
        <f t="shared" si="5"/>
        <v>1.2209832325438243</v>
      </c>
      <c r="U20" s="131"/>
      <c r="V20" s="131"/>
      <c r="W20" s="131"/>
      <c r="X20" s="159">
        <f>NPV(Rate_of_Return,F20:T20)</f>
        <v>8.8877386187431942</v>
      </c>
      <c r="Y20" s="159">
        <f>-PMT(Rate_of_Return,15,X20)</f>
        <v>1</v>
      </c>
      <c r="Z20" s="120"/>
      <c r="AA20" s="120"/>
      <c r="AB20" s="120"/>
    </row>
    <row r="21" spans="2:28" x14ac:dyDescent="0.25">
      <c r="C21" s="114"/>
      <c r="D21" s="114"/>
      <c r="E21" s="141"/>
      <c r="F21" s="141"/>
      <c r="G21" s="141"/>
      <c r="H21" s="141"/>
      <c r="I21" s="141"/>
      <c r="J21" s="141"/>
      <c r="K21" s="141"/>
      <c r="L21" s="141"/>
      <c r="M21" s="142"/>
      <c r="N21" s="142"/>
      <c r="O21" s="142"/>
      <c r="P21" s="142"/>
      <c r="Q21" s="142"/>
      <c r="R21" s="142"/>
      <c r="S21" s="142"/>
      <c r="T21" s="142"/>
      <c r="X21" s="114"/>
      <c r="Y21" s="114"/>
    </row>
    <row r="22" spans="2:28" x14ac:dyDescent="0.25">
      <c r="B22" s="132" t="s">
        <v>13</v>
      </c>
      <c r="C22" s="133"/>
      <c r="D22" s="134"/>
      <c r="E22" s="134"/>
      <c r="F22" s="134"/>
      <c r="G22" s="134"/>
      <c r="H22" s="134"/>
      <c r="I22" s="134"/>
      <c r="J22" s="134"/>
      <c r="K22" s="134"/>
      <c r="L22" s="134"/>
      <c r="M22" s="134"/>
      <c r="N22" s="134"/>
      <c r="O22" s="134"/>
      <c r="Z22" s="129"/>
    </row>
    <row r="23" spans="2:28" x14ac:dyDescent="0.25">
      <c r="B23" s="135">
        <v>1</v>
      </c>
      <c r="C23" s="301" t="s">
        <v>143</v>
      </c>
      <c r="D23" s="134"/>
      <c r="E23" s="134"/>
      <c r="F23" s="134"/>
      <c r="G23" s="134"/>
      <c r="H23" s="134"/>
      <c r="I23" s="134"/>
      <c r="J23" s="134"/>
      <c r="K23" s="134"/>
      <c r="L23" s="134"/>
      <c r="M23" s="134"/>
      <c r="N23" s="134"/>
      <c r="O23" s="134"/>
      <c r="Z23" s="125"/>
    </row>
    <row r="24" spans="2:28" x14ac:dyDescent="0.25">
      <c r="B24" s="135">
        <v>2</v>
      </c>
      <c r="C24" s="134" t="s">
        <v>119</v>
      </c>
      <c r="D24" s="134"/>
      <c r="E24" s="134"/>
      <c r="F24" s="134"/>
      <c r="G24" s="134"/>
      <c r="H24" s="134"/>
      <c r="I24" s="134"/>
      <c r="J24" s="134"/>
      <c r="K24" s="134"/>
      <c r="L24" s="134"/>
      <c r="M24" s="134"/>
      <c r="N24" s="134"/>
      <c r="O24" s="134"/>
      <c r="Z24" s="126"/>
    </row>
    <row r="25" spans="2:28" x14ac:dyDescent="0.25">
      <c r="B25" s="135">
        <v>3</v>
      </c>
      <c r="C25" s="134" t="s">
        <v>49</v>
      </c>
      <c r="D25" s="134"/>
      <c r="E25" s="134"/>
      <c r="F25" s="134"/>
      <c r="G25" s="134"/>
      <c r="H25" s="134"/>
      <c r="I25" s="134"/>
      <c r="J25" s="134"/>
      <c r="K25" s="134"/>
      <c r="L25" s="134"/>
      <c r="M25" s="134"/>
      <c r="N25" s="134"/>
      <c r="O25" s="134"/>
      <c r="Z25" s="136"/>
    </row>
    <row r="26" spans="2:28" x14ac:dyDescent="0.25">
      <c r="B26" s="135">
        <v>4</v>
      </c>
      <c r="C26" s="134" t="s">
        <v>120</v>
      </c>
      <c r="D26" s="134"/>
      <c r="E26" s="134"/>
      <c r="F26" s="134"/>
      <c r="G26" s="134"/>
      <c r="H26" s="134"/>
      <c r="I26" s="134"/>
      <c r="J26" s="134"/>
      <c r="K26" s="134"/>
      <c r="L26" s="134"/>
      <c r="M26" s="134"/>
      <c r="N26" s="134"/>
      <c r="O26" s="134"/>
      <c r="Z26" s="136"/>
    </row>
    <row r="27" spans="2:28" x14ac:dyDescent="0.25">
      <c r="B27" s="135">
        <v>5</v>
      </c>
      <c r="C27" s="134" t="s">
        <v>89</v>
      </c>
      <c r="D27" s="134"/>
      <c r="E27" s="134"/>
      <c r="F27" s="134"/>
      <c r="G27" s="134"/>
      <c r="H27" s="134"/>
      <c r="I27" s="134"/>
      <c r="J27" s="134"/>
      <c r="K27" s="134"/>
      <c r="L27" s="134"/>
      <c r="M27" s="134"/>
      <c r="N27" s="134"/>
      <c r="O27" s="134"/>
      <c r="Z27" s="125"/>
    </row>
    <row r="28" spans="2:28" x14ac:dyDescent="0.25">
      <c r="B28" s="135">
        <v>6</v>
      </c>
      <c r="C28" s="134" t="s">
        <v>90</v>
      </c>
      <c r="D28" s="134"/>
      <c r="E28" s="134"/>
      <c r="F28" s="134"/>
      <c r="G28" s="134"/>
      <c r="H28" s="134"/>
      <c r="I28" s="134"/>
      <c r="J28" s="134"/>
      <c r="K28" s="134"/>
      <c r="L28" s="134"/>
      <c r="M28" s="134"/>
      <c r="N28" s="134"/>
      <c r="O28" s="134"/>
      <c r="Z28" s="126"/>
    </row>
    <row r="29" spans="2:28" x14ac:dyDescent="0.25">
      <c r="B29" s="135">
        <v>7</v>
      </c>
      <c r="C29" s="134" t="s">
        <v>91</v>
      </c>
      <c r="D29" s="134"/>
      <c r="E29" s="134"/>
      <c r="F29" s="134"/>
      <c r="G29" s="134"/>
      <c r="H29" s="134"/>
      <c r="I29" s="134"/>
      <c r="J29" s="134"/>
      <c r="K29" s="134"/>
      <c r="L29" s="134"/>
      <c r="M29" s="134"/>
      <c r="N29" s="134"/>
      <c r="O29" s="134"/>
      <c r="P29" s="134"/>
      <c r="Q29" s="134"/>
    </row>
    <row r="30" spans="2:28" x14ac:dyDescent="0.25">
      <c r="B30" s="135">
        <v>8</v>
      </c>
      <c r="C30" s="134" t="s">
        <v>58</v>
      </c>
      <c r="D30" s="134"/>
      <c r="E30" s="134"/>
      <c r="F30" s="134"/>
      <c r="G30" s="134"/>
      <c r="H30" s="134"/>
      <c r="I30" s="134"/>
      <c r="J30" s="134"/>
      <c r="K30" s="134"/>
      <c r="L30" s="134"/>
      <c r="M30" s="134"/>
      <c r="N30" s="134"/>
      <c r="O30" s="134"/>
      <c r="P30" s="134"/>
      <c r="Q30" s="134"/>
    </row>
    <row r="31" spans="2:28" x14ac:dyDescent="0.25">
      <c r="B31" s="135">
        <v>9</v>
      </c>
      <c r="C31" s="134" t="s">
        <v>92</v>
      </c>
      <c r="D31" s="134"/>
      <c r="E31" s="134"/>
      <c r="F31" s="134"/>
      <c r="G31" s="134"/>
      <c r="H31" s="134"/>
      <c r="I31" s="134"/>
      <c r="J31" s="134"/>
      <c r="K31" s="134"/>
      <c r="L31" s="134"/>
      <c r="M31" s="134"/>
      <c r="N31" s="134"/>
      <c r="O31" s="134"/>
      <c r="P31" s="134"/>
      <c r="Q31" s="134"/>
    </row>
    <row r="32" spans="2:28"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5"/>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15" t="s">
        <v>94</v>
      </c>
      <c r="D2" s="215"/>
      <c r="E2" s="215"/>
      <c r="F2" s="215"/>
      <c r="G2" s="215"/>
      <c r="H2" s="215"/>
      <c r="I2" s="215"/>
      <c r="J2" s="215"/>
      <c r="K2" s="215"/>
      <c r="L2" s="215"/>
    </row>
    <row r="3" spans="2:30" ht="15.6" x14ac:dyDescent="0.3">
      <c r="C3" s="42" t="s">
        <v>47</v>
      </c>
    </row>
    <row r="4" spans="2:30" s="111" customFormat="1" ht="45" x14ac:dyDescent="0.25">
      <c r="B4" s="110"/>
      <c r="C4" s="145" t="s">
        <v>0</v>
      </c>
      <c r="D4" s="145"/>
      <c r="E4" s="145" t="s">
        <v>1</v>
      </c>
      <c r="F4" s="145" t="s">
        <v>2</v>
      </c>
      <c r="G4" s="145" t="s">
        <v>3</v>
      </c>
      <c r="H4" s="145" t="s">
        <v>4</v>
      </c>
      <c r="I4" s="145" t="s">
        <v>5</v>
      </c>
      <c r="J4" s="145" t="s">
        <v>6</v>
      </c>
      <c r="K4" s="145" t="s">
        <v>7</v>
      </c>
      <c r="L4" s="146" t="s">
        <v>14</v>
      </c>
      <c r="M4" s="146"/>
    </row>
    <row r="5" spans="2:30" x14ac:dyDescent="0.25">
      <c r="C5" s="148"/>
      <c r="D5" s="149"/>
      <c r="E5" s="150">
        <v>10</v>
      </c>
      <c r="F5" s="304">
        <f>+'Capacity Delivered'!$H$5</f>
        <v>6.4000000000000001E-2</v>
      </c>
      <c r="G5" s="151" t="s">
        <v>8</v>
      </c>
      <c r="H5" s="152">
        <f>'Electric EES CE Std Energy'!D18</f>
        <v>2.0487127178907497E-2</v>
      </c>
      <c r="I5" s="153">
        <f>'Wind Avoided Capacity Calcs'!X16</f>
        <v>5.8645394568461098E-3</v>
      </c>
      <c r="J5" s="153">
        <f>H5+I5</f>
        <v>2.6351666635753605E-2</v>
      </c>
      <c r="K5" s="154">
        <f>J5</f>
        <v>2.6351666635753605E-2</v>
      </c>
      <c r="L5" s="155">
        <f>K5*1000</f>
        <v>26.351666635753606</v>
      </c>
      <c r="M5" s="139"/>
    </row>
    <row r="6" spans="2:30" ht="15.6" x14ac:dyDescent="0.3">
      <c r="C6" s="147"/>
      <c r="D6" s="147"/>
      <c r="E6" s="114"/>
      <c r="F6" s="114"/>
      <c r="G6" s="114"/>
      <c r="H6" s="32">
        <f>H5*1000</f>
        <v>20.487127178907496</v>
      </c>
      <c r="I6" s="32">
        <f t="shared" ref="I6:K6" si="0">I5*1000</f>
        <v>5.86453945684611</v>
      </c>
      <c r="J6" s="32">
        <f t="shared" si="0"/>
        <v>26.351666635753606</v>
      </c>
      <c r="K6" s="32">
        <f t="shared" si="0"/>
        <v>26.351666635753606</v>
      </c>
      <c r="L6" s="116">
        <f>L5*(1-M6)</f>
        <v>25.561116636680996</v>
      </c>
      <c r="M6" s="245">
        <v>0.03</v>
      </c>
      <c r="N6" s="117" t="s">
        <v>41</v>
      </c>
    </row>
    <row r="7" spans="2:30" x14ac:dyDescent="0.25">
      <c r="C7" s="118"/>
      <c r="D7" s="115"/>
      <c r="H7" s="40"/>
      <c r="I7" s="113"/>
      <c r="J7" s="40"/>
      <c r="K7" s="113"/>
      <c r="L7" s="113"/>
      <c r="M7" s="114"/>
    </row>
    <row r="8" spans="2:30" ht="15.6" x14ac:dyDescent="0.3">
      <c r="C8" s="114"/>
      <c r="D8" s="114"/>
      <c r="E8" s="114"/>
      <c r="F8" s="114"/>
      <c r="G8" s="114"/>
      <c r="H8" s="119"/>
      <c r="I8" s="119"/>
      <c r="J8" s="119"/>
      <c r="K8" s="119"/>
      <c r="L8" s="119"/>
      <c r="M8" s="119"/>
      <c r="N8" s="119"/>
      <c r="O8" s="119"/>
      <c r="P8" s="119"/>
      <c r="Q8" s="119"/>
      <c r="R8" s="119"/>
      <c r="U8" s="120"/>
      <c r="V8" s="120"/>
      <c r="X8" s="202" t="s">
        <v>84</v>
      </c>
      <c r="Y8" s="120"/>
      <c r="Z8" s="120"/>
      <c r="AA8" s="120"/>
      <c r="AB8" s="120"/>
    </row>
    <row r="9" spans="2:30" x14ac:dyDescent="0.25">
      <c r="C9" s="121" t="s">
        <v>9</v>
      </c>
      <c r="D9" s="121"/>
      <c r="E9" s="121"/>
      <c r="F9" s="122">
        <f>+L6</f>
        <v>25.561116636680996</v>
      </c>
      <c r="G9" s="122">
        <f t="shared" ref="G9:O9" si="1">F9</f>
        <v>25.561116636680996</v>
      </c>
      <c r="H9" s="122">
        <f t="shared" si="1"/>
        <v>25.561116636680996</v>
      </c>
      <c r="I9" s="122">
        <f t="shared" si="1"/>
        <v>25.561116636680996</v>
      </c>
      <c r="J9" s="122">
        <f t="shared" si="1"/>
        <v>25.561116636680996</v>
      </c>
      <c r="K9" s="122">
        <f t="shared" si="1"/>
        <v>25.561116636680996</v>
      </c>
      <c r="L9" s="122">
        <f t="shared" si="1"/>
        <v>25.561116636680996</v>
      </c>
      <c r="M9" s="122">
        <f t="shared" si="1"/>
        <v>25.561116636680996</v>
      </c>
      <c r="N9" s="122">
        <f t="shared" si="1"/>
        <v>25.561116636680996</v>
      </c>
      <c r="O9" s="122">
        <f t="shared" si="1"/>
        <v>25.561116636680996</v>
      </c>
      <c r="P9" s="119"/>
      <c r="Q9" s="119"/>
      <c r="R9" s="119"/>
      <c r="U9" s="120"/>
      <c r="V9" s="40"/>
      <c r="X9" s="201">
        <f>NPV(Rate_of_Return,F9:O9)</f>
        <v>176.33823687947918</v>
      </c>
      <c r="Y9" s="201">
        <f>-PMT(Rate_of_Return,$E$5,X9)</f>
        <v>25.561116636680989</v>
      </c>
      <c r="Z9" s="40"/>
      <c r="AA9" s="40"/>
    </row>
    <row r="10" spans="2:30" x14ac:dyDescent="0.25">
      <c r="C10" s="114"/>
      <c r="D10" s="114"/>
      <c r="E10" s="114"/>
      <c r="F10" s="123"/>
      <c r="G10" s="123"/>
      <c r="H10" s="123"/>
      <c r="I10" s="123"/>
      <c r="J10" s="123"/>
      <c r="K10" s="123"/>
      <c r="L10" s="123"/>
      <c r="M10" s="123"/>
      <c r="N10" s="123"/>
      <c r="O10" s="123"/>
      <c r="P10" s="119"/>
      <c r="Q10" s="119"/>
      <c r="R10" s="119"/>
      <c r="U10" s="120"/>
      <c r="V10" s="40"/>
      <c r="X10" s="32"/>
      <c r="Y10" s="32"/>
      <c r="Z10" s="40"/>
      <c r="AA10" s="40"/>
    </row>
    <row r="11" spans="2:30" x14ac:dyDescent="0.25">
      <c r="C11" s="53" t="s">
        <v>63</v>
      </c>
      <c r="F11" s="210">
        <v>1</v>
      </c>
      <c r="G11" s="210">
        <v>2</v>
      </c>
      <c r="H11" s="210">
        <v>3</v>
      </c>
      <c r="I11" s="210">
        <v>4</v>
      </c>
      <c r="J11" s="210">
        <v>5</v>
      </c>
      <c r="K11" s="210">
        <v>6</v>
      </c>
      <c r="L11" s="210">
        <v>7</v>
      </c>
      <c r="M11" s="210">
        <v>8</v>
      </c>
      <c r="N11" s="210">
        <v>9</v>
      </c>
      <c r="O11" s="210">
        <v>10</v>
      </c>
      <c r="P11" s="210">
        <v>11</v>
      </c>
      <c r="Q11" s="210">
        <v>12</v>
      </c>
      <c r="R11" s="119"/>
      <c r="U11" s="120"/>
      <c r="V11" s="40"/>
      <c r="X11" s="40"/>
      <c r="Y11" s="40"/>
      <c r="Z11" s="40"/>
      <c r="AA11" s="40"/>
    </row>
    <row r="12" spans="2:30" ht="15.6" x14ac:dyDescent="0.3">
      <c r="C12" s="114"/>
      <c r="D12" s="112"/>
      <c r="E12" s="114"/>
      <c r="F12" s="124">
        <f>'Energy Prices'!$C$6</f>
        <v>2020</v>
      </c>
      <c r="G12" s="124">
        <f>F12+1</f>
        <v>2021</v>
      </c>
      <c r="H12" s="124">
        <f>G12+1</f>
        <v>2022</v>
      </c>
      <c r="I12" s="124">
        <f t="shared" ref="I12:O12" si="2">H12+1</f>
        <v>2023</v>
      </c>
      <c r="J12" s="124">
        <f t="shared" si="2"/>
        <v>2024</v>
      </c>
      <c r="K12" s="124">
        <f t="shared" si="2"/>
        <v>2025</v>
      </c>
      <c r="L12" s="124">
        <f t="shared" si="2"/>
        <v>2026</v>
      </c>
      <c r="M12" s="124">
        <f t="shared" si="2"/>
        <v>2027</v>
      </c>
      <c r="N12" s="124">
        <f t="shared" si="2"/>
        <v>2028</v>
      </c>
      <c r="O12" s="124">
        <f t="shared" si="2"/>
        <v>2029</v>
      </c>
      <c r="P12" s="124">
        <f>O12+1</f>
        <v>2030</v>
      </c>
      <c r="Q12" s="124">
        <f>P12+1</f>
        <v>2031</v>
      </c>
      <c r="R12" s="119"/>
      <c r="U12" s="120"/>
      <c r="V12" s="208"/>
      <c r="X12" s="202" t="s">
        <v>84</v>
      </c>
      <c r="Y12" s="32"/>
      <c r="Z12" s="120"/>
      <c r="AA12" s="120"/>
    </row>
    <row r="13" spans="2:30" ht="52.95" customHeight="1" x14ac:dyDescent="0.25">
      <c r="B13" s="114"/>
      <c r="C13" s="212" t="s">
        <v>87</v>
      </c>
      <c r="D13" s="114"/>
      <c r="F13" s="156">
        <f t="shared" ref="F13:O13" si="3">F$9*F$20</f>
        <v>23.147619537138883</v>
      </c>
      <c r="G13" s="157">
        <f t="shared" si="3"/>
        <v>23.726310025567351</v>
      </c>
      <c r="H13" s="158">
        <f t="shared" si="3"/>
        <v>24.31946777620653</v>
      </c>
      <c r="I13" s="158">
        <f t="shared" si="3"/>
        <v>24.927454470611693</v>
      </c>
      <c r="J13" s="158">
        <f t="shared" si="3"/>
        <v>25.550640832376985</v>
      </c>
      <c r="K13" s="158">
        <f t="shared" si="3"/>
        <v>26.189406853186409</v>
      </c>
      <c r="L13" s="158">
        <f t="shared" si="3"/>
        <v>26.844142024516064</v>
      </c>
      <c r="M13" s="158">
        <f t="shared" si="3"/>
        <v>27.515245575128958</v>
      </c>
      <c r="N13" s="158">
        <f t="shared" si="3"/>
        <v>28.203126714507182</v>
      </c>
      <c r="O13" s="158">
        <f t="shared" si="3"/>
        <v>28.908204882369859</v>
      </c>
      <c r="P13" s="207">
        <f>O13*1.025</f>
        <v>29.630910004429101</v>
      </c>
      <c r="Q13" s="207">
        <f>P13*1.025</f>
        <v>30.371682754539826</v>
      </c>
      <c r="R13" s="119"/>
      <c r="U13" s="120"/>
      <c r="V13" s="126"/>
      <c r="X13" s="201">
        <f>NPV(Rate_of_Return,F13:O13)</f>
        <v>176.33823687947927</v>
      </c>
      <c r="Y13" s="201">
        <f>-PMT(Rate_of_Return,$E$5,X13)</f>
        <v>25.561116636681003</v>
      </c>
      <c r="Z13" s="126"/>
      <c r="AA13" s="126"/>
      <c r="AD13" s="127"/>
    </row>
    <row r="14" spans="2:30" x14ac:dyDescent="0.25">
      <c r="C14" s="125"/>
      <c r="E14" s="128"/>
      <c r="F14" s="126"/>
      <c r="G14" s="126"/>
      <c r="H14" s="126"/>
      <c r="I14" s="126"/>
      <c r="J14" s="126"/>
      <c r="K14" s="126"/>
      <c r="L14" s="126"/>
      <c r="M14" s="126"/>
      <c r="N14" s="126"/>
      <c r="O14" s="126"/>
      <c r="P14" s="119"/>
      <c r="Q14" s="119"/>
      <c r="R14" s="119"/>
      <c r="U14" s="120"/>
      <c r="V14" s="126"/>
      <c r="X14" s="120"/>
      <c r="Y14" s="120"/>
      <c r="Z14" s="120"/>
      <c r="AA14" s="120"/>
      <c r="AB14" s="120"/>
    </row>
    <row r="15" spans="2:30" x14ac:dyDescent="0.25">
      <c r="C15" s="129"/>
      <c r="E15" s="128"/>
      <c r="F15" s="126"/>
      <c r="G15" s="126"/>
      <c r="H15" s="126"/>
      <c r="I15" s="126"/>
      <c r="J15" s="126"/>
      <c r="K15" s="126"/>
      <c r="L15" s="126"/>
      <c r="M15" s="126"/>
      <c r="N15" s="126"/>
      <c r="O15" s="126"/>
      <c r="P15" s="119"/>
      <c r="Q15" s="119"/>
      <c r="R15" s="119"/>
      <c r="U15" s="120"/>
      <c r="V15" s="126"/>
      <c r="X15" s="120"/>
      <c r="Y15" s="120"/>
      <c r="Z15" s="120"/>
      <c r="AA15" s="120"/>
      <c r="AB15" s="120"/>
    </row>
    <row r="16" spans="2:30" x14ac:dyDescent="0.25">
      <c r="C16" s="53" t="s">
        <v>10</v>
      </c>
      <c r="P16" s="119"/>
      <c r="Q16" s="119"/>
      <c r="R16" s="119"/>
      <c r="U16" s="120"/>
    </row>
    <row r="17" spans="2:27" x14ac:dyDescent="0.25">
      <c r="P17" s="119"/>
      <c r="Q17" s="119"/>
      <c r="R17" s="119"/>
      <c r="U17" s="120"/>
    </row>
    <row r="18" spans="2:27" ht="15.6" x14ac:dyDescent="0.3">
      <c r="C18" s="114"/>
      <c r="D18" s="114"/>
      <c r="E18" s="114"/>
      <c r="F18" s="114"/>
      <c r="G18" s="114"/>
      <c r="H18" s="114"/>
      <c r="I18" s="114"/>
      <c r="J18" s="114"/>
      <c r="K18" s="114"/>
      <c r="L18" s="114"/>
      <c r="M18" s="114"/>
      <c r="N18" s="114"/>
      <c r="O18" s="114"/>
      <c r="P18" s="119"/>
      <c r="Q18" s="119"/>
      <c r="R18" s="119"/>
      <c r="U18" s="120"/>
      <c r="X18" s="202" t="s">
        <v>84</v>
      </c>
      <c r="Y18" s="114"/>
    </row>
    <row r="19" spans="2:27" x14ac:dyDescent="0.25">
      <c r="C19" s="121" t="s">
        <v>11</v>
      </c>
      <c r="D19" s="121"/>
      <c r="E19" s="121"/>
      <c r="F19" s="140">
        <v>100</v>
      </c>
      <c r="G19" s="140">
        <f t="shared" ref="G19:O19" si="4">F19*1.025</f>
        <v>102.49999999999999</v>
      </c>
      <c r="H19" s="140">
        <f t="shared" si="4"/>
        <v>105.06249999999997</v>
      </c>
      <c r="I19" s="140">
        <f t="shared" si="4"/>
        <v>107.68906249999996</v>
      </c>
      <c r="J19" s="140">
        <f t="shared" si="4"/>
        <v>110.38128906249996</v>
      </c>
      <c r="K19" s="140">
        <f t="shared" si="4"/>
        <v>113.14082128906244</v>
      </c>
      <c r="L19" s="140">
        <f>K19*1.025</f>
        <v>115.96934182128899</v>
      </c>
      <c r="M19" s="140">
        <f t="shared" si="4"/>
        <v>118.8685753668212</v>
      </c>
      <c r="N19" s="140">
        <f t="shared" si="4"/>
        <v>121.84028975099173</v>
      </c>
      <c r="O19" s="140">
        <f t="shared" si="4"/>
        <v>124.88629699476651</v>
      </c>
      <c r="P19" s="119"/>
      <c r="Q19" s="119"/>
      <c r="R19" s="119"/>
      <c r="U19" s="120"/>
      <c r="V19" s="130"/>
      <c r="X19" s="201">
        <f>NPV(Rate_of_Return,F19:O19)</f>
        <v>761.7985797483658</v>
      </c>
      <c r="Y19" s="201">
        <f>-PMT(Rate_of_Return,$E$5,X19)</f>
        <v>110.42654557057071</v>
      </c>
      <c r="Z19" s="120"/>
      <c r="AA19" s="120"/>
    </row>
    <row r="20" spans="2:27" x14ac:dyDescent="0.25">
      <c r="C20" s="143" t="s">
        <v>12</v>
      </c>
      <c r="D20" s="143"/>
      <c r="E20" s="143"/>
      <c r="F20" s="144">
        <f t="shared" ref="F20:O20" si="5">F19/$Y$19</f>
        <v>0.90557935579079241</v>
      </c>
      <c r="G20" s="144">
        <f t="shared" si="5"/>
        <v>0.92821883968556207</v>
      </c>
      <c r="H20" s="144">
        <f t="shared" si="5"/>
        <v>0.95142431067770095</v>
      </c>
      <c r="I20" s="144">
        <f t="shared" si="5"/>
        <v>0.97520991844464344</v>
      </c>
      <c r="J20" s="144">
        <f t="shared" si="5"/>
        <v>0.99959016640575948</v>
      </c>
      <c r="K20" s="144">
        <f t="shared" si="5"/>
        <v>1.0245799205659034</v>
      </c>
      <c r="L20" s="144">
        <f t="shared" si="5"/>
        <v>1.0501944185800509</v>
      </c>
      <c r="M20" s="144">
        <f t="shared" si="5"/>
        <v>1.0764492790445519</v>
      </c>
      <c r="N20" s="144">
        <f t="shared" si="5"/>
        <v>1.1033605110206657</v>
      </c>
      <c r="O20" s="144">
        <f t="shared" si="5"/>
        <v>1.1309445237961822</v>
      </c>
      <c r="P20" s="119"/>
      <c r="Q20" s="119"/>
      <c r="R20" s="119"/>
      <c r="U20" s="120"/>
      <c r="V20" s="131"/>
      <c r="X20" s="201">
        <f>NPV(Rate_of_Return,F20:O20)</f>
        <v>6.8986906709086568</v>
      </c>
      <c r="Y20" s="201">
        <f>-PMT(Rate_of_Return,$E$5,X20)</f>
        <v>1.0000000000000002</v>
      </c>
      <c r="Z20" s="120"/>
      <c r="AA20" s="120"/>
    </row>
    <row r="21" spans="2:27" x14ac:dyDescent="0.25">
      <c r="C21" s="114"/>
      <c r="D21" s="114"/>
      <c r="E21" s="141"/>
      <c r="F21" s="141"/>
      <c r="G21" s="141"/>
      <c r="H21" s="141"/>
      <c r="I21" s="141"/>
      <c r="J21" s="141"/>
      <c r="K21" s="141"/>
      <c r="L21" s="141"/>
      <c r="M21" s="142"/>
      <c r="N21" s="142"/>
      <c r="O21" s="142"/>
      <c r="P21" s="142"/>
      <c r="Q21" s="142"/>
      <c r="R21" s="142"/>
      <c r="S21" s="142"/>
      <c r="T21" s="142"/>
      <c r="W21" s="114"/>
      <c r="X21" s="114"/>
    </row>
    <row r="22" spans="2:27" x14ac:dyDescent="0.25">
      <c r="B22" s="132" t="s">
        <v>13</v>
      </c>
      <c r="C22" s="133"/>
      <c r="D22" s="134"/>
      <c r="E22" s="134"/>
      <c r="F22" s="134"/>
      <c r="G22" s="134"/>
      <c r="H22" s="134"/>
      <c r="I22" s="134"/>
      <c r="J22" s="134"/>
      <c r="K22" s="134"/>
      <c r="L22" s="134"/>
      <c r="M22" s="134"/>
      <c r="N22" s="134"/>
      <c r="O22" s="134"/>
      <c r="Y22" s="129"/>
    </row>
    <row r="23" spans="2:27" x14ac:dyDescent="0.25">
      <c r="B23" s="135">
        <v>1</v>
      </c>
      <c r="C23" s="301" t="s">
        <v>143</v>
      </c>
      <c r="D23" s="134"/>
      <c r="E23" s="134"/>
      <c r="F23" s="134"/>
      <c r="G23" s="134"/>
      <c r="H23" s="134"/>
      <c r="I23" s="134"/>
      <c r="J23" s="134"/>
      <c r="K23" s="134"/>
      <c r="L23" s="134"/>
      <c r="M23" s="134"/>
      <c r="N23" s="134"/>
      <c r="O23" s="134"/>
      <c r="Y23" s="125"/>
    </row>
    <row r="24" spans="2:27" x14ac:dyDescent="0.25">
      <c r="B24" s="135">
        <v>2</v>
      </c>
      <c r="C24" s="134" t="s">
        <v>119</v>
      </c>
      <c r="D24" s="134"/>
      <c r="E24" s="134"/>
      <c r="F24" s="134"/>
      <c r="G24" s="134"/>
      <c r="H24" s="134"/>
      <c r="I24" s="134"/>
      <c r="J24" s="134"/>
      <c r="K24" s="134"/>
      <c r="L24" s="134"/>
      <c r="M24" s="134"/>
      <c r="N24" s="134"/>
      <c r="O24" s="134"/>
      <c r="Y24" s="126"/>
    </row>
    <row r="25" spans="2:27" x14ac:dyDescent="0.25">
      <c r="B25" s="135">
        <v>3</v>
      </c>
      <c r="C25" s="134" t="s">
        <v>49</v>
      </c>
      <c r="D25" s="134"/>
      <c r="E25" s="134"/>
      <c r="F25" s="134"/>
      <c r="G25" s="134"/>
      <c r="H25" s="134"/>
      <c r="I25" s="134"/>
      <c r="J25" s="134"/>
      <c r="K25" s="134"/>
      <c r="L25" s="134"/>
      <c r="M25" s="134"/>
      <c r="N25" s="134"/>
      <c r="O25" s="134"/>
      <c r="Y25" s="136"/>
    </row>
    <row r="26" spans="2:27" x14ac:dyDescent="0.25">
      <c r="B26" s="135">
        <v>4</v>
      </c>
      <c r="C26" s="134" t="s">
        <v>120</v>
      </c>
      <c r="D26" s="134"/>
      <c r="E26" s="134"/>
      <c r="F26" s="134"/>
      <c r="G26" s="134"/>
      <c r="H26" s="134"/>
      <c r="I26" s="134"/>
      <c r="J26" s="134"/>
      <c r="K26" s="134"/>
      <c r="L26" s="134"/>
      <c r="M26" s="134"/>
      <c r="N26" s="134"/>
      <c r="O26" s="134"/>
      <c r="Y26" s="136"/>
    </row>
    <row r="27" spans="2:27" x14ac:dyDescent="0.25">
      <c r="B27" s="135">
        <v>5</v>
      </c>
      <c r="C27" s="134" t="s">
        <v>89</v>
      </c>
      <c r="D27" s="134"/>
      <c r="E27" s="134"/>
      <c r="F27" s="134"/>
      <c r="G27" s="134"/>
      <c r="H27" s="134"/>
      <c r="I27" s="134"/>
      <c r="J27" s="134"/>
      <c r="K27" s="134"/>
      <c r="L27" s="134"/>
      <c r="M27" s="134"/>
      <c r="N27" s="134"/>
      <c r="O27" s="134"/>
      <c r="Y27" s="125"/>
    </row>
    <row r="28" spans="2:27" x14ac:dyDescent="0.25">
      <c r="B28" s="135">
        <v>6</v>
      </c>
      <c r="C28" s="134" t="s">
        <v>90</v>
      </c>
      <c r="D28" s="134"/>
      <c r="E28" s="134"/>
      <c r="F28" s="134"/>
      <c r="G28" s="134"/>
      <c r="H28" s="134"/>
      <c r="I28" s="134"/>
      <c r="J28" s="134"/>
      <c r="K28" s="134"/>
      <c r="L28" s="134"/>
      <c r="M28" s="134"/>
      <c r="N28" s="134"/>
      <c r="O28" s="134"/>
      <c r="Y28" s="126"/>
    </row>
    <row r="29" spans="2:27" x14ac:dyDescent="0.25">
      <c r="B29" s="135">
        <v>7</v>
      </c>
      <c r="C29" s="134" t="s">
        <v>91</v>
      </c>
      <c r="D29" s="134"/>
      <c r="E29" s="134"/>
      <c r="F29" s="134"/>
      <c r="G29" s="134"/>
      <c r="H29" s="134"/>
      <c r="I29" s="134"/>
      <c r="J29" s="134"/>
      <c r="K29" s="134"/>
      <c r="L29" s="134"/>
      <c r="M29" s="134"/>
      <c r="N29" s="134"/>
      <c r="O29" s="134"/>
      <c r="P29" s="134"/>
      <c r="Q29" s="134"/>
    </row>
    <row r="30" spans="2:27" x14ac:dyDescent="0.25">
      <c r="B30" s="135">
        <v>8</v>
      </c>
      <c r="C30" s="134" t="s">
        <v>58</v>
      </c>
      <c r="D30" s="134"/>
      <c r="E30" s="134"/>
      <c r="F30" s="134"/>
      <c r="G30" s="134"/>
      <c r="H30" s="134"/>
      <c r="I30" s="134"/>
      <c r="J30" s="134"/>
      <c r="K30" s="134"/>
      <c r="L30" s="134"/>
      <c r="M30" s="134"/>
      <c r="N30" s="134"/>
      <c r="O30" s="134"/>
      <c r="P30" s="134"/>
      <c r="Q30" s="134"/>
    </row>
    <row r="31" spans="2:27" x14ac:dyDescent="0.25">
      <c r="B31" s="135">
        <v>9</v>
      </c>
      <c r="C31" s="134" t="s">
        <v>92</v>
      </c>
      <c r="D31" s="134"/>
      <c r="E31" s="134"/>
      <c r="F31" s="134"/>
      <c r="G31" s="134"/>
      <c r="H31" s="134"/>
      <c r="I31" s="134"/>
      <c r="J31" s="134"/>
      <c r="K31" s="134"/>
      <c r="L31" s="134"/>
      <c r="M31" s="134"/>
      <c r="N31" s="134"/>
      <c r="O31" s="134"/>
      <c r="P31" s="134"/>
      <c r="Q31" s="134"/>
    </row>
    <row r="32" spans="2:27"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209"/>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15" t="s">
        <v>94</v>
      </c>
      <c r="D2" s="215"/>
      <c r="E2" s="215"/>
      <c r="F2" s="215"/>
      <c r="G2" s="215"/>
      <c r="H2" s="215"/>
      <c r="I2" s="215"/>
      <c r="J2" s="215"/>
      <c r="K2" s="215"/>
      <c r="L2" s="215"/>
    </row>
    <row r="3" spans="2:31" ht="15.6" x14ac:dyDescent="0.3">
      <c r="C3" s="42" t="s">
        <v>47</v>
      </c>
    </row>
    <row r="4" spans="2:31" s="111" customFormat="1" ht="45" x14ac:dyDescent="0.25">
      <c r="B4" s="110"/>
      <c r="C4" s="145" t="s">
        <v>0</v>
      </c>
      <c r="D4" s="145"/>
      <c r="E4" s="145" t="s">
        <v>1</v>
      </c>
      <c r="F4" s="145" t="s">
        <v>2</v>
      </c>
      <c r="G4" s="145" t="s">
        <v>3</v>
      </c>
      <c r="H4" s="145" t="s">
        <v>4</v>
      </c>
      <c r="I4" s="145" t="s">
        <v>5</v>
      </c>
      <c r="J4" s="145" t="s">
        <v>6</v>
      </c>
      <c r="K4" s="145" t="s">
        <v>7</v>
      </c>
      <c r="L4" s="146" t="s">
        <v>14</v>
      </c>
      <c r="M4" s="146"/>
    </row>
    <row r="5" spans="2:31" x14ac:dyDescent="0.25">
      <c r="C5" s="148"/>
      <c r="D5" s="149"/>
      <c r="E5" s="150">
        <v>15</v>
      </c>
      <c r="F5" s="304">
        <f>+'Capacity Delivered'!$H$5</f>
        <v>6.4000000000000001E-2</v>
      </c>
      <c r="G5" s="151" t="s">
        <v>8</v>
      </c>
      <c r="H5" s="152">
        <f>'Electric EES CE Std Energy'!D23</f>
        <v>2.1416974764849529E-2</v>
      </c>
      <c r="I5" s="153">
        <f>'Wind Avoided Capacity Calcs'!X21</f>
        <v>6.0408125472999532E-3</v>
      </c>
      <c r="J5" s="153">
        <f>H5+I5</f>
        <v>2.7457787312149484E-2</v>
      </c>
      <c r="K5" s="154">
        <f>J5</f>
        <v>2.7457787312149484E-2</v>
      </c>
      <c r="L5" s="155">
        <f>K5*1000</f>
        <v>27.457787312149485</v>
      </c>
      <c r="M5" s="139"/>
    </row>
    <row r="6" spans="2:31" ht="15.6" x14ac:dyDescent="0.3">
      <c r="C6" s="147"/>
      <c r="D6" s="147"/>
      <c r="E6" s="114"/>
      <c r="F6" s="114"/>
      <c r="G6" s="114"/>
      <c r="H6" s="32">
        <f>H5*1000</f>
        <v>21.416974764849531</v>
      </c>
      <c r="I6" s="32">
        <f t="shared" ref="I6:K6" si="0">I5*1000</f>
        <v>6.0408125472999528</v>
      </c>
      <c r="J6" s="32">
        <f t="shared" si="0"/>
        <v>27.457787312149485</v>
      </c>
      <c r="K6" s="32">
        <f t="shared" si="0"/>
        <v>27.457787312149485</v>
      </c>
      <c r="L6" s="116">
        <f>L5*(1-M6)</f>
        <v>26.634053692784999</v>
      </c>
      <c r="M6" s="245">
        <v>0.03</v>
      </c>
      <c r="N6" s="117" t="s">
        <v>41</v>
      </c>
    </row>
    <row r="7" spans="2:31" x14ac:dyDescent="0.25">
      <c r="C7" s="118"/>
      <c r="D7" s="115"/>
      <c r="H7" s="40"/>
      <c r="I7" s="113"/>
      <c r="J7" s="40"/>
      <c r="K7" s="113"/>
      <c r="L7" s="113"/>
      <c r="M7" s="114"/>
    </row>
    <row r="8" spans="2:31" ht="15.6" x14ac:dyDescent="0.3">
      <c r="C8" s="114"/>
      <c r="D8" s="114"/>
      <c r="E8" s="114"/>
      <c r="F8" s="114"/>
      <c r="G8" s="114"/>
      <c r="H8" s="119"/>
      <c r="I8" s="119"/>
      <c r="J8" s="119"/>
      <c r="K8" s="119"/>
      <c r="L8" s="119"/>
      <c r="M8" s="119"/>
      <c r="N8" s="119"/>
      <c r="O8" s="119"/>
      <c r="P8" s="119"/>
      <c r="Q8" s="119"/>
      <c r="R8" s="119"/>
      <c r="S8" s="119"/>
      <c r="T8" s="119"/>
      <c r="U8" s="120"/>
      <c r="V8" s="120"/>
      <c r="W8" s="120"/>
      <c r="X8" s="202" t="s">
        <v>84</v>
      </c>
      <c r="Y8" s="120"/>
      <c r="Z8" s="120"/>
      <c r="AA8" s="120"/>
      <c r="AB8" s="120"/>
      <c r="AC8" s="120"/>
    </row>
    <row r="9" spans="2:31" x14ac:dyDescent="0.25">
      <c r="C9" s="121" t="s">
        <v>9</v>
      </c>
      <c r="D9" s="121"/>
      <c r="E9" s="121"/>
      <c r="F9" s="122">
        <f>+L6</f>
        <v>26.634053692784999</v>
      </c>
      <c r="G9" s="122">
        <f t="shared" ref="G9:T9" si="1">F9</f>
        <v>26.634053692784999</v>
      </c>
      <c r="H9" s="122">
        <f t="shared" si="1"/>
        <v>26.634053692784999</v>
      </c>
      <c r="I9" s="122">
        <f t="shared" si="1"/>
        <v>26.634053692784999</v>
      </c>
      <c r="J9" s="122">
        <f t="shared" si="1"/>
        <v>26.634053692784999</v>
      </c>
      <c r="K9" s="122">
        <f t="shared" si="1"/>
        <v>26.634053692784999</v>
      </c>
      <c r="L9" s="122">
        <f t="shared" si="1"/>
        <v>26.634053692784999</v>
      </c>
      <c r="M9" s="122">
        <f t="shared" si="1"/>
        <v>26.634053692784999</v>
      </c>
      <c r="N9" s="122">
        <f t="shared" si="1"/>
        <v>26.634053692784999</v>
      </c>
      <c r="O9" s="122">
        <f t="shared" si="1"/>
        <v>26.634053692784999</v>
      </c>
      <c r="P9" s="122">
        <f t="shared" si="1"/>
        <v>26.634053692784999</v>
      </c>
      <c r="Q9" s="122">
        <f t="shared" si="1"/>
        <v>26.634053692784999</v>
      </c>
      <c r="R9" s="122">
        <f t="shared" si="1"/>
        <v>26.634053692784999</v>
      </c>
      <c r="S9" s="122">
        <f t="shared" si="1"/>
        <v>26.634053692784999</v>
      </c>
      <c r="T9" s="122">
        <f t="shared" si="1"/>
        <v>26.634053692784999</v>
      </c>
      <c r="U9" s="40"/>
      <c r="V9" s="40"/>
      <c r="W9" s="40"/>
      <c r="X9" s="201">
        <f>NPV(Rate_of_Return,F9:T9)</f>
        <v>236.7165075790449</v>
      </c>
      <c r="Y9" s="201">
        <f>-PMT(Rate_of_Return,15,X9)</f>
        <v>26.634053692784985</v>
      </c>
      <c r="Z9" s="40"/>
      <c r="AA9" s="40"/>
      <c r="AB9" s="40"/>
    </row>
    <row r="10" spans="2:31" x14ac:dyDescent="0.25">
      <c r="C10" s="114"/>
      <c r="D10" s="114"/>
      <c r="E10" s="114"/>
      <c r="F10" s="123"/>
      <c r="G10" s="123"/>
      <c r="H10" s="123"/>
      <c r="I10" s="123"/>
      <c r="J10" s="123"/>
      <c r="K10" s="123"/>
      <c r="L10" s="123"/>
      <c r="M10" s="123"/>
      <c r="N10" s="123"/>
      <c r="O10" s="123"/>
      <c r="P10" s="123"/>
      <c r="Q10" s="123"/>
      <c r="R10" s="123"/>
      <c r="S10" s="123"/>
      <c r="T10" s="123"/>
      <c r="U10" s="40"/>
      <c r="V10" s="40"/>
      <c r="W10" s="40"/>
      <c r="X10" s="32"/>
      <c r="Y10" s="32"/>
      <c r="Z10" s="40"/>
      <c r="AA10" s="40"/>
      <c r="AB10" s="40"/>
    </row>
    <row r="11" spans="2:31" x14ac:dyDescent="0.25">
      <c r="C11" s="53" t="s">
        <v>63</v>
      </c>
      <c r="F11" s="210">
        <v>1</v>
      </c>
      <c r="G11" s="210">
        <v>2</v>
      </c>
      <c r="H11" s="210">
        <v>3</v>
      </c>
      <c r="I11" s="210">
        <v>4</v>
      </c>
      <c r="J11" s="210">
        <v>5</v>
      </c>
      <c r="K11" s="210">
        <v>6</v>
      </c>
      <c r="L11" s="210">
        <v>7</v>
      </c>
      <c r="M11" s="210">
        <v>8</v>
      </c>
      <c r="N11" s="210">
        <v>9</v>
      </c>
      <c r="O11" s="210">
        <v>10</v>
      </c>
      <c r="P11" s="210">
        <v>11</v>
      </c>
      <c r="Q11" s="210">
        <v>12</v>
      </c>
      <c r="R11" s="210">
        <v>13</v>
      </c>
      <c r="S11" s="210">
        <v>14</v>
      </c>
      <c r="T11" s="210">
        <v>15</v>
      </c>
      <c r="U11" s="210">
        <v>16</v>
      </c>
      <c r="V11" s="210">
        <v>17</v>
      </c>
      <c r="W11" s="40"/>
      <c r="X11" s="40"/>
      <c r="Y11" s="40"/>
      <c r="Z11" s="40"/>
      <c r="AA11" s="40"/>
      <c r="AB11" s="40"/>
    </row>
    <row r="12" spans="2:31" ht="15.6" x14ac:dyDescent="0.3">
      <c r="C12" s="114"/>
      <c r="D12" s="112"/>
      <c r="E12" s="114"/>
      <c r="F12" s="124">
        <f>'Energy Prices'!$C$6</f>
        <v>2020</v>
      </c>
      <c r="G12" s="124">
        <f>F12+1</f>
        <v>2021</v>
      </c>
      <c r="H12" s="124">
        <f>G12+1</f>
        <v>2022</v>
      </c>
      <c r="I12" s="124">
        <f t="shared" ref="I12:T12" si="2">H12+1</f>
        <v>2023</v>
      </c>
      <c r="J12" s="124">
        <f t="shared" si="2"/>
        <v>2024</v>
      </c>
      <c r="K12" s="124">
        <f t="shared" si="2"/>
        <v>2025</v>
      </c>
      <c r="L12" s="124">
        <f t="shared" si="2"/>
        <v>2026</v>
      </c>
      <c r="M12" s="124">
        <f t="shared" si="2"/>
        <v>2027</v>
      </c>
      <c r="N12" s="124">
        <f t="shared" si="2"/>
        <v>2028</v>
      </c>
      <c r="O12" s="124">
        <f t="shared" si="2"/>
        <v>2029</v>
      </c>
      <c r="P12" s="124">
        <f t="shared" si="2"/>
        <v>2030</v>
      </c>
      <c r="Q12" s="124">
        <f t="shared" si="2"/>
        <v>2031</v>
      </c>
      <c r="R12" s="124">
        <f t="shared" si="2"/>
        <v>2032</v>
      </c>
      <c r="S12" s="124">
        <f t="shared" si="2"/>
        <v>2033</v>
      </c>
      <c r="T12" s="124">
        <f t="shared" si="2"/>
        <v>2034</v>
      </c>
      <c r="U12" s="124">
        <f>T12+1</f>
        <v>2035</v>
      </c>
      <c r="V12" s="124">
        <f>U12+1</f>
        <v>2036</v>
      </c>
      <c r="W12" s="208"/>
      <c r="X12" s="202" t="s">
        <v>84</v>
      </c>
      <c r="Y12" s="32"/>
      <c r="Z12" s="120"/>
      <c r="AA12" s="120"/>
      <c r="AB12" s="120"/>
    </row>
    <row r="13" spans="2:31" ht="52.95" customHeight="1" x14ac:dyDescent="0.25">
      <c r="B13" s="114"/>
      <c r="C13" s="212" t="s">
        <v>87</v>
      </c>
      <c r="D13" s="114"/>
      <c r="F13" s="156">
        <f t="shared" ref="F13:T13" si="3">F$9*F$20</f>
        <v>23.015099424242063</v>
      </c>
      <c r="G13" s="157">
        <f t="shared" si="3"/>
        <v>23.59047690984811</v>
      </c>
      <c r="H13" s="158">
        <f t="shared" si="3"/>
        <v>24.180238832594309</v>
      </c>
      <c r="I13" s="158">
        <f t="shared" si="3"/>
        <v>24.784744803409168</v>
      </c>
      <c r="J13" s="158">
        <f t="shared" si="3"/>
        <v>25.404363423494395</v>
      </c>
      <c r="K13" s="158">
        <f t="shared" si="3"/>
        <v>26.039472509081751</v>
      </c>
      <c r="L13" s="158">
        <f t="shared" si="3"/>
        <v>26.690459321808792</v>
      </c>
      <c r="M13" s="158">
        <f t="shared" si="3"/>
        <v>27.357720804854011</v>
      </c>
      <c r="N13" s="158">
        <f t="shared" si="3"/>
        <v>28.041663824975359</v>
      </c>
      <c r="O13" s="158">
        <f t="shared" si="3"/>
        <v>28.742705420599741</v>
      </c>
      <c r="P13" s="158">
        <f t="shared" si="3"/>
        <v>29.461273056114731</v>
      </c>
      <c r="Q13" s="158">
        <f t="shared" si="3"/>
        <v>30.197804882517591</v>
      </c>
      <c r="R13" s="158">
        <f t="shared" si="3"/>
        <v>30.95275000458053</v>
      </c>
      <c r="S13" s="158">
        <f t="shared" si="3"/>
        <v>31.726568754695037</v>
      </c>
      <c r="T13" s="158">
        <f t="shared" si="3"/>
        <v>32.519732973562412</v>
      </c>
      <c r="U13" s="207">
        <f>T13*1.025</f>
        <v>33.332726297901466</v>
      </c>
      <c r="V13" s="207">
        <f>U13*1.025</f>
        <v>34.166044455349002</v>
      </c>
      <c r="W13" s="126"/>
      <c r="X13" s="201">
        <f>NPV(Rate_of_Return,F13:T13)</f>
        <v>236.71650757904504</v>
      </c>
      <c r="Y13" s="201">
        <f>-PMT(Rate_of_Return,15,X13)</f>
        <v>26.634053692785002</v>
      </c>
      <c r="Z13" s="126"/>
      <c r="AA13" s="126"/>
      <c r="AB13" s="126"/>
      <c r="AE13" s="127"/>
    </row>
    <row r="14" spans="2:31" x14ac:dyDescent="0.25">
      <c r="C14" s="125"/>
      <c r="E14" s="128"/>
      <c r="F14" s="126"/>
      <c r="G14" s="126"/>
      <c r="H14" s="126"/>
      <c r="I14" s="126"/>
      <c r="J14" s="126"/>
      <c r="K14" s="126"/>
      <c r="L14" s="126"/>
      <c r="M14" s="126"/>
      <c r="N14" s="126"/>
      <c r="O14" s="126"/>
      <c r="P14" s="126"/>
      <c r="Q14" s="126"/>
      <c r="R14" s="126"/>
      <c r="S14" s="126"/>
      <c r="T14" s="126"/>
      <c r="U14" s="126"/>
      <c r="V14" s="126"/>
      <c r="W14" s="126"/>
      <c r="X14" s="120"/>
      <c r="Y14" s="120"/>
      <c r="Z14" s="120"/>
      <c r="AA14" s="120"/>
      <c r="AB14" s="120"/>
      <c r="AC14" s="120"/>
    </row>
    <row r="15" spans="2:31" x14ac:dyDescent="0.25">
      <c r="C15" s="129"/>
      <c r="E15" s="128"/>
      <c r="F15" s="126"/>
      <c r="G15" s="126"/>
      <c r="H15" s="126"/>
      <c r="I15" s="126"/>
      <c r="J15" s="126"/>
      <c r="K15" s="126"/>
      <c r="L15" s="126"/>
      <c r="M15" s="126"/>
      <c r="N15" s="126"/>
      <c r="O15" s="126"/>
      <c r="P15" s="126"/>
      <c r="Q15" s="126"/>
      <c r="R15" s="126"/>
      <c r="S15" s="126"/>
      <c r="T15" s="126"/>
      <c r="U15" s="126"/>
      <c r="V15" s="126"/>
      <c r="W15" s="126"/>
      <c r="X15" s="120"/>
      <c r="Y15" s="120"/>
      <c r="Z15" s="120"/>
      <c r="AA15" s="120"/>
      <c r="AB15" s="120"/>
      <c r="AC15" s="120"/>
    </row>
    <row r="16" spans="2:31" x14ac:dyDescent="0.25">
      <c r="C16" s="53" t="s">
        <v>10</v>
      </c>
      <c r="Q16" s="120"/>
      <c r="R16" s="120"/>
    </row>
    <row r="17" spans="2:28" x14ac:dyDescent="0.25">
      <c r="Q17" s="120"/>
      <c r="R17" s="120"/>
    </row>
    <row r="18" spans="2:28" ht="15.6" x14ac:dyDescent="0.3">
      <c r="C18" s="114"/>
      <c r="D18" s="114"/>
      <c r="E18" s="114"/>
      <c r="F18" s="114"/>
      <c r="G18" s="114"/>
      <c r="H18" s="114"/>
      <c r="I18" s="114"/>
      <c r="J18" s="114"/>
      <c r="K18" s="114"/>
      <c r="L18" s="114"/>
      <c r="M18" s="114"/>
      <c r="N18" s="114"/>
      <c r="O18" s="114"/>
      <c r="P18" s="114"/>
      <c r="Q18" s="119"/>
      <c r="R18" s="119"/>
      <c r="S18" s="114"/>
      <c r="T18" s="114"/>
      <c r="X18" s="202" t="s">
        <v>84</v>
      </c>
      <c r="Y18" s="114"/>
    </row>
    <row r="19" spans="2:28" x14ac:dyDescent="0.25">
      <c r="C19" s="121" t="s">
        <v>11</v>
      </c>
      <c r="D19" s="121"/>
      <c r="E19" s="121"/>
      <c r="F19" s="140">
        <v>100</v>
      </c>
      <c r="G19" s="140">
        <f t="shared" ref="G19:T19" si="4">F19*1.025</f>
        <v>102.49999999999999</v>
      </c>
      <c r="H19" s="140">
        <f t="shared" si="4"/>
        <v>105.06249999999997</v>
      </c>
      <c r="I19" s="140">
        <f t="shared" si="4"/>
        <v>107.68906249999996</v>
      </c>
      <c r="J19" s="140">
        <f t="shared" si="4"/>
        <v>110.38128906249996</v>
      </c>
      <c r="K19" s="140">
        <f t="shared" si="4"/>
        <v>113.14082128906244</v>
      </c>
      <c r="L19" s="140">
        <f>K19*1.025</f>
        <v>115.96934182128899</v>
      </c>
      <c r="M19" s="140">
        <f t="shared" si="4"/>
        <v>118.8685753668212</v>
      </c>
      <c r="N19" s="140">
        <f t="shared" si="4"/>
        <v>121.84028975099173</v>
      </c>
      <c r="O19" s="140">
        <f t="shared" si="4"/>
        <v>124.88629699476651</v>
      </c>
      <c r="P19" s="140">
        <f t="shared" si="4"/>
        <v>128.00845441963565</v>
      </c>
      <c r="Q19" s="140">
        <f t="shared" si="4"/>
        <v>131.20866578012652</v>
      </c>
      <c r="R19" s="140">
        <f t="shared" si="4"/>
        <v>134.48888242462968</v>
      </c>
      <c r="S19" s="140">
        <f t="shared" si="4"/>
        <v>137.8511044852454</v>
      </c>
      <c r="T19" s="140">
        <f t="shared" si="4"/>
        <v>141.29738209737653</v>
      </c>
      <c r="U19" s="130"/>
      <c r="V19" s="130"/>
      <c r="W19" s="130"/>
      <c r="X19" s="160">
        <f>NPV(Rate_of_Return,F19:T19)</f>
        <v>1028.5269822893265</v>
      </c>
      <c r="Y19" s="160">
        <f>-PMT(Rate_of_Return,15,X19)</f>
        <v>115.72426085081801</v>
      </c>
      <c r="Z19" s="120"/>
      <c r="AA19" s="120"/>
      <c r="AB19" s="120"/>
    </row>
    <row r="20" spans="2:28" x14ac:dyDescent="0.25">
      <c r="C20" s="143" t="s">
        <v>12</v>
      </c>
      <c r="D20" s="143"/>
      <c r="E20" s="143"/>
      <c r="F20" s="144">
        <f>F19/$Y$19</f>
        <v>0.86412303923817313</v>
      </c>
      <c r="G20" s="144">
        <f t="shared" ref="G20:T20" si="5">G19/$Y$19</f>
        <v>0.88572611521912736</v>
      </c>
      <c r="H20" s="144">
        <f t="shared" si="5"/>
        <v>0.90786926809960544</v>
      </c>
      <c r="I20" s="144">
        <f t="shared" si="5"/>
        <v>0.93056599980209553</v>
      </c>
      <c r="J20" s="144">
        <f t="shared" si="5"/>
        <v>0.95383014979714786</v>
      </c>
      <c r="K20" s="144">
        <f t="shared" si="5"/>
        <v>0.97767590354207645</v>
      </c>
      <c r="L20" s="144">
        <f t="shared" si="5"/>
        <v>1.0021178011306282</v>
      </c>
      <c r="M20" s="144">
        <f t="shared" si="5"/>
        <v>1.0271707461588939</v>
      </c>
      <c r="N20" s="144">
        <f t="shared" si="5"/>
        <v>1.0528500148128661</v>
      </c>
      <c r="O20" s="144">
        <f t="shared" si="5"/>
        <v>1.0791712651831877</v>
      </c>
      <c r="P20" s="144">
        <f t="shared" si="5"/>
        <v>1.1061505468127673</v>
      </c>
      <c r="Q20" s="144">
        <f t="shared" si="5"/>
        <v>1.1338043104830862</v>
      </c>
      <c r="R20" s="144">
        <f t="shared" si="5"/>
        <v>1.1621494182451633</v>
      </c>
      <c r="S20" s="144">
        <f t="shared" si="5"/>
        <v>1.1912031537012922</v>
      </c>
      <c r="T20" s="144">
        <f t="shared" si="5"/>
        <v>1.2209832325438243</v>
      </c>
      <c r="U20" s="131"/>
      <c r="V20" s="131"/>
      <c r="W20" s="131"/>
      <c r="X20" s="159">
        <f>NPV(Rate_of_Return,F20:T20)</f>
        <v>8.8877386187431942</v>
      </c>
      <c r="Y20" s="159">
        <f>-PMT(Rate_of_Return,15,X20)</f>
        <v>1</v>
      </c>
      <c r="Z20" s="120"/>
      <c r="AA20" s="120"/>
      <c r="AB20" s="120"/>
    </row>
    <row r="21" spans="2:28" x14ac:dyDescent="0.25">
      <c r="C21" s="114"/>
      <c r="D21" s="114"/>
      <c r="E21" s="141"/>
      <c r="F21" s="141"/>
      <c r="G21" s="141"/>
      <c r="H21" s="141"/>
      <c r="I21" s="141"/>
      <c r="J21" s="141"/>
      <c r="K21" s="141"/>
      <c r="L21" s="141"/>
      <c r="M21" s="142"/>
      <c r="N21" s="142"/>
      <c r="O21" s="142"/>
      <c r="P21" s="142"/>
      <c r="Q21" s="142"/>
      <c r="R21" s="142"/>
      <c r="S21" s="142"/>
      <c r="T21" s="142"/>
      <c r="X21" s="114"/>
      <c r="Y21" s="114"/>
    </row>
    <row r="22" spans="2:28" x14ac:dyDescent="0.25">
      <c r="B22" s="132" t="s">
        <v>13</v>
      </c>
      <c r="C22" s="133"/>
      <c r="D22" s="134"/>
      <c r="E22" s="134"/>
      <c r="F22" s="134"/>
      <c r="G22" s="134"/>
      <c r="H22" s="134"/>
      <c r="I22" s="134"/>
      <c r="J22" s="134"/>
      <c r="K22" s="134"/>
      <c r="L22" s="134"/>
      <c r="M22" s="134"/>
      <c r="N22" s="134"/>
      <c r="O22" s="134"/>
      <c r="Z22" s="129"/>
    </row>
    <row r="23" spans="2:28" x14ac:dyDescent="0.25">
      <c r="B23" s="135">
        <v>1</v>
      </c>
      <c r="C23" s="301" t="s">
        <v>143</v>
      </c>
      <c r="D23" s="134"/>
      <c r="E23" s="134"/>
      <c r="F23" s="134"/>
      <c r="G23" s="134"/>
      <c r="H23" s="134"/>
      <c r="I23" s="134"/>
      <c r="J23" s="134"/>
      <c r="K23" s="134"/>
      <c r="L23" s="134"/>
      <c r="M23" s="134"/>
      <c r="N23" s="134"/>
      <c r="O23" s="134"/>
      <c r="Z23" s="125"/>
    </row>
    <row r="24" spans="2:28" x14ac:dyDescent="0.25">
      <c r="B24" s="135">
        <v>2</v>
      </c>
      <c r="C24" s="134" t="s">
        <v>119</v>
      </c>
      <c r="D24" s="134"/>
      <c r="E24" s="134"/>
      <c r="F24" s="134"/>
      <c r="G24" s="134"/>
      <c r="H24" s="134"/>
      <c r="I24" s="134"/>
      <c r="J24" s="134"/>
      <c r="K24" s="134"/>
      <c r="L24" s="134"/>
      <c r="M24" s="134"/>
      <c r="N24" s="134"/>
      <c r="O24" s="134"/>
      <c r="Z24" s="126"/>
    </row>
    <row r="25" spans="2:28" x14ac:dyDescent="0.25">
      <c r="B25" s="135">
        <v>3</v>
      </c>
      <c r="C25" s="134" t="s">
        <v>49</v>
      </c>
      <c r="D25" s="134"/>
      <c r="E25" s="134"/>
      <c r="F25" s="134"/>
      <c r="G25" s="134"/>
      <c r="H25" s="134"/>
      <c r="I25" s="134"/>
      <c r="J25" s="134"/>
      <c r="K25" s="134"/>
      <c r="L25" s="134"/>
      <c r="M25" s="134"/>
      <c r="N25" s="134"/>
      <c r="O25" s="134"/>
      <c r="Z25" s="136"/>
    </row>
    <row r="26" spans="2:28" x14ac:dyDescent="0.25">
      <c r="B26" s="135">
        <v>4</v>
      </c>
      <c r="C26" s="134" t="s">
        <v>120</v>
      </c>
      <c r="D26" s="134"/>
      <c r="E26" s="134"/>
      <c r="F26" s="134"/>
      <c r="G26" s="134"/>
      <c r="H26" s="134"/>
      <c r="I26" s="134"/>
      <c r="J26" s="134"/>
      <c r="K26" s="134"/>
      <c r="L26" s="134"/>
      <c r="M26" s="134"/>
      <c r="N26" s="134"/>
      <c r="O26" s="134"/>
      <c r="Z26" s="136"/>
    </row>
    <row r="27" spans="2:28" x14ac:dyDescent="0.25">
      <c r="B27" s="135">
        <v>5</v>
      </c>
      <c r="C27" s="134" t="s">
        <v>89</v>
      </c>
      <c r="D27" s="134"/>
      <c r="E27" s="134"/>
      <c r="F27" s="134"/>
      <c r="G27" s="134"/>
      <c r="H27" s="134"/>
      <c r="I27" s="134"/>
      <c r="J27" s="134"/>
      <c r="K27" s="134"/>
      <c r="L27" s="134"/>
      <c r="M27" s="134"/>
      <c r="N27" s="134"/>
      <c r="O27" s="134"/>
      <c r="Z27" s="125"/>
    </row>
    <row r="28" spans="2:28" x14ac:dyDescent="0.25">
      <c r="B28" s="135">
        <v>6</v>
      </c>
      <c r="C28" s="134" t="s">
        <v>90</v>
      </c>
      <c r="D28" s="134"/>
      <c r="E28" s="134"/>
      <c r="F28" s="134"/>
      <c r="G28" s="134"/>
      <c r="H28" s="134"/>
      <c r="I28" s="134"/>
      <c r="J28" s="134"/>
      <c r="K28" s="134"/>
      <c r="L28" s="134"/>
      <c r="M28" s="134"/>
      <c r="N28" s="134"/>
      <c r="O28" s="134"/>
      <c r="Z28" s="126"/>
    </row>
    <row r="29" spans="2:28" x14ac:dyDescent="0.25">
      <c r="B29" s="135">
        <v>7</v>
      </c>
      <c r="C29" s="134" t="s">
        <v>91</v>
      </c>
      <c r="D29" s="134"/>
      <c r="E29" s="134"/>
      <c r="F29" s="134"/>
      <c r="G29" s="134"/>
      <c r="H29" s="134"/>
      <c r="I29" s="134"/>
      <c r="J29" s="134"/>
      <c r="K29" s="134"/>
      <c r="L29" s="134"/>
      <c r="M29" s="134"/>
      <c r="N29" s="134"/>
      <c r="O29" s="134"/>
      <c r="P29" s="134"/>
      <c r="Q29" s="134"/>
    </row>
    <row r="30" spans="2:28" x14ac:dyDescent="0.25">
      <c r="B30" s="135">
        <v>8</v>
      </c>
      <c r="C30" s="134" t="s">
        <v>58</v>
      </c>
      <c r="D30" s="134"/>
      <c r="E30" s="134"/>
      <c r="F30" s="134"/>
      <c r="G30" s="134"/>
      <c r="H30" s="134"/>
      <c r="I30" s="134"/>
      <c r="J30" s="134"/>
      <c r="K30" s="134"/>
      <c r="L30" s="134"/>
      <c r="M30" s="134"/>
      <c r="N30" s="134"/>
      <c r="O30" s="134"/>
      <c r="P30" s="134"/>
      <c r="Q30" s="134"/>
    </row>
    <row r="31" spans="2:28" x14ac:dyDescent="0.25">
      <c r="B31" s="135">
        <v>9</v>
      </c>
      <c r="C31" s="134" t="s">
        <v>92</v>
      </c>
      <c r="D31" s="134"/>
      <c r="E31" s="134"/>
      <c r="F31" s="134"/>
      <c r="G31" s="134"/>
      <c r="H31" s="134"/>
      <c r="I31" s="134"/>
      <c r="J31" s="134"/>
      <c r="K31" s="134"/>
      <c r="L31" s="134"/>
      <c r="M31" s="134"/>
      <c r="N31" s="134"/>
      <c r="O31" s="134"/>
      <c r="P31" s="134"/>
      <c r="Q31" s="134"/>
    </row>
    <row r="32" spans="2:28"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209"/>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17" width="12.6640625" style="53" customWidth="1"/>
    <col min="18" max="20" width="12.6640625" customWidth="1"/>
    <col min="21"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15" t="s">
        <v>94</v>
      </c>
      <c r="D2" s="215"/>
      <c r="E2" s="215"/>
      <c r="F2" s="215"/>
      <c r="G2" s="215"/>
      <c r="H2" s="215"/>
      <c r="I2" s="215"/>
      <c r="J2" s="215"/>
      <c r="K2" s="215"/>
      <c r="L2" s="215"/>
    </row>
    <row r="3" spans="2:30" ht="15.6" x14ac:dyDescent="0.3">
      <c r="C3" s="42" t="s">
        <v>48</v>
      </c>
    </row>
    <row r="4" spans="2:30" s="111" customFormat="1" ht="45" x14ac:dyDescent="0.25">
      <c r="B4" s="110"/>
      <c r="C4" s="145" t="s">
        <v>0</v>
      </c>
      <c r="D4" s="145"/>
      <c r="E4" s="145" t="s">
        <v>1</v>
      </c>
      <c r="F4" s="145" t="s">
        <v>2</v>
      </c>
      <c r="G4" s="145" t="s">
        <v>3</v>
      </c>
      <c r="H4" s="145" t="s">
        <v>4</v>
      </c>
      <c r="I4" s="145" t="s">
        <v>5</v>
      </c>
      <c r="J4" s="145" t="s">
        <v>6</v>
      </c>
      <c r="K4" s="145" t="s">
        <v>7</v>
      </c>
      <c r="L4" s="146" t="s">
        <v>14</v>
      </c>
      <c r="M4" s="146"/>
    </row>
    <row r="5" spans="2:30" x14ac:dyDescent="0.25">
      <c r="C5" s="148"/>
      <c r="D5" s="149"/>
      <c r="E5" s="150">
        <v>10</v>
      </c>
      <c r="F5" s="304">
        <f>+'Capacity Delivered'!$I$5</f>
        <v>0.01</v>
      </c>
      <c r="G5" s="151" t="s">
        <v>8</v>
      </c>
      <c r="H5" s="152">
        <f>'Electric EES CE Std Energy'!D18</f>
        <v>2.0487127178907497E-2</v>
      </c>
      <c r="I5" s="153">
        <f>'Solar Avoided Capacity Calcs'!X16</f>
        <v>4.2613429819167116E-3</v>
      </c>
      <c r="J5" s="153">
        <f>H5+I5</f>
        <v>2.474847016082421E-2</v>
      </c>
      <c r="K5" s="154">
        <f>J5</f>
        <v>2.474847016082421E-2</v>
      </c>
      <c r="L5" s="155">
        <f>K5*1000</f>
        <v>24.748470160824208</v>
      </c>
      <c r="M5" s="139"/>
    </row>
    <row r="6" spans="2:30" ht="15.6" x14ac:dyDescent="0.3">
      <c r="C6" s="147"/>
      <c r="D6" s="147"/>
      <c r="E6" s="114"/>
      <c r="F6" s="114"/>
      <c r="G6" s="114"/>
      <c r="H6" s="32">
        <f>H5*1000</f>
        <v>20.487127178907496</v>
      </c>
      <c r="I6" s="32">
        <f t="shared" ref="I6:K6" si="0">I5*1000</f>
        <v>4.2613429819167115</v>
      </c>
      <c r="J6" s="32">
        <f t="shared" si="0"/>
        <v>24.748470160824208</v>
      </c>
      <c r="K6" s="32">
        <f t="shared" si="0"/>
        <v>24.748470160824208</v>
      </c>
      <c r="L6" s="116">
        <f>L5*(1-M6)</f>
        <v>24.006016055999481</v>
      </c>
      <c r="M6" s="245">
        <v>0.03</v>
      </c>
      <c r="N6" s="117" t="s">
        <v>41</v>
      </c>
    </row>
    <row r="7" spans="2:30" x14ac:dyDescent="0.25">
      <c r="C7" s="118"/>
      <c r="D7" s="115"/>
      <c r="H7" s="40"/>
      <c r="I7" s="113"/>
      <c r="J7" s="40"/>
      <c r="K7" s="113"/>
      <c r="L7" s="113"/>
      <c r="M7" s="114"/>
    </row>
    <row r="8" spans="2:30" ht="15.6" x14ac:dyDescent="0.3">
      <c r="C8" s="114"/>
      <c r="D8" s="114"/>
      <c r="E8" s="114"/>
      <c r="F8" s="114"/>
      <c r="G8" s="114"/>
      <c r="H8" s="119"/>
      <c r="I8" s="119"/>
      <c r="J8" s="119"/>
      <c r="K8" s="119"/>
      <c r="L8" s="119"/>
      <c r="M8" s="119"/>
      <c r="N8" s="119"/>
      <c r="O8" s="119"/>
      <c r="P8" s="119"/>
      <c r="Q8" s="119"/>
      <c r="U8" s="120"/>
      <c r="V8" s="120"/>
      <c r="W8" s="119"/>
      <c r="X8" s="202" t="s">
        <v>84</v>
      </c>
      <c r="Y8" s="120"/>
      <c r="Z8" s="120"/>
    </row>
    <row r="9" spans="2:30" x14ac:dyDescent="0.25">
      <c r="C9" s="121" t="s">
        <v>9</v>
      </c>
      <c r="D9" s="121"/>
      <c r="E9" s="121"/>
      <c r="F9" s="122">
        <f>+L6</f>
        <v>24.006016055999481</v>
      </c>
      <c r="G9" s="122">
        <f t="shared" ref="G9:O9" si="1">F9</f>
        <v>24.006016055999481</v>
      </c>
      <c r="H9" s="122">
        <f t="shared" si="1"/>
        <v>24.006016055999481</v>
      </c>
      <c r="I9" s="122">
        <f t="shared" si="1"/>
        <v>24.006016055999481</v>
      </c>
      <c r="J9" s="122">
        <f t="shared" si="1"/>
        <v>24.006016055999481</v>
      </c>
      <c r="K9" s="122">
        <f t="shared" si="1"/>
        <v>24.006016055999481</v>
      </c>
      <c r="L9" s="122">
        <f t="shared" si="1"/>
        <v>24.006016055999481</v>
      </c>
      <c r="M9" s="122">
        <f t="shared" si="1"/>
        <v>24.006016055999481</v>
      </c>
      <c r="N9" s="122">
        <f t="shared" si="1"/>
        <v>24.006016055999481</v>
      </c>
      <c r="O9" s="122">
        <f t="shared" si="1"/>
        <v>24.006016055999481</v>
      </c>
      <c r="V9" s="40"/>
      <c r="X9" s="201">
        <f>NPV(Rate_of_Return,F9:O9)</f>
        <v>165.61007901120701</v>
      </c>
      <c r="Y9" s="201">
        <f>-PMT(Rate_of_Return,$E$5,X9)</f>
        <v>24.006016055999478</v>
      </c>
      <c r="Z9" s="40"/>
    </row>
    <row r="10" spans="2:30" x14ac:dyDescent="0.25">
      <c r="C10" s="114"/>
      <c r="D10" s="114"/>
      <c r="E10" s="114"/>
      <c r="F10" s="123"/>
      <c r="G10" s="123"/>
      <c r="H10" s="123"/>
      <c r="I10" s="123"/>
      <c r="J10" s="123"/>
      <c r="K10" s="123"/>
      <c r="L10" s="123"/>
      <c r="M10" s="123"/>
      <c r="N10" s="123"/>
      <c r="O10" s="123"/>
      <c r="P10" s="119"/>
      <c r="Q10" s="119"/>
      <c r="U10" s="120"/>
      <c r="V10" s="40"/>
      <c r="W10" s="119"/>
      <c r="X10" s="32"/>
      <c r="Y10" s="32"/>
      <c r="Z10" s="40"/>
    </row>
    <row r="11" spans="2:30" x14ac:dyDescent="0.25">
      <c r="C11" s="53" t="s">
        <v>63</v>
      </c>
      <c r="F11" s="210">
        <v>1</v>
      </c>
      <c r="G11" s="210">
        <v>2</v>
      </c>
      <c r="H11" s="210">
        <v>3</v>
      </c>
      <c r="I11" s="210">
        <v>4</v>
      </c>
      <c r="J11" s="210">
        <v>5</v>
      </c>
      <c r="K11" s="210">
        <v>6</v>
      </c>
      <c r="L11" s="210">
        <v>7</v>
      </c>
      <c r="M11" s="210">
        <v>8</v>
      </c>
      <c r="N11" s="210">
        <v>9</v>
      </c>
      <c r="O11" s="210">
        <v>10</v>
      </c>
      <c r="P11" s="210">
        <v>11</v>
      </c>
      <c r="Q11" s="210">
        <v>12</v>
      </c>
      <c r="V11" s="40"/>
      <c r="X11" s="40"/>
      <c r="Y11" s="40"/>
      <c r="Z11" s="40"/>
    </row>
    <row r="12" spans="2:30" ht="15.6" x14ac:dyDescent="0.3">
      <c r="C12" s="114"/>
      <c r="D12" s="112"/>
      <c r="E12" s="114"/>
      <c r="F12" s="124">
        <f>'Energy Prices'!$C$6</f>
        <v>2020</v>
      </c>
      <c r="G12" s="124">
        <f>F12+1</f>
        <v>2021</v>
      </c>
      <c r="H12" s="124">
        <f>G12+1</f>
        <v>2022</v>
      </c>
      <c r="I12" s="124">
        <f t="shared" ref="I12:O12" si="2">H12+1</f>
        <v>2023</v>
      </c>
      <c r="J12" s="124">
        <f t="shared" si="2"/>
        <v>2024</v>
      </c>
      <c r="K12" s="124">
        <f t="shared" si="2"/>
        <v>2025</v>
      </c>
      <c r="L12" s="124">
        <f t="shared" si="2"/>
        <v>2026</v>
      </c>
      <c r="M12" s="124">
        <f t="shared" si="2"/>
        <v>2027</v>
      </c>
      <c r="N12" s="124">
        <f t="shared" si="2"/>
        <v>2028</v>
      </c>
      <c r="O12" s="124">
        <f t="shared" si="2"/>
        <v>2029</v>
      </c>
      <c r="P12" s="124">
        <f>O12+1</f>
        <v>2030</v>
      </c>
      <c r="Q12" s="124">
        <f>P12+1</f>
        <v>2031</v>
      </c>
      <c r="U12" s="120"/>
      <c r="V12" s="208"/>
      <c r="W12" s="119"/>
      <c r="X12" s="202" t="s">
        <v>84</v>
      </c>
      <c r="Y12" s="32"/>
      <c r="Z12" s="120"/>
    </row>
    <row r="13" spans="2:30" ht="52.95" customHeight="1" x14ac:dyDescent="0.25">
      <c r="B13" s="114"/>
      <c r="C13" s="211" t="s">
        <v>88</v>
      </c>
      <c r="D13" s="114"/>
      <c r="F13" s="156">
        <f t="shared" ref="F13:O13" si="3">F$9*F$20</f>
        <v>21.739352555095429</v>
      </c>
      <c r="G13" s="157">
        <f t="shared" si="3"/>
        <v>22.282836368972813</v>
      </c>
      <c r="H13" s="158">
        <f t="shared" si="3"/>
        <v>22.839907278197128</v>
      </c>
      <c r="I13" s="158">
        <f t="shared" si="3"/>
        <v>23.410904960152056</v>
      </c>
      <c r="J13" s="158">
        <f t="shared" si="3"/>
        <v>23.996177584155856</v>
      </c>
      <c r="K13" s="158">
        <f t="shared" si="3"/>
        <v>24.596082023759749</v>
      </c>
      <c r="L13" s="158">
        <f t="shared" si="3"/>
        <v>25.210984074353743</v>
      </c>
      <c r="M13" s="158">
        <f t="shared" si="3"/>
        <v>25.841258676212579</v>
      </c>
      <c r="N13" s="158">
        <f t="shared" si="3"/>
        <v>26.487290143117892</v>
      </c>
      <c r="O13" s="158">
        <f t="shared" si="3"/>
        <v>27.149472396695835</v>
      </c>
      <c r="P13" s="207">
        <f>O13*1.025</f>
        <v>27.828209206613227</v>
      </c>
      <c r="Q13" s="207">
        <f>P13*1.025</f>
        <v>28.523914436778554</v>
      </c>
      <c r="V13" s="126"/>
      <c r="X13" s="201">
        <f>NPV(Rate_of_Return,F13:O13)</f>
        <v>165.61007901120706</v>
      </c>
      <c r="Y13" s="201">
        <f>-PMT(Rate_of_Return,$E$5,X13)</f>
        <v>24.006016055999488</v>
      </c>
      <c r="Z13" s="126"/>
      <c r="AD13" s="127"/>
    </row>
    <row r="14" spans="2:30" x14ac:dyDescent="0.25">
      <c r="C14" s="125"/>
      <c r="E14" s="128"/>
      <c r="F14" s="126"/>
      <c r="G14" s="126"/>
      <c r="H14" s="126"/>
      <c r="I14" s="126"/>
      <c r="J14" s="126"/>
      <c r="K14" s="126"/>
      <c r="L14" s="126"/>
      <c r="M14" s="126"/>
      <c r="N14" s="126"/>
      <c r="O14" s="126"/>
      <c r="P14" s="119"/>
      <c r="Q14" s="119"/>
      <c r="U14" s="120"/>
      <c r="V14" s="126"/>
      <c r="W14" s="119"/>
      <c r="X14" s="120"/>
      <c r="Y14" s="120"/>
      <c r="Z14" s="120"/>
    </row>
    <row r="15" spans="2:30" x14ac:dyDescent="0.25">
      <c r="C15" s="129"/>
      <c r="E15" s="128"/>
      <c r="F15" s="126"/>
      <c r="G15" s="126"/>
      <c r="H15" s="126"/>
      <c r="I15" s="126"/>
      <c r="J15" s="126"/>
      <c r="K15" s="126"/>
      <c r="L15" s="126"/>
      <c r="M15" s="126"/>
      <c r="N15" s="126"/>
      <c r="O15" s="126"/>
      <c r="V15" s="126"/>
      <c r="X15" s="120"/>
      <c r="Y15" s="120"/>
      <c r="Z15" s="120"/>
    </row>
    <row r="16" spans="2:30" x14ac:dyDescent="0.25">
      <c r="C16" s="53" t="s">
        <v>10</v>
      </c>
      <c r="P16" s="119"/>
      <c r="Q16" s="119"/>
      <c r="U16" s="120"/>
      <c r="W16" s="119"/>
    </row>
    <row r="18" spans="2:26" ht="15.6" x14ac:dyDescent="0.3">
      <c r="C18" s="114"/>
      <c r="D18" s="114"/>
      <c r="E18" s="114"/>
      <c r="F18" s="114"/>
      <c r="G18" s="114"/>
      <c r="H18" s="114"/>
      <c r="I18" s="114"/>
      <c r="J18" s="114"/>
      <c r="K18" s="114"/>
      <c r="L18" s="114"/>
      <c r="M18" s="114"/>
      <c r="N18" s="114"/>
      <c r="O18" s="114"/>
      <c r="P18" s="119"/>
      <c r="Q18" s="119"/>
      <c r="U18" s="120"/>
      <c r="W18" s="119"/>
      <c r="X18" s="202" t="s">
        <v>84</v>
      </c>
      <c r="Y18" s="114"/>
    </row>
    <row r="19" spans="2:26" x14ac:dyDescent="0.25">
      <c r="C19" s="121" t="s">
        <v>11</v>
      </c>
      <c r="D19" s="121"/>
      <c r="E19" s="121"/>
      <c r="F19" s="140">
        <v>100</v>
      </c>
      <c r="G19" s="140">
        <f t="shared" ref="G19:O19" si="4">F19*1.025</f>
        <v>102.49999999999999</v>
      </c>
      <c r="H19" s="140">
        <f t="shared" si="4"/>
        <v>105.06249999999997</v>
      </c>
      <c r="I19" s="140">
        <f t="shared" si="4"/>
        <v>107.68906249999996</v>
      </c>
      <c r="J19" s="140">
        <f t="shared" si="4"/>
        <v>110.38128906249996</v>
      </c>
      <c r="K19" s="140">
        <f t="shared" si="4"/>
        <v>113.14082128906244</v>
      </c>
      <c r="L19" s="140">
        <f t="shared" si="4"/>
        <v>115.96934182128899</v>
      </c>
      <c r="M19" s="140">
        <f t="shared" si="4"/>
        <v>118.8685753668212</v>
      </c>
      <c r="N19" s="140">
        <f t="shared" si="4"/>
        <v>121.84028975099173</v>
      </c>
      <c r="O19" s="140">
        <f t="shared" si="4"/>
        <v>124.88629699476651</v>
      </c>
      <c r="V19" s="130"/>
      <c r="X19" s="201">
        <f>NPV(Rate_of_Return,F19:O19)</f>
        <v>761.7985797483658</v>
      </c>
      <c r="Y19" s="201">
        <f>-PMT(Rate_of_Return,$E$5,X19)</f>
        <v>110.42654557057071</v>
      </c>
      <c r="Z19" s="120"/>
    </row>
    <row r="20" spans="2:26" x14ac:dyDescent="0.25">
      <c r="C20" s="143" t="s">
        <v>12</v>
      </c>
      <c r="D20" s="143"/>
      <c r="E20" s="143"/>
      <c r="F20" s="144">
        <f t="shared" ref="F20:O20" si="5">F19/$Y$19</f>
        <v>0.90557935579079241</v>
      </c>
      <c r="G20" s="144">
        <f t="shared" si="5"/>
        <v>0.92821883968556207</v>
      </c>
      <c r="H20" s="144">
        <f t="shared" si="5"/>
        <v>0.95142431067770095</v>
      </c>
      <c r="I20" s="144">
        <f t="shared" si="5"/>
        <v>0.97520991844464344</v>
      </c>
      <c r="J20" s="144">
        <f t="shared" si="5"/>
        <v>0.99959016640575948</v>
      </c>
      <c r="K20" s="144">
        <f t="shared" si="5"/>
        <v>1.0245799205659034</v>
      </c>
      <c r="L20" s="144">
        <f t="shared" si="5"/>
        <v>1.0501944185800509</v>
      </c>
      <c r="M20" s="144">
        <f t="shared" si="5"/>
        <v>1.0764492790445519</v>
      </c>
      <c r="N20" s="144">
        <f t="shared" si="5"/>
        <v>1.1033605110206657</v>
      </c>
      <c r="O20" s="144">
        <f t="shared" si="5"/>
        <v>1.1309445237961822</v>
      </c>
      <c r="P20" s="119"/>
      <c r="Q20" s="119"/>
      <c r="U20" s="120"/>
      <c r="V20" s="131"/>
      <c r="W20" s="119"/>
      <c r="X20" s="201">
        <f>NPV(Rate_of_Return,F20:O20)</f>
        <v>6.8986906709086568</v>
      </c>
      <c r="Y20" s="201">
        <f>-PMT(Rate_of_Return,$E$5,X20)</f>
        <v>1.0000000000000002</v>
      </c>
      <c r="Z20" s="120"/>
    </row>
    <row r="21" spans="2:26" x14ac:dyDescent="0.25">
      <c r="C21" s="114"/>
      <c r="D21" s="114"/>
      <c r="E21" s="141"/>
      <c r="F21" s="141"/>
      <c r="G21" s="141"/>
      <c r="H21" s="141"/>
      <c r="I21" s="141"/>
      <c r="J21" s="141"/>
      <c r="K21" s="141"/>
      <c r="L21" s="141"/>
      <c r="M21" s="142"/>
      <c r="N21" s="142"/>
      <c r="O21" s="142"/>
      <c r="P21" s="142"/>
      <c r="Q21" s="142"/>
      <c r="W21" s="142"/>
      <c r="X21" s="142"/>
      <c r="Y21" s="142"/>
    </row>
    <row r="22" spans="2:26" x14ac:dyDescent="0.25">
      <c r="B22" s="132" t="s">
        <v>13</v>
      </c>
      <c r="C22" s="133"/>
      <c r="D22" s="134"/>
      <c r="E22" s="134"/>
      <c r="F22" s="134"/>
      <c r="G22" s="134"/>
      <c r="H22" s="134"/>
      <c r="I22" s="134"/>
      <c r="J22" s="134"/>
      <c r="K22" s="134"/>
      <c r="L22" s="134"/>
      <c r="M22" s="134"/>
      <c r="N22" s="134"/>
      <c r="O22" s="134"/>
    </row>
    <row r="23" spans="2:26" x14ac:dyDescent="0.25">
      <c r="B23" s="135">
        <v>1</v>
      </c>
      <c r="C23" s="301" t="s">
        <v>143</v>
      </c>
      <c r="D23" s="134"/>
      <c r="E23" s="134"/>
      <c r="F23" s="134"/>
      <c r="G23" s="134"/>
      <c r="H23" s="134"/>
      <c r="I23" s="134"/>
      <c r="J23" s="134"/>
      <c r="K23" s="134"/>
      <c r="L23" s="134"/>
      <c r="M23" s="134"/>
      <c r="N23" s="134"/>
      <c r="O23" s="134"/>
    </row>
    <row r="24" spans="2:26" x14ac:dyDescent="0.25">
      <c r="B24" s="135">
        <v>2</v>
      </c>
      <c r="C24" s="134" t="s">
        <v>119</v>
      </c>
      <c r="D24" s="134"/>
      <c r="E24" s="134"/>
      <c r="F24" s="134"/>
      <c r="G24" s="134"/>
      <c r="H24" s="134"/>
      <c r="I24" s="134"/>
      <c r="J24" s="134"/>
      <c r="K24" s="134"/>
      <c r="L24" s="134"/>
      <c r="M24" s="134"/>
      <c r="N24" s="134"/>
      <c r="O24" s="134"/>
    </row>
    <row r="25" spans="2:26" x14ac:dyDescent="0.25">
      <c r="B25" s="135">
        <v>3</v>
      </c>
      <c r="C25" s="134" t="s">
        <v>49</v>
      </c>
      <c r="D25" s="134"/>
      <c r="E25" s="134"/>
      <c r="F25" s="134"/>
      <c r="G25" s="134"/>
      <c r="H25" s="134"/>
      <c r="I25" s="134"/>
      <c r="J25" s="134"/>
      <c r="K25" s="134"/>
      <c r="L25" s="134"/>
      <c r="M25" s="134"/>
      <c r="N25" s="134"/>
      <c r="O25" s="134"/>
    </row>
    <row r="26" spans="2:26" x14ac:dyDescent="0.25">
      <c r="B26" s="135">
        <v>4</v>
      </c>
      <c r="C26" s="134" t="s">
        <v>120</v>
      </c>
      <c r="D26" s="134"/>
      <c r="E26" s="134"/>
      <c r="F26" s="134"/>
      <c r="G26" s="134"/>
      <c r="H26" s="134"/>
      <c r="I26" s="134"/>
      <c r="J26" s="134"/>
      <c r="K26" s="134"/>
      <c r="L26" s="134"/>
      <c r="M26" s="134"/>
      <c r="N26" s="134"/>
      <c r="O26" s="134"/>
    </row>
    <row r="27" spans="2:26" x14ac:dyDescent="0.25">
      <c r="B27" s="135">
        <v>5</v>
      </c>
      <c r="C27" s="134" t="s">
        <v>89</v>
      </c>
      <c r="D27" s="134"/>
      <c r="E27" s="134"/>
      <c r="F27" s="134"/>
      <c r="G27" s="134"/>
      <c r="H27" s="134"/>
      <c r="I27" s="134"/>
      <c r="J27" s="134"/>
      <c r="K27" s="134"/>
      <c r="L27" s="134"/>
      <c r="M27" s="134"/>
      <c r="N27" s="134"/>
      <c r="O27" s="134"/>
    </row>
    <row r="28" spans="2:26" x14ac:dyDescent="0.25">
      <c r="B28" s="135">
        <v>6</v>
      </c>
      <c r="C28" s="134" t="s">
        <v>90</v>
      </c>
      <c r="D28" s="134"/>
      <c r="E28" s="134"/>
      <c r="F28" s="134"/>
      <c r="G28" s="134"/>
      <c r="H28" s="134"/>
      <c r="I28" s="134"/>
      <c r="J28" s="134"/>
      <c r="K28" s="134"/>
      <c r="L28" s="134"/>
      <c r="M28" s="134"/>
      <c r="N28" s="134"/>
      <c r="O28" s="134"/>
    </row>
    <row r="29" spans="2:26" x14ac:dyDescent="0.25">
      <c r="B29" s="135">
        <v>7</v>
      </c>
      <c r="C29" s="134" t="s">
        <v>91</v>
      </c>
      <c r="D29" s="134"/>
      <c r="E29" s="134"/>
      <c r="F29" s="134"/>
      <c r="G29" s="134"/>
      <c r="H29" s="134"/>
      <c r="I29" s="134"/>
      <c r="J29" s="134"/>
      <c r="K29" s="134"/>
      <c r="L29" s="134"/>
      <c r="M29" s="134"/>
      <c r="N29" s="134"/>
      <c r="O29" s="134"/>
      <c r="P29" s="134"/>
      <c r="Q29" s="134"/>
    </row>
    <row r="30" spans="2:26" x14ac:dyDescent="0.25">
      <c r="B30" s="135">
        <v>8</v>
      </c>
      <c r="C30" s="134" t="s">
        <v>58</v>
      </c>
      <c r="D30" s="134"/>
      <c r="E30" s="134"/>
      <c r="F30" s="134"/>
      <c r="G30" s="134"/>
      <c r="H30" s="134"/>
      <c r="I30" s="134"/>
      <c r="J30" s="134"/>
      <c r="K30" s="134"/>
      <c r="L30" s="134"/>
      <c r="M30" s="134"/>
      <c r="N30" s="134"/>
      <c r="O30" s="134"/>
      <c r="P30" s="134"/>
      <c r="Q30" s="134"/>
    </row>
    <row r="31" spans="2:26" x14ac:dyDescent="0.25">
      <c r="B31" s="135">
        <v>9</v>
      </c>
      <c r="C31" s="134" t="s">
        <v>92</v>
      </c>
      <c r="D31" s="134"/>
      <c r="E31" s="134"/>
      <c r="F31" s="134"/>
      <c r="G31" s="134"/>
      <c r="H31" s="134"/>
      <c r="I31" s="134"/>
      <c r="J31" s="134"/>
      <c r="K31" s="134"/>
      <c r="L31" s="134"/>
      <c r="M31" s="134"/>
      <c r="N31" s="134"/>
      <c r="O31" s="134"/>
      <c r="P31" s="134"/>
      <c r="Q31" s="134"/>
    </row>
    <row r="32" spans="2:26" x14ac:dyDescent="0.25">
      <c r="B32" s="135">
        <v>10</v>
      </c>
      <c r="C32" s="53" t="s">
        <v>93</v>
      </c>
    </row>
    <row r="33" spans="2:25" x14ac:dyDescent="0.25">
      <c r="B33" s="135">
        <v>11</v>
      </c>
      <c r="C33" s="53" t="s">
        <v>115</v>
      </c>
    </row>
    <row r="34" spans="2:25" ht="15.6" x14ac:dyDescent="0.3">
      <c r="B34" s="137"/>
      <c r="C34" s="5"/>
      <c r="D34" s="5"/>
      <c r="E34" s="5"/>
      <c r="F34" s="5"/>
    </row>
    <row r="35" spans="2:25" ht="15.6" x14ac:dyDescent="0.3">
      <c r="B35" s="137"/>
      <c r="C35" s="5"/>
      <c r="D35" s="5"/>
      <c r="E35" s="5"/>
      <c r="F35" s="5"/>
    </row>
    <row r="37" spans="2:25" x14ac:dyDescent="0.25">
      <c r="F37" s="120"/>
      <c r="G37" s="138"/>
      <c r="H37" s="138"/>
      <c r="I37" s="138"/>
      <c r="J37" s="138"/>
      <c r="K37" s="138"/>
      <c r="L37" s="138"/>
      <c r="M37" s="138"/>
      <c r="N37" s="138"/>
      <c r="O37" s="138"/>
      <c r="P37" s="138"/>
      <c r="Q37" s="138"/>
      <c r="W37" s="138"/>
      <c r="X37" s="138"/>
      <c r="Y37" s="138"/>
    </row>
    <row r="38" spans="2:25" x14ac:dyDescent="0.25">
      <c r="G38" s="138"/>
      <c r="H38" s="138"/>
      <c r="I38" s="138"/>
      <c r="J38" s="138"/>
      <c r="K38" s="138"/>
      <c r="L38" s="138"/>
      <c r="M38" s="138"/>
      <c r="N38" s="138"/>
      <c r="O38" s="138"/>
      <c r="P38" s="138"/>
      <c r="Q38" s="138"/>
      <c r="W38" s="138"/>
      <c r="X38" s="138"/>
      <c r="Y38" s="138"/>
    </row>
    <row r="39" spans="2:25" x14ac:dyDescent="0.25">
      <c r="F39" s="120"/>
      <c r="G39" s="120"/>
      <c r="H39" s="120"/>
      <c r="I39" s="120"/>
      <c r="J39" s="120"/>
      <c r="K39" s="120"/>
      <c r="L39" s="120"/>
      <c r="M39" s="120"/>
      <c r="N39" s="120"/>
      <c r="O39" s="120"/>
      <c r="P39" s="120"/>
      <c r="Q39" s="120"/>
      <c r="W39" s="120"/>
      <c r="X39" s="120"/>
      <c r="Y39" s="120"/>
    </row>
    <row r="40" spans="2:25" x14ac:dyDescent="0.25">
      <c r="D40" s="130"/>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F5" sqref="F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15" t="s">
        <v>94</v>
      </c>
      <c r="D2" s="215"/>
      <c r="E2" s="215"/>
      <c r="F2" s="215"/>
      <c r="G2" s="215"/>
      <c r="H2" s="215"/>
      <c r="I2" s="215"/>
      <c r="J2" s="215"/>
      <c r="K2" s="215"/>
      <c r="L2" s="215"/>
    </row>
    <row r="3" spans="2:31" ht="15.6" x14ac:dyDescent="0.3">
      <c r="C3" s="42" t="s">
        <v>48</v>
      </c>
    </row>
    <row r="4" spans="2:31" s="111" customFormat="1" ht="45" x14ac:dyDescent="0.25">
      <c r="B4" s="110"/>
      <c r="C4" s="145" t="s">
        <v>0</v>
      </c>
      <c r="D4" s="145"/>
      <c r="E4" s="145" t="s">
        <v>1</v>
      </c>
      <c r="F4" s="145" t="s">
        <v>2</v>
      </c>
      <c r="G4" s="145" t="s">
        <v>3</v>
      </c>
      <c r="H4" s="145" t="s">
        <v>4</v>
      </c>
      <c r="I4" s="145" t="s">
        <v>5</v>
      </c>
      <c r="J4" s="145" t="s">
        <v>6</v>
      </c>
      <c r="K4" s="145" t="s">
        <v>7</v>
      </c>
      <c r="L4" s="146" t="s">
        <v>14</v>
      </c>
      <c r="M4" s="146"/>
    </row>
    <row r="5" spans="2:31" x14ac:dyDescent="0.25">
      <c r="C5" s="148"/>
      <c r="D5" s="149"/>
      <c r="E5" s="150">
        <v>15</v>
      </c>
      <c r="F5" s="304">
        <f>+'Capacity Delivered'!$I$5</f>
        <v>0.01</v>
      </c>
      <c r="G5" s="151" t="s">
        <v>8</v>
      </c>
      <c r="H5" s="152">
        <f>'Electric EES CE Std Energy'!D23</f>
        <v>2.1416974764849529E-2</v>
      </c>
      <c r="I5" s="153">
        <f>'Solar Avoided Capacity Calcs'!X21</f>
        <v>4.4468365772248695E-3</v>
      </c>
      <c r="J5" s="153">
        <f>H5+I5</f>
        <v>2.5863811342074397E-2</v>
      </c>
      <c r="K5" s="154">
        <f>J5</f>
        <v>2.5863811342074397E-2</v>
      </c>
      <c r="L5" s="155">
        <f>K5*1000</f>
        <v>25.863811342074396</v>
      </c>
      <c r="M5" s="139"/>
    </row>
    <row r="6" spans="2:31" ht="15.6" x14ac:dyDescent="0.3">
      <c r="C6" s="147"/>
      <c r="D6" s="147"/>
      <c r="E6" s="114"/>
      <c r="F6" s="114"/>
      <c r="G6" s="114"/>
      <c r="H6" s="32">
        <f>H5*1000</f>
        <v>21.416974764849531</v>
      </c>
      <c r="I6" s="32">
        <f t="shared" ref="I6:K6" si="0">I5*1000</f>
        <v>4.4468365772248699</v>
      </c>
      <c r="J6" s="32">
        <f t="shared" si="0"/>
        <v>25.863811342074396</v>
      </c>
      <c r="K6" s="32">
        <f t="shared" si="0"/>
        <v>25.863811342074396</v>
      </c>
      <c r="L6" s="116">
        <f>L5*(1-M6)</f>
        <v>25.087897001812163</v>
      </c>
      <c r="M6" s="245">
        <v>0.03</v>
      </c>
      <c r="N6" s="117" t="s">
        <v>41</v>
      </c>
    </row>
    <row r="7" spans="2:31" x14ac:dyDescent="0.25">
      <c r="C7" s="118"/>
      <c r="D7" s="115"/>
      <c r="H7" s="40"/>
      <c r="I7" s="113"/>
      <c r="J7" s="40"/>
      <c r="K7" s="113"/>
      <c r="L7" s="113"/>
      <c r="M7" s="114"/>
    </row>
    <row r="8" spans="2:31" ht="15.6" x14ac:dyDescent="0.3">
      <c r="C8" s="114"/>
      <c r="D8" s="114"/>
      <c r="E8" s="114"/>
      <c r="F8" s="114"/>
      <c r="G8" s="114"/>
      <c r="H8" s="119"/>
      <c r="I8" s="119"/>
      <c r="J8" s="119"/>
      <c r="K8" s="119"/>
      <c r="L8" s="119"/>
      <c r="M8" s="119"/>
      <c r="N8" s="119"/>
      <c r="O8" s="119"/>
      <c r="P8" s="119"/>
      <c r="Q8" s="119"/>
      <c r="R8" s="119"/>
      <c r="S8" s="119"/>
      <c r="T8" s="119"/>
      <c r="U8" s="120"/>
      <c r="V8" s="120"/>
      <c r="W8" s="120"/>
      <c r="X8" s="202" t="s">
        <v>84</v>
      </c>
      <c r="Y8" s="120"/>
      <c r="Z8" s="120"/>
      <c r="AA8" s="120"/>
    </row>
    <row r="9" spans="2:31" x14ac:dyDescent="0.25">
      <c r="C9" s="121" t="s">
        <v>9</v>
      </c>
      <c r="D9" s="121"/>
      <c r="E9" s="121"/>
      <c r="F9" s="122">
        <f>+L6</f>
        <v>25.087897001812163</v>
      </c>
      <c r="G9" s="122">
        <f t="shared" ref="G9:T9" si="1">F9</f>
        <v>25.087897001812163</v>
      </c>
      <c r="H9" s="122">
        <f t="shared" si="1"/>
        <v>25.087897001812163</v>
      </c>
      <c r="I9" s="122">
        <f t="shared" si="1"/>
        <v>25.087897001812163</v>
      </c>
      <c r="J9" s="122">
        <f t="shared" si="1"/>
        <v>25.087897001812163</v>
      </c>
      <c r="K9" s="122">
        <f t="shared" si="1"/>
        <v>25.087897001812163</v>
      </c>
      <c r="L9" s="122">
        <f t="shared" si="1"/>
        <v>25.087897001812163</v>
      </c>
      <c r="M9" s="122">
        <f t="shared" si="1"/>
        <v>25.087897001812163</v>
      </c>
      <c r="N9" s="122">
        <f t="shared" si="1"/>
        <v>25.087897001812163</v>
      </c>
      <c r="O9" s="122">
        <f t="shared" si="1"/>
        <v>25.087897001812163</v>
      </c>
      <c r="P9" s="122">
        <f t="shared" si="1"/>
        <v>25.087897001812163</v>
      </c>
      <c r="Q9" s="122">
        <f t="shared" si="1"/>
        <v>25.087897001812163</v>
      </c>
      <c r="R9" s="122">
        <f t="shared" si="1"/>
        <v>25.087897001812163</v>
      </c>
      <c r="S9" s="122">
        <f t="shared" si="1"/>
        <v>25.087897001812163</v>
      </c>
      <c r="T9" s="122">
        <f t="shared" si="1"/>
        <v>25.087897001812163</v>
      </c>
      <c r="U9" s="40"/>
      <c r="V9" s="40"/>
      <c r="W9" s="40"/>
      <c r="X9" s="201">
        <f>NPV(Rate_of_Return,F9:T9)</f>
        <v>222.97467104605749</v>
      </c>
      <c r="Y9" s="201">
        <f>-PMT(Rate_of_Return,15,X9)</f>
        <v>25.087897001812156</v>
      </c>
      <c r="Z9" s="40"/>
      <c r="AA9" s="40"/>
    </row>
    <row r="10" spans="2:31" x14ac:dyDescent="0.25">
      <c r="C10" s="114"/>
      <c r="D10" s="114"/>
      <c r="E10" s="114"/>
      <c r="F10" s="123"/>
      <c r="G10" s="123"/>
      <c r="H10" s="123"/>
      <c r="I10" s="123"/>
      <c r="J10" s="123"/>
      <c r="K10" s="123"/>
      <c r="L10" s="123"/>
      <c r="M10" s="123"/>
      <c r="N10" s="123"/>
      <c r="O10" s="123"/>
      <c r="P10" s="123"/>
      <c r="Q10" s="123"/>
      <c r="R10" s="123"/>
      <c r="S10" s="123"/>
      <c r="T10" s="123"/>
      <c r="U10" s="40"/>
      <c r="V10" s="40"/>
      <c r="W10" s="40"/>
      <c r="X10" s="32"/>
      <c r="Y10" s="32"/>
      <c r="Z10" s="40"/>
      <c r="AA10" s="40"/>
    </row>
    <row r="11" spans="2:31" x14ac:dyDescent="0.25">
      <c r="C11" s="53" t="s">
        <v>63</v>
      </c>
      <c r="F11" s="210">
        <v>1</v>
      </c>
      <c r="G11" s="210">
        <v>2</v>
      </c>
      <c r="H11" s="210">
        <v>3</v>
      </c>
      <c r="I11" s="210">
        <v>4</v>
      </c>
      <c r="J11" s="210">
        <v>5</v>
      </c>
      <c r="K11" s="210">
        <v>6</v>
      </c>
      <c r="L11" s="210">
        <v>7</v>
      </c>
      <c r="M11" s="210">
        <v>8</v>
      </c>
      <c r="N11" s="210">
        <v>9</v>
      </c>
      <c r="O11" s="210">
        <v>10</v>
      </c>
      <c r="P11" s="210">
        <v>11</v>
      </c>
      <c r="Q11" s="210">
        <v>12</v>
      </c>
      <c r="R11" s="210">
        <v>13</v>
      </c>
      <c r="S11" s="210">
        <v>14</v>
      </c>
      <c r="T11" s="210">
        <v>15</v>
      </c>
      <c r="U11" s="210">
        <v>16</v>
      </c>
      <c r="V11" s="210">
        <v>17</v>
      </c>
      <c r="W11" s="40"/>
      <c r="X11" s="40"/>
      <c r="Y11" s="40"/>
      <c r="Z11" s="40"/>
      <c r="AA11" s="40"/>
    </row>
    <row r="12" spans="2:31" ht="15.6" x14ac:dyDescent="0.3">
      <c r="C12" s="114"/>
      <c r="D12" s="112"/>
      <c r="E12" s="114"/>
      <c r="F12" s="124">
        <f>'Energy Prices'!$C$6</f>
        <v>2020</v>
      </c>
      <c r="G12" s="124">
        <f>F12+1</f>
        <v>2021</v>
      </c>
      <c r="H12" s="124">
        <f>G12+1</f>
        <v>2022</v>
      </c>
      <c r="I12" s="124">
        <f t="shared" ref="I12:T12" si="2">H12+1</f>
        <v>2023</v>
      </c>
      <c r="J12" s="124">
        <f t="shared" si="2"/>
        <v>2024</v>
      </c>
      <c r="K12" s="124">
        <f t="shared" si="2"/>
        <v>2025</v>
      </c>
      <c r="L12" s="124">
        <f t="shared" si="2"/>
        <v>2026</v>
      </c>
      <c r="M12" s="124">
        <f t="shared" si="2"/>
        <v>2027</v>
      </c>
      <c r="N12" s="124">
        <f t="shared" si="2"/>
        <v>2028</v>
      </c>
      <c r="O12" s="124">
        <f t="shared" si="2"/>
        <v>2029</v>
      </c>
      <c r="P12" s="124">
        <f t="shared" si="2"/>
        <v>2030</v>
      </c>
      <c r="Q12" s="124">
        <f t="shared" si="2"/>
        <v>2031</v>
      </c>
      <c r="R12" s="124">
        <f t="shared" si="2"/>
        <v>2032</v>
      </c>
      <c r="S12" s="124">
        <f t="shared" si="2"/>
        <v>2033</v>
      </c>
      <c r="T12" s="124">
        <f t="shared" si="2"/>
        <v>2034</v>
      </c>
      <c r="U12" s="124">
        <f>T12+1</f>
        <v>2035</v>
      </c>
      <c r="V12" s="124">
        <f>U12+1</f>
        <v>2036</v>
      </c>
      <c r="W12" s="208"/>
      <c r="X12" s="202" t="s">
        <v>84</v>
      </c>
      <c r="Y12" s="32"/>
      <c r="Z12" s="120"/>
      <c r="AA12" s="120"/>
    </row>
    <row r="13" spans="2:31" ht="52.95" customHeight="1" x14ac:dyDescent="0.25">
      <c r="B13" s="114"/>
      <c r="C13" s="211" t="s">
        <v>88</v>
      </c>
      <c r="D13" s="114"/>
      <c r="F13" s="156">
        <f t="shared" ref="F13:T13" si="3">F$9*F$20</f>
        <v>21.679029805300178</v>
      </c>
      <c r="G13" s="157">
        <f>G$9*G$20</f>
        <v>22.221005550432679</v>
      </c>
      <c r="H13" s="158">
        <f t="shared" si="3"/>
        <v>22.776530689193493</v>
      </c>
      <c r="I13" s="158">
        <f t="shared" si="3"/>
        <v>23.34594395642333</v>
      </c>
      <c r="J13" s="158">
        <f t="shared" si="3"/>
        <v>23.929592555333912</v>
      </c>
      <c r="K13" s="158">
        <f t="shared" si="3"/>
        <v>24.527832369217258</v>
      </c>
      <c r="L13" s="158">
        <f t="shared" si="3"/>
        <v>25.141028178447684</v>
      </c>
      <c r="M13" s="158">
        <f t="shared" si="3"/>
        <v>25.769553882908877</v>
      </c>
      <c r="N13" s="158">
        <f t="shared" si="3"/>
        <v>26.413792729981594</v>
      </c>
      <c r="O13" s="158">
        <f t="shared" si="3"/>
        <v>27.074137548231135</v>
      </c>
      <c r="P13" s="158">
        <f t="shared" si="3"/>
        <v>27.750990986936909</v>
      </c>
      <c r="Q13" s="158">
        <f t="shared" si="3"/>
        <v>28.444765761610324</v>
      </c>
      <c r="R13" s="158">
        <f t="shared" si="3"/>
        <v>29.155884905650581</v>
      </c>
      <c r="S13" s="158">
        <f t="shared" si="3"/>
        <v>29.884782028291841</v>
      </c>
      <c r="T13" s="158">
        <f t="shared" si="3"/>
        <v>30.631901578999134</v>
      </c>
      <c r="U13" s="207">
        <f>T13*1.025</f>
        <v>31.397699118474108</v>
      </c>
      <c r="V13" s="207">
        <f>U13*1.025</f>
        <v>32.182641596435957</v>
      </c>
      <c r="W13" s="126"/>
      <c r="X13" s="201">
        <f>NPV(Rate_of_Return,F13:T13)</f>
        <v>222.97467104605752</v>
      </c>
      <c r="Y13" s="201">
        <f>-PMT(Rate_of_Return,15,X13)</f>
        <v>25.087897001812159</v>
      </c>
      <c r="Z13" s="126"/>
      <c r="AA13" s="126"/>
      <c r="AE13" s="127"/>
    </row>
    <row r="14" spans="2:31" x14ac:dyDescent="0.25">
      <c r="C14" s="125"/>
      <c r="E14" s="128"/>
      <c r="F14" s="126"/>
      <c r="G14" s="126"/>
      <c r="H14" s="126"/>
      <c r="I14" s="126"/>
      <c r="J14" s="126"/>
      <c r="K14" s="126"/>
      <c r="L14" s="126"/>
      <c r="M14" s="126"/>
      <c r="N14" s="126"/>
      <c r="O14" s="126"/>
      <c r="P14" s="126"/>
      <c r="Q14" s="126"/>
      <c r="R14" s="126"/>
      <c r="S14" s="126"/>
      <c r="T14" s="126"/>
      <c r="U14" s="126"/>
      <c r="V14" s="126"/>
      <c r="W14" s="126"/>
      <c r="X14" s="120"/>
      <c r="Y14" s="120"/>
      <c r="Z14" s="120"/>
      <c r="AA14" s="120"/>
    </row>
    <row r="15" spans="2:31" x14ac:dyDescent="0.25">
      <c r="C15" s="129"/>
      <c r="E15" s="128"/>
      <c r="F15" s="126"/>
      <c r="G15" s="214"/>
      <c r="H15" s="126"/>
      <c r="I15" s="126"/>
      <c r="J15" s="126"/>
      <c r="K15" s="126"/>
      <c r="L15" s="126"/>
      <c r="M15" s="126"/>
      <c r="N15" s="126"/>
      <c r="O15" s="126"/>
      <c r="P15" s="126"/>
      <c r="Q15" s="126"/>
      <c r="R15" s="126"/>
      <c r="S15" s="126"/>
      <c r="T15" s="126"/>
      <c r="U15" s="126"/>
      <c r="V15" s="126"/>
      <c r="W15" s="126"/>
      <c r="X15" s="120"/>
      <c r="Y15" s="120"/>
      <c r="Z15" s="120"/>
      <c r="AA15" s="120"/>
    </row>
    <row r="16" spans="2:31" x14ac:dyDescent="0.25">
      <c r="C16" s="53" t="s">
        <v>10</v>
      </c>
      <c r="Q16" s="120"/>
      <c r="R16" s="120"/>
    </row>
    <row r="17" spans="2:27" x14ac:dyDescent="0.25">
      <c r="Q17" s="120"/>
      <c r="R17" s="120"/>
    </row>
    <row r="18" spans="2:27" ht="15.6" x14ac:dyDescent="0.3">
      <c r="C18" s="114"/>
      <c r="D18" s="114"/>
      <c r="E18" s="114"/>
      <c r="F18" s="114"/>
      <c r="G18" s="114"/>
      <c r="H18" s="114"/>
      <c r="I18" s="114"/>
      <c r="J18" s="114"/>
      <c r="K18" s="114"/>
      <c r="L18" s="114"/>
      <c r="M18" s="114"/>
      <c r="N18" s="114"/>
      <c r="O18" s="114"/>
      <c r="P18" s="114"/>
      <c r="Q18" s="119"/>
      <c r="R18" s="119"/>
      <c r="S18" s="114"/>
      <c r="T18" s="114"/>
      <c r="X18" s="202" t="s">
        <v>84</v>
      </c>
      <c r="Y18" s="114"/>
    </row>
    <row r="19" spans="2:27" x14ac:dyDescent="0.25">
      <c r="C19" s="121" t="s">
        <v>11</v>
      </c>
      <c r="D19" s="121"/>
      <c r="E19" s="121"/>
      <c r="F19" s="140">
        <v>100</v>
      </c>
      <c r="G19" s="140">
        <f t="shared" ref="G19:T19" si="4">F19*1.025</f>
        <v>102.49999999999999</v>
      </c>
      <c r="H19" s="140">
        <f t="shared" si="4"/>
        <v>105.06249999999997</v>
      </c>
      <c r="I19" s="140">
        <f t="shared" si="4"/>
        <v>107.68906249999996</v>
      </c>
      <c r="J19" s="140">
        <f t="shared" si="4"/>
        <v>110.38128906249996</v>
      </c>
      <c r="K19" s="140">
        <f t="shared" si="4"/>
        <v>113.14082128906244</v>
      </c>
      <c r="L19" s="140">
        <f t="shared" si="4"/>
        <v>115.96934182128899</v>
      </c>
      <c r="M19" s="140">
        <f t="shared" si="4"/>
        <v>118.8685753668212</v>
      </c>
      <c r="N19" s="140">
        <f t="shared" si="4"/>
        <v>121.84028975099173</v>
      </c>
      <c r="O19" s="140">
        <f t="shared" si="4"/>
        <v>124.88629699476651</v>
      </c>
      <c r="P19" s="140">
        <f t="shared" si="4"/>
        <v>128.00845441963565</v>
      </c>
      <c r="Q19" s="140">
        <f t="shared" si="4"/>
        <v>131.20866578012652</v>
      </c>
      <c r="R19" s="140">
        <f t="shared" si="4"/>
        <v>134.48888242462968</v>
      </c>
      <c r="S19" s="140">
        <f t="shared" si="4"/>
        <v>137.8511044852454</v>
      </c>
      <c r="T19" s="140">
        <f t="shared" si="4"/>
        <v>141.29738209737653</v>
      </c>
      <c r="U19" s="130"/>
      <c r="V19" s="130"/>
      <c r="W19" s="130"/>
      <c r="X19" s="160">
        <f>NPV(Rate_of_Return,F19:T19)</f>
        <v>1028.5269822893265</v>
      </c>
      <c r="Y19" s="160">
        <f>-PMT(Rate_of_Return,15,X19)</f>
        <v>115.72426085081801</v>
      </c>
      <c r="Z19" s="120"/>
      <c r="AA19" s="120"/>
    </row>
    <row r="20" spans="2:27" x14ac:dyDescent="0.25">
      <c r="C20" s="143" t="s">
        <v>12</v>
      </c>
      <c r="D20" s="143"/>
      <c r="E20" s="143"/>
      <c r="F20" s="144">
        <f>F19/$Y$19</f>
        <v>0.86412303923817313</v>
      </c>
      <c r="G20" s="144">
        <f t="shared" ref="G20:T20" si="5">G19/$Y$19</f>
        <v>0.88572611521912736</v>
      </c>
      <c r="H20" s="144">
        <f t="shared" si="5"/>
        <v>0.90786926809960544</v>
      </c>
      <c r="I20" s="144">
        <f t="shared" si="5"/>
        <v>0.93056599980209553</v>
      </c>
      <c r="J20" s="144">
        <f t="shared" si="5"/>
        <v>0.95383014979714786</v>
      </c>
      <c r="K20" s="144">
        <f t="shared" si="5"/>
        <v>0.97767590354207645</v>
      </c>
      <c r="L20" s="144">
        <f t="shared" si="5"/>
        <v>1.0021178011306282</v>
      </c>
      <c r="M20" s="144">
        <f t="shared" si="5"/>
        <v>1.0271707461588939</v>
      </c>
      <c r="N20" s="144">
        <f t="shared" si="5"/>
        <v>1.0528500148128661</v>
      </c>
      <c r="O20" s="144">
        <f t="shared" si="5"/>
        <v>1.0791712651831877</v>
      </c>
      <c r="P20" s="144">
        <f t="shared" si="5"/>
        <v>1.1061505468127673</v>
      </c>
      <c r="Q20" s="144">
        <f t="shared" si="5"/>
        <v>1.1338043104830862</v>
      </c>
      <c r="R20" s="144">
        <f t="shared" si="5"/>
        <v>1.1621494182451633</v>
      </c>
      <c r="S20" s="144">
        <f t="shared" si="5"/>
        <v>1.1912031537012922</v>
      </c>
      <c r="T20" s="144">
        <f t="shared" si="5"/>
        <v>1.2209832325438243</v>
      </c>
      <c r="U20" s="131"/>
      <c r="V20" s="131"/>
      <c r="W20" s="131"/>
      <c r="X20" s="159">
        <f>NPV(Rate_of_Return,F20:T20)</f>
        <v>8.8877386187431942</v>
      </c>
      <c r="Y20" s="159">
        <f>-PMT(Rate_of_Return,15,X20)</f>
        <v>1</v>
      </c>
      <c r="Z20" s="120"/>
      <c r="AA20" s="120"/>
    </row>
    <row r="21" spans="2:27" x14ac:dyDescent="0.25">
      <c r="C21" s="114"/>
      <c r="D21" s="114"/>
      <c r="E21" s="141"/>
      <c r="F21" s="141"/>
      <c r="G21" s="141"/>
      <c r="H21" s="141"/>
      <c r="I21" s="141"/>
      <c r="J21" s="141"/>
      <c r="K21" s="141"/>
      <c r="L21" s="141"/>
      <c r="M21" s="142"/>
      <c r="N21" s="142"/>
      <c r="O21" s="142"/>
      <c r="P21" s="142"/>
      <c r="Q21" s="142"/>
      <c r="R21" s="142"/>
      <c r="S21" s="142"/>
      <c r="T21" s="142"/>
      <c r="X21" s="114"/>
      <c r="Y21" s="114"/>
    </row>
    <row r="22" spans="2:27" x14ac:dyDescent="0.25">
      <c r="B22" s="132" t="s">
        <v>13</v>
      </c>
      <c r="C22" s="133"/>
      <c r="D22" s="134"/>
      <c r="E22" s="134"/>
      <c r="F22" s="134"/>
      <c r="G22" s="134"/>
      <c r="H22" s="134"/>
      <c r="I22" s="134"/>
      <c r="J22" s="134"/>
      <c r="K22" s="134"/>
      <c r="L22" s="134"/>
      <c r="M22" s="134"/>
      <c r="N22" s="134"/>
      <c r="O22" s="134"/>
      <c r="Z22" s="129"/>
    </row>
    <row r="23" spans="2:27" x14ac:dyDescent="0.25">
      <c r="B23" s="135">
        <v>1</v>
      </c>
      <c r="C23" s="301" t="s">
        <v>143</v>
      </c>
      <c r="D23" s="134"/>
      <c r="E23" s="134"/>
      <c r="F23" s="134"/>
      <c r="G23" s="134"/>
      <c r="H23" s="134"/>
      <c r="I23" s="134"/>
      <c r="J23" s="134"/>
      <c r="K23" s="134"/>
      <c r="L23" s="134"/>
      <c r="M23" s="134"/>
      <c r="N23" s="134"/>
      <c r="O23" s="134"/>
      <c r="Z23" s="125"/>
    </row>
    <row r="24" spans="2:27" x14ac:dyDescent="0.25">
      <c r="B24" s="135">
        <v>2</v>
      </c>
      <c r="C24" s="134" t="s">
        <v>119</v>
      </c>
      <c r="D24" s="134"/>
      <c r="E24" s="134"/>
      <c r="F24" s="134"/>
      <c r="G24" s="134"/>
      <c r="H24" s="134"/>
      <c r="I24" s="134"/>
      <c r="J24" s="134"/>
      <c r="K24" s="134"/>
      <c r="L24" s="134"/>
      <c r="M24" s="134"/>
      <c r="N24" s="134"/>
      <c r="O24" s="134"/>
      <c r="Z24" s="126"/>
    </row>
    <row r="25" spans="2:27" x14ac:dyDescent="0.25">
      <c r="B25" s="135">
        <v>3</v>
      </c>
      <c r="C25" s="134" t="s">
        <v>49</v>
      </c>
      <c r="D25" s="134"/>
      <c r="E25" s="134"/>
      <c r="F25" s="134"/>
      <c r="G25" s="134"/>
      <c r="H25" s="134"/>
      <c r="I25" s="134"/>
      <c r="J25" s="134"/>
      <c r="K25" s="134"/>
      <c r="L25" s="134"/>
      <c r="M25" s="134"/>
      <c r="N25" s="134"/>
      <c r="O25" s="134"/>
      <c r="Z25" s="136"/>
    </row>
    <row r="26" spans="2:27" x14ac:dyDescent="0.25">
      <c r="B26" s="135">
        <v>4</v>
      </c>
      <c r="C26" s="134" t="s">
        <v>120</v>
      </c>
      <c r="D26" s="134"/>
      <c r="E26" s="134"/>
      <c r="F26" s="134"/>
      <c r="G26" s="134"/>
      <c r="H26" s="134"/>
      <c r="I26" s="134"/>
      <c r="J26" s="134"/>
      <c r="K26" s="134"/>
      <c r="L26" s="134"/>
      <c r="M26" s="134"/>
      <c r="N26" s="134"/>
      <c r="O26" s="134"/>
      <c r="Z26" s="136"/>
    </row>
    <row r="27" spans="2:27" x14ac:dyDescent="0.25">
      <c r="B27" s="135">
        <v>5</v>
      </c>
      <c r="C27" s="134" t="s">
        <v>89</v>
      </c>
      <c r="D27" s="134"/>
      <c r="E27" s="134"/>
      <c r="F27" s="134"/>
      <c r="G27" s="134"/>
      <c r="H27" s="134"/>
      <c r="I27" s="134"/>
      <c r="J27" s="134"/>
      <c r="K27" s="134"/>
      <c r="L27" s="134"/>
      <c r="M27" s="134"/>
      <c r="N27" s="134"/>
      <c r="O27" s="134"/>
      <c r="Z27" s="125"/>
    </row>
    <row r="28" spans="2:27" x14ac:dyDescent="0.25">
      <c r="B28" s="135">
        <v>6</v>
      </c>
      <c r="C28" s="134" t="s">
        <v>90</v>
      </c>
      <c r="D28" s="134"/>
      <c r="E28" s="134"/>
      <c r="F28" s="134"/>
      <c r="G28" s="134"/>
      <c r="H28" s="134"/>
      <c r="I28" s="134"/>
      <c r="J28" s="134"/>
      <c r="K28" s="134"/>
      <c r="L28" s="134"/>
      <c r="M28" s="134"/>
      <c r="N28" s="134"/>
      <c r="O28" s="134"/>
      <c r="Z28" s="126"/>
    </row>
    <row r="29" spans="2:27" x14ac:dyDescent="0.25">
      <c r="B29" s="135">
        <v>7</v>
      </c>
      <c r="C29" s="134" t="s">
        <v>91</v>
      </c>
      <c r="D29" s="134"/>
      <c r="E29" s="134"/>
      <c r="F29" s="134"/>
      <c r="G29" s="134"/>
      <c r="H29" s="134"/>
      <c r="I29" s="134"/>
      <c r="J29" s="134"/>
      <c r="K29" s="134"/>
      <c r="L29" s="134"/>
      <c r="M29" s="134"/>
      <c r="N29" s="134"/>
      <c r="O29" s="134"/>
      <c r="P29" s="134"/>
      <c r="Q29" s="134"/>
    </row>
    <row r="30" spans="2:27" x14ac:dyDescent="0.25">
      <c r="B30" s="135">
        <v>8</v>
      </c>
      <c r="C30" s="134" t="s">
        <v>58</v>
      </c>
      <c r="D30" s="134"/>
      <c r="E30" s="134"/>
      <c r="F30" s="134"/>
      <c r="G30" s="134"/>
      <c r="H30" s="134"/>
      <c r="I30" s="134"/>
      <c r="J30" s="134"/>
      <c r="K30" s="134"/>
      <c r="L30" s="134"/>
      <c r="M30" s="134"/>
      <c r="N30" s="134"/>
      <c r="O30" s="134"/>
      <c r="P30" s="134"/>
      <c r="Q30" s="134"/>
    </row>
    <row r="31" spans="2:27" x14ac:dyDescent="0.25">
      <c r="B31" s="135">
        <v>9</v>
      </c>
      <c r="C31" s="134" t="s">
        <v>92</v>
      </c>
      <c r="D31" s="134"/>
      <c r="E31" s="134"/>
      <c r="F31" s="134"/>
      <c r="G31" s="134"/>
      <c r="H31" s="134"/>
      <c r="I31" s="134"/>
      <c r="J31" s="134"/>
      <c r="K31" s="134"/>
      <c r="L31" s="134"/>
      <c r="M31" s="134"/>
      <c r="N31" s="134"/>
      <c r="O31" s="134"/>
      <c r="P31" s="134"/>
      <c r="Q31" s="134"/>
    </row>
    <row r="32" spans="2:27" x14ac:dyDescent="0.25">
      <c r="B32" s="135">
        <v>10</v>
      </c>
      <c r="C32" s="53" t="s">
        <v>93</v>
      </c>
    </row>
    <row r="33" spans="2:20" x14ac:dyDescent="0.25">
      <c r="B33" s="135">
        <v>11</v>
      </c>
      <c r="C33" s="53" t="s">
        <v>115</v>
      </c>
    </row>
    <row r="34" spans="2:20" ht="15.6" x14ac:dyDescent="0.3">
      <c r="B34" s="137"/>
      <c r="C34" s="5"/>
      <c r="D34" s="5"/>
      <c r="E34" s="5"/>
      <c r="F34" s="5"/>
    </row>
    <row r="35" spans="2:20" ht="15.6" x14ac:dyDescent="0.3">
      <c r="B35" s="137"/>
      <c r="C35" s="5"/>
      <c r="D35" s="5"/>
      <c r="E35" s="5"/>
      <c r="F35" s="5"/>
    </row>
    <row r="37" spans="2:20" x14ac:dyDescent="0.25">
      <c r="F37" s="120"/>
      <c r="G37" s="138"/>
      <c r="H37" s="138"/>
      <c r="I37" s="138"/>
      <c r="J37" s="138"/>
      <c r="K37" s="138"/>
      <c r="L37" s="138"/>
      <c r="M37" s="138"/>
      <c r="N37" s="138"/>
      <c r="O37" s="138"/>
      <c r="P37" s="138"/>
      <c r="Q37" s="138"/>
      <c r="R37" s="138"/>
      <c r="S37" s="138"/>
      <c r="T37" s="138"/>
    </row>
    <row r="38" spans="2:20" x14ac:dyDescent="0.25">
      <c r="G38" s="138"/>
      <c r="H38" s="138"/>
      <c r="I38" s="138"/>
      <c r="J38" s="138"/>
      <c r="K38" s="138"/>
      <c r="L38" s="138"/>
      <c r="M38" s="138"/>
      <c r="N38" s="138"/>
      <c r="O38" s="138"/>
      <c r="P38" s="138"/>
      <c r="Q38" s="138"/>
      <c r="R38" s="138"/>
      <c r="S38" s="138"/>
      <c r="T38" s="138"/>
    </row>
    <row r="39" spans="2:20" x14ac:dyDescent="0.25">
      <c r="F39" s="120"/>
      <c r="G39" s="120"/>
      <c r="H39" s="120"/>
      <c r="I39" s="120"/>
      <c r="J39" s="120"/>
      <c r="K39" s="120"/>
      <c r="L39" s="120"/>
      <c r="M39" s="120"/>
      <c r="N39" s="120"/>
      <c r="O39" s="120"/>
      <c r="P39" s="120"/>
      <c r="Q39" s="120"/>
      <c r="R39" s="120"/>
      <c r="S39" s="120"/>
      <c r="T39" s="120"/>
    </row>
    <row r="40" spans="2:20" x14ac:dyDescent="0.25">
      <c r="D40" s="130"/>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C10" sqref="C10"/>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25" t="s">
        <v>59</v>
      </c>
      <c r="C3" s="325"/>
      <c r="D3" s="35"/>
    </row>
    <row r="4" spans="2:6" x14ac:dyDescent="0.25">
      <c r="B4" s="326" t="str">
        <f>+FlatLoadShapeEnergy_perMWh!C6</f>
        <v xml:space="preserve"> T&amp;D Line Loss Reduction [4]</v>
      </c>
      <c r="C4" s="327"/>
      <c r="D4" s="162">
        <f>+FlatLoadShapeEnergy_perMWh!E6</f>
        <v>2.7E-2</v>
      </c>
      <c r="E4" s="35"/>
    </row>
    <row r="5" spans="2:6" x14ac:dyDescent="0.25">
      <c r="B5" s="328" t="s">
        <v>52</v>
      </c>
      <c r="C5" s="328"/>
      <c r="D5" s="163">
        <f>Rate_of_Return</f>
        <v>7.3899999999999993E-2</v>
      </c>
      <c r="E5" s="43"/>
    </row>
    <row r="6" spans="2:6" x14ac:dyDescent="0.25">
      <c r="B6" s="7"/>
      <c r="C6" s="29"/>
      <c r="D6" s="43"/>
      <c r="E6" s="1"/>
    </row>
    <row r="7" spans="2:6" x14ac:dyDescent="0.25">
      <c r="C7" s="2"/>
      <c r="D7" s="2"/>
    </row>
    <row r="8" spans="2:6" s="7" customFormat="1" ht="45.75" customHeight="1" x14ac:dyDescent="0.25">
      <c r="B8" s="6" t="s">
        <v>1</v>
      </c>
      <c r="C8" s="6" t="s">
        <v>85</v>
      </c>
      <c r="D8" s="30" t="s">
        <v>86</v>
      </c>
      <c r="E8"/>
      <c r="F8"/>
    </row>
    <row r="9" spans="2:6" x14ac:dyDescent="0.25">
      <c r="B9" s="8">
        <v>1</v>
      </c>
      <c r="C9" s="36">
        <f>+FlatLoadShapeEnergy_perMWh!P7</f>
        <v>18.629257845236982</v>
      </c>
      <c r="D9" s="161">
        <f t="shared" ref="D9:D27" si="0">C9/1000</f>
        <v>1.8629257845236981E-2</v>
      </c>
    </row>
    <row r="10" spans="2:6" x14ac:dyDescent="0.25">
      <c r="B10" s="8">
        <v>2</v>
      </c>
      <c r="C10" s="36">
        <f>+FlatLoadShapeEnergy_perMWh!P8</f>
        <v>20.183249529565927</v>
      </c>
      <c r="D10" s="161">
        <f t="shared" si="0"/>
        <v>2.0183249529565926E-2</v>
      </c>
    </row>
    <row r="11" spans="2:6" x14ac:dyDescent="0.25">
      <c r="B11" s="8">
        <v>3</v>
      </c>
      <c r="C11" s="36">
        <f>+FlatLoadShapeEnergy_perMWh!P9</f>
        <v>20.208450680845136</v>
      </c>
      <c r="D11" s="161">
        <f t="shared" si="0"/>
        <v>2.0208450680845137E-2</v>
      </c>
    </row>
    <row r="12" spans="2:6" x14ac:dyDescent="0.25">
      <c r="B12" s="8">
        <v>4</v>
      </c>
      <c r="C12" s="36">
        <f>+FlatLoadShapeEnergy_perMWh!P10</f>
        <v>20.079678998424544</v>
      </c>
      <c r="D12" s="161">
        <f t="shared" si="0"/>
        <v>2.0079678998424545E-2</v>
      </c>
    </row>
    <row r="13" spans="2:6" x14ac:dyDescent="0.25">
      <c r="B13" s="8">
        <v>5</v>
      </c>
      <c r="C13" s="36">
        <f>+FlatLoadShapeEnergy_perMWh!P11</f>
        <v>19.880571443947439</v>
      </c>
      <c r="D13" s="161">
        <f t="shared" si="0"/>
        <v>1.9880571443947437E-2</v>
      </c>
    </row>
    <row r="14" spans="2:6" x14ac:dyDescent="0.25">
      <c r="B14" s="8">
        <v>6</v>
      </c>
      <c r="C14" s="36">
        <f>+FlatLoadShapeEnergy_perMWh!P12</f>
        <v>19.743097631445217</v>
      </c>
      <c r="D14" s="161">
        <f t="shared" si="0"/>
        <v>1.9743097631445217E-2</v>
      </c>
    </row>
    <row r="15" spans="2:6" x14ac:dyDescent="0.25">
      <c r="B15" s="8">
        <v>7</v>
      </c>
      <c r="C15" s="36">
        <f>+FlatLoadShapeEnergy_perMWh!P13</f>
        <v>19.669421748857019</v>
      </c>
      <c r="D15" s="161">
        <f t="shared" si="0"/>
        <v>1.9669421748857017E-2</v>
      </c>
    </row>
    <row r="16" spans="2:6" x14ac:dyDescent="0.25">
      <c r="B16" s="8">
        <v>8</v>
      </c>
      <c r="C16" s="36">
        <f>+FlatLoadShapeEnergy_perMWh!P14</f>
        <v>19.910441251008066</v>
      </c>
      <c r="D16" s="161">
        <f t="shared" si="0"/>
        <v>1.9910441251008066E-2</v>
      </c>
    </row>
    <row r="17" spans="2:4" x14ac:dyDescent="0.25">
      <c r="B17" s="8">
        <v>9</v>
      </c>
      <c r="C17" s="36">
        <f>+FlatLoadShapeEnergy_perMWh!P15</f>
        <v>20.193264507427173</v>
      </c>
      <c r="D17" s="161">
        <f t="shared" si="0"/>
        <v>2.0193264507427172E-2</v>
      </c>
    </row>
    <row r="18" spans="2:4" x14ac:dyDescent="0.25">
      <c r="B18" s="8">
        <v>10</v>
      </c>
      <c r="C18" s="36">
        <f>+FlatLoadShapeEnergy_perMWh!P16</f>
        <v>20.487127178907496</v>
      </c>
      <c r="D18" s="161">
        <f t="shared" si="0"/>
        <v>2.0487127178907497E-2</v>
      </c>
    </row>
    <row r="19" spans="2:4" x14ac:dyDescent="0.25">
      <c r="B19" s="8">
        <v>11</v>
      </c>
      <c r="C19" s="36">
        <f>+FlatLoadShapeEnergy_perMWh!P17</f>
        <v>20.702402890817726</v>
      </c>
      <c r="D19" s="161">
        <f t="shared" si="0"/>
        <v>2.0702402890817727E-2</v>
      </c>
    </row>
    <row r="20" spans="2:4" x14ac:dyDescent="0.25">
      <c r="B20" s="8">
        <v>12</v>
      </c>
      <c r="C20" s="36">
        <f>+FlatLoadShapeEnergy_perMWh!P18</f>
        <v>20.866045774917179</v>
      </c>
      <c r="D20" s="161">
        <f t="shared" si="0"/>
        <v>2.0866045774917179E-2</v>
      </c>
    </row>
    <row r="21" spans="2:4" x14ac:dyDescent="0.25">
      <c r="B21" s="8">
        <v>13</v>
      </c>
      <c r="C21" s="36">
        <f>+FlatLoadShapeEnergy_perMWh!P19</f>
        <v>21.03090622110027</v>
      </c>
      <c r="D21" s="161">
        <f t="shared" si="0"/>
        <v>2.1030906221100272E-2</v>
      </c>
    </row>
    <row r="22" spans="2:4" x14ac:dyDescent="0.25">
      <c r="B22" s="8">
        <v>14</v>
      </c>
      <c r="C22" s="36">
        <f>+FlatLoadShapeEnergy_perMWh!P20</f>
        <v>21.224726606445813</v>
      </c>
      <c r="D22" s="161">
        <f t="shared" si="0"/>
        <v>2.1224726606445813E-2</v>
      </c>
    </row>
    <row r="23" spans="2:4" x14ac:dyDescent="0.25">
      <c r="B23" s="302">
        <v>15</v>
      </c>
      <c r="C23" s="303">
        <f>+FlatLoadShapeEnergy_perMWh!P21</f>
        <v>21.416974764849531</v>
      </c>
      <c r="D23" s="161">
        <f>C23/1000</f>
        <v>2.1416974764849529E-2</v>
      </c>
    </row>
    <row r="24" spans="2:4" x14ac:dyDescent="0.25">
      <c r="B24" s="8">
        <v>16</v>
      </c>
      <c r="C24" s="36">
        <f>+FlatLoadShapeEnergy_perMWh!P22</f>
        <v>21.611321450982938</v>
      </c>
      <c r="D24" s="161">
        <f t="shared" si="0"/>
        <v>2.1611321450982938E-2</v>
      </c>
    </row>
    <row r="25" spans="2:4" x14ac:dyDescent="0.25">
      <c r="B25" s="8">
        <v>17</v>
      </c>
      <c r="C25" s="36">
        <f>+FlatLoadShapeEnergy_perMWh!P23</f>
        <v>21.824258015462373</v>
      </c>
      <c r="D25" s="161">
        <f t="shared" si="0"/>
        <v>2.1824258015462374E-2</v>
      </c>
    </row>
    <row r="26" spans="2:4" x14ac:dyDescent="0.25">
      <c r="B26" s="8">
        <v>18</v>
      </c>
      <c r="C26" s="36">
        <f>+FlatLoadShapeEnergy_perMWh!P24</f>
        <v>22.003306666216289</v>
      </c>
      <c r="D26" s="161">
        <f t="shared" si="0"/>
        <v>2.2003306666216291E-2</v>
      </c>
    </row>
    <row r="27" spans="2:4" x14ac:dyDescent="0.25">
      <c r="B27" s="8">
        <v>19</v>
      </c>
      <c r="C27" s="36">
        <f>+FlatLoadShapeEnergy_perMWh!P25</f>
        <v>22.158689482214587</v>
      </c>
      <c r="D27" s="161">
        <f t="shared" si="0"/>
        <v>2.2158689482214586E-2</v>
      </c>
    </row>
    <row r="28" spans="2:4" x14ac:dyDescent="0.25">
      <c r="B28" s="8">
        <v>20</v>
      </c>
      <c r="C28" s="36">
        <f>+FlatLoadShapeEnergy_perMWh!P26</f>
        <v>22.291672078804169</v>
      </c>
      <c r="D28" s="161">
        <f t="shared" ref="D28:D29" si="1">C28/1000</f>
        <v>2.229167207880417E-2</v>
      </c>
    </row>
    <row r="29" spans="2:4" x14ac:dyDescent="0.25">
      <c r="B29" s="8">
        <v>21</v>
      </c>
      <c r="C29" s="36">
        <f>+FlatLoadShapeEnergy_perMWh!P27</f>
        <v>22.41532952440199</v>
      </c>
      <c r="D29" s="161">
        <f t="shared" si="1"/>
        <v>2.2415329524401992E-2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2020-10-27T07:00:00+00:00</OpenedDate>
    <SignificantOrder xmlns="dc463f71-b30c-4ab2-9473-d307f9d35888">false</SignificantOrder>
    <Date1 xmlns="dc463f71-b30c-4ab2-9473-d307f9d35888">2020-10-27T07:00:00+00:00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200886</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5FC7936A7DF4540999B8277454E47E0" ma:contentTypeVersion="52" ma:contentTypeDescription="" ma:contentTypeScope="" ma:versionID="25e5bf68d3a2efe0b7fec56274d660b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3E0F919-B37F-4217-AEE8-BC978C1FFF41}">
  <ds:schemaRefs>
    <ds:schemaRef ds:uri="http://purl.org/dc/elements/1.1/"/>
    <ds:schemaRef ds:uri="http://schemas.microsoft.com/office/2006/metadata/properties"/>
    <ds:schemaRef ds:uri="dc463f71-b30c-4ab2-9473-d307f9d35888"/>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357C4072-C175-45DC-97FA-586B9A8065B0}"/>
</file>

<file path=customXml/itemProps4.xml><?xml version="1.0" encoding="utf-8"?>
<ds:datastoreItem xmlns:ds="http://schemas.openxmlformats.org/officeDocument/2006/customXml" ds:itemID="{B5E561BE-ACCC-437E-9984-C55965A3F5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2020-10-20T23:25:45Z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0x0101006E56B4D1795A2E4DB2F0B01679ED314A00C5FC7936A7DF4540999B8277454E47E0</vt:lpwstr>
  </property>
  <property fmtid="{D5CDD505-2E9C-101B-9397-08002B2CF9AE}" pid="3" name="_docset_NoMedatataSyncRequired">
    <vt:lpwstr>False</vt:lpwstr>
  </property>
  <property fmtid="{D5CDD505-2E9C-101B-9397-08002B2CF9AE}" pid="4" name="IsEFSEC">
    <vt:bool>false</vt:bool>
  </property>
</Properties>
</file>