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CRM\2020\Preliminary Filing\"/>
    </mc:Choice>
  </mc:AlternateContent>
  <bookViews>
    <workbookView xWindow="0" yWindow="0" windowWidth="19200" windowHeight="6180" tabRatio="914"/>
  </bookViews>
  <sheets>
    <sheet name="CRM Rates" sheetId="113" r:id="rId1"/>
    <sheet name="Summary" sheetId="163" r:id="rId2"/>
    <sheet name="Rate Impacts--&gt;" sheetId="56" r:id="rId3"/>
    <sheet name="Rate Impacts Sch149" sheetId="184" r:id="rId4"/>
    <sheet name="Typical Res Bill Sch149" sheetId="185" r:id="rId5"/>
    <sheet name="Schedule 149" sheetId="186" r:id="rId6"/>
    <sheet name="Work Papers--&gt;" sheetId="27" r:id="rId7"/>
    <sheet name="CRM 2020 Rev Req Alloc" sheetId="75" r:id="rId8"/>
    <sheet name="CRM 2019 Rev Req Alloc TrueUp" sheetId="84" r:id="rId9"/>
    <sheet name="CRM 2019 Rev Req Alloc" sheetId="38" r:id="rId10"/>
    <sheet name="Forecasted Volume" sheetId="25" r:id="rId11"/>
    <sheet name="Allocation Factors" sheetId="24" r:id="rId12"/>
    <sheet name="2020 CAP CRM" sheetId="164" r:id="rId13"/>
    <sheet name="2020 C&amp;OM" sheetId="165" r:id="rId14"/>
    <sheet name="CRM CAP Forecast" sheetId="166" r:id="rId15"/>
    <sheet name="2019 CRM+True Up" sheetId="167" r:id="rId16"/>
    <sheet name="2019 CRM Orig Flng" sheetId="168" r:id="rId17"/>
    <sheet name="2019TrueUp" sheetId="169" r:id="rId18"/>
    <sheet name="2017 4.01 G" sheetId="170" r:id="rId19"/>
    <sheet name="2019 GRC" sheetId="171" r:id="rId20"/>
    <sheet name="MACRS 20" sheetId="172" r:id="rId21"/>
  </sheet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e" hidden="1">{#N/A,#N/A,FALSE,"Month ";#N/A,#N/A,FALSE,"YTD";#N/A,#N/A,FALSE,"12 mo ended"}</definedName>
    <definedName name="Escalator">1.025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8">'2017 4.01 G'!$B$1:$F$21</definedName>
    <definedName name="_xlnm.Print_Area" localSheetId="11">'Allocation Factors'!$B$1:$K$25</definedName>
    <definedName name="_xlnm.Print_Area" localSheetId="9">'CRM 2019 Rev Req Alloc'!$B$1:$L$23</definedName>
    <definedName name="_xlnm.Print_Area" localSheetId="8">'CRM 2019 Rev Req Alloc TrueUp'!$B$1:$L$23</definedName>
    <definedName name="_xlnm.Print_Area" localSheetId="7">'CRM 2020 Rev Req Alloc'!$B$1:$L$27</definedName>
    <definedName name="_xlnm.Print_Area" localSheetId="0">'CRM Rates'!$A$1:$K$21</definedName>
    <definedName name="_xlnm.Print_Area" localSheetId="3">'Rate Impacts Sch149'!$B$1:$U$45</definedName>
    <definedName name="_xlnm.Print_Area" localSheetId="5">'Schedule 149'!$A$1:$I$22</definedName>
    <definedName name="_xlnm.Print_Area" localSheetId="4">'Typical Res Bill Sch149'!$B$1:$H$43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G21" i="186" l="1"/>
  <c r="H21" i="186" s="1"/>
  <c r="E21" i="186"/>
  <c r="F21" i="186"/>
  <c r="F20" i="186"/>
  <c r="R22" i="184" s="1"/>
  <c r="E20" i="186"/>
  <c r="G20" i="186" s="1"/>
  <c r="G19" i="186"/>
  <c r="H19" i="186" s="1"/>
  <c r="E19" i="186"/>
  <c r="F19" i="186"/>
  <c r="F18" i="186"/>
  <c r="R20" i="184" s="1"/>
  <c r="E18" i="186"/>
  <c r="G18" i="186" s="1"/>
  <c r="G17" i="186"/>
  <c r="H17" i="186" s="1"/>
  <c r="E17" i="186"/>
  <c r="F17" i="186"/>
  <c r="F16" i="186"/>
  <c r="R18" i="184" s="1"/>
  <c r="E16" i="186"/>
  <c r="G16" i="186" s="1"/>
  <c r="G15" i="186"/>
  <c r="H15" i="186" s="1"/>
  <c r="E15" i="186"/>
  <c r="F15" i="186"/>
  <c r="R17" i="184" s="1"/>
  <c r="F14" i="186"/>
  <c r="R16" i="184" s="1"/>
  <c r="E14" i="186"/>
  <c r="G14" i="186" s="1"/>
  <c r="E13" i="186"/>
  <c r="F13" i="186"/>
  <c r="F12" i="186"/>
  <c r="R14" i="184" s="1"/>
  <c r="E12" i="186"/>
  <c r="G12" i="186" s="1"/>
  <c r="H12" i="186" s="1"/>
  <c r="E11" i="186"/>
  <c r="G11" i="186" s="1"/>
  <c r="H11" i="186" s="1"/>
  <c r="F11" i="186"/>
  <c r="G10" i="186"/>
  <c r="F10" i="186"/>
  <c r="R12" i="184" s="1"/>
  <c r="E10" i="186"/>
  <c r="E9" i="186"/>
  <c r="C8" i="186"/>
  <c r="G33" i="185"/>
  <c r="G32" i="185"/>
  <c r="G34" i="185" s="1"/>
  <c r="H34" i="185" s="1"/>
  <c r="E30" i="185"/>
  <c r="E28" i="185"/>
  <c r="G25" i="185"/>
  <c r="D25" i="185"/>
  <c r="G24" i="185"/>
  <c r="G23" i="185"/>
  <c r="G22" i="185"/>
  <c r="G21" i="185"/>
  <c r="G20" i="185"/>
  <c r="G19" i="185"/>
  <c r="G18" i="185"/>
  <c r="D26" i="185"/>
  <c r="G13" i="185"/>
  <c r="H13" i="185" s="1"/>
  <c r="E13" i="185"/>
  <c r="G12" i="185"/>
  <c r="H12" i="185" s="1"/>
  <c r="E12" i="185"/>
  <c r="G11" i="185"/>
  <c r="T40" i="184"/>
  <c r="E37" i="184"/>
  <c r="E36" i="184"/>
  <c r="E31" i="184"/>
  <c r="D31" i="184"/>
  <c r="E40" i="184"/>
  <c r="R23" i="184"/>
  <c r="F23" i="184"/>
  <c r="H23" i="184" s="1"/>
  <c r="D37" i="184"/>
  <c r="F22" i="184"/>
  <c r="H22" i="184" s="1"/>
  <c r="S22" i="184" s="1"/>
  <c r="R21" i="184"/>
  <c r="F21" i="184"/>
  <c r="H21" i="184" s="1"/>
  <c r="S20" i="184"/>
  <c r="F20" i="184"/>
  <c r="H20" i="184" s="1"/>
  <c r="R19" i="184"/>
  <c r="F19" i="184"/>
  <c r="F18" i="184"/>
  <c r="H18" i="184" s="1"/>
  <c r="D35" i="184"/>
  <c r="R15" i="184"/>
  <c r="E34" i="184"/>
  <c r="D34" i="184"/>
  <c r="R13" i="184"/>
  <c r="F13" i="184"/>
  <c r="H13" i="184" s="1"/>
  <c r="D32" i="184"/>
  <c r="F12" i="184"/>
  <c r="H12" i="184" s="1"/>
  <c r="S12" i="184" s="1"/>
  <c r="O24" i="184"/>
  <c r="O27" i="184" s="1"/>
  <c r="K24" i="184"/>
  <c r="K27" i="184" s="1"/>
  <c r="F11" i="184"/>
  <c r="D33" i="184" l="1"/>
  <c r="D24" i="184"/>
  <c r="D36" i="184"/>
  <c r="F17" i="184"/>
  <c r="H17" i="184" s="1"/>
  <c r="I15" i="186"/>
  <c r="T17" i="184"/>
  <c r="I19" i="186"/>
  <c r="T21" i="184"/>
  <c r="U21" i="184" s="1"/>
  <c r="G24" i="184"/>
  <c r="H11" i="184"/>
  <c r="L24" i="184"/>
  <c r="L27" i="184" s="1"/>
  <c r="P24" i="184"/>
  <c r="P27" i="184" s="1"/>
  <c r="E35" i="184"/>
  <c r="F16" i="184"/>
  <c r="H16" i="184" s="1"/>
  <c r="S18" i="184"/>
  <c r="E26" i="185"/>
  <c r="D41" i="185"/>
  <c r="T13" i="184"/>
  <c r="I11" i="186"/>
  <c r="I12" i="186"/>
  <c r="T14" i="184"/>
  <c r="H32" i="184"/>
  <c r="S13" i="184"/>
  <c r="Q24" i="184"/>
  <c r="Q27" i="184" s="1"/>
  <c r="I24" i="184"/>
  <c r="I27" i="184" s="1"/>
  <c r="M24" i="184"/>
  <c r="M27" i="184" s="1"/>
  <c r="H19" i="184"/>
  <c r="S19" i="184" s="1"/>
  <c r="S21" i="184"/>
  <c r="H37" i="184"/>
  <c r="S23" i="184"/>
  <c r="S37" i="184" s="1"/>
  <c r="H11" i="185"/>
  <c r="H14" i="185" s="1"/>
  <c r="G14" i="185"/>
  <c r="T19" i="184"/>
  <c r="U19" i="184" s="1"/>
  <c r="I17" i="186"/>
  <c r="T23" i="184"/>
  <c r="I21" i="186"/>
  <c r="F26" i="184"/>
  <c r="H26" i="184" s="1"/>
  <c r="D38" i="184"/>
  <c r="D41" i="184" s="1"/>
  <c r="F14" i="184"/>
  <c r="H14" i="184" s="1"/>
  <c r="E32" i="184"/>
  <c r="E11" i="185"/>
  <c r="E14" i="185" s="1"/>
  <c r="D14" i="185"/>
  <c r="G17" i="185"/>
  <c r="G26" i="185" s="1"/>
  <c r="C22" i="186"/>
  <c r="F9" i="186"/>
  <c r="F15" i="184"/>
  <c r="H15" i="184" s="1"/>
  <c r="E24" i="184"/>
  <c r="E33" i="184"/>
  <c r="G28" i="185"/>
  <c r="H28" i="185" s="1"/>
  <c r="D34" i="185"/>
  <c r="E34" i="185" s="1"/>
  <c r="G30" i="185"/>
  <c r="H30" i="185" s="1"/>
  <c r="H10" i="186"/>
  <c r="J24" i="184"/>
  <c r="J27" i="184" s="1"/>
  <c r="N24" i="184"/>
  <c r="N27" i="184" s="1"/>
  <c r="G9" i="186"/>
  <c r="G13" i="186"/>
  <c r="H13" i="186" s="1"/>
  <c r="H14" i="186"/>
  <c r="H16" i="186"/>
  <c r="H18" i="186"/>
  <c r="H20" i="186"/>
  <c r="R11" i="184" l="1"/>
  <c r="R24" i="184" s="1"/>
  <c r="R27" i="184" s="1"/>
  <c r="F22" i="186"/>
  <c r="S26" i="184"/>
  <c r="H40" i="184"/>
  <c r="U13" i="184"/>
  <c r="I20" i="186"/>
  <c r="T22" i="184"/>
  <c r="U22" i="184" s="1"/>
  <c r="T15" i="184"/>
  <c r="I13" i="186"/>
  <c r="I10" i="186"/>
  <c r="T12" i="184"/>
  <c r="U12" i="184" s="1"/>
  <c r="E38" i="184"/>
  <c r="E41" i="184" s="1"/>
  <c r="D35" i="185"/>
  <c r="T20" i="184"/>
  <c r="U20" i="184" s="1"/>
  <c r="I18" i="186"/>
  <c r="G22" i="186"/>
  <c r="H9" i="186"/>
  <c r="F24" i="184"/>
  <c r="E27" i="184"/>
  <c r="G41" i="185"/>
  <c r="G35" i="185"/>
  <c r="H26" i="185"/>
  <c r="H35" i="185" s="1"/>
  <c r="H33" i="184"/>
  <c r="S14" i="184"/>
  <c r="S33" i="184" s="1"/>
  <c r="T37" i="184"/>
  <c r="U37" i="184" s="1"/>
  <c r="U23" i="184"/>
  <c r="H37" i="185"/>
  <c r="S32" i="184"/>
  <c r="H35" i="184"/>
  <c r="S16" i="184"/>
  <c r="S35" i="184" s="1"/>
  <c r="H31" i="184"/>
  <c r="H38" i="184" s="1"/>
  <c r="S11" i="184"/>
  <c r="H24" i="184"/>
  <c r="H27" i="184" s="1"/>
  <c r="U17" i="184"/>
  <c r="T16" i="184"/>
  <c r="I14" i="186"/>
  <c r="U14" i="184"/>
  <c r="T33" i="184"/>
  <c r="U33" i="184" s="1"/>
  <c r="S17" i="184"/>
  <c r="S36" i="184" s="1"/>
  <c r="H36" i="184"/>
  <c r="T18" i="184"/>
  <c r="U18" i="184" s="1"/>
  <c r="I16" i="186"/>
  <c r="H34" i="184"/>
  <c r="S15" i="184"/>
  <c r="S34" i="184" s="1"/>
  <c r="E35" i="185"/>
  <c r="E37" i="185" s="1"/>
  <c r="H38" i="185" l="1"/>
  <c r="H39" i="185" s="1"/>
  <c r="H41" i="184"/>
  <c r="T36" i="184"/>
  <c r="U36" i="184" s="1"/>
  <c r="S40" i="184"/>
  <c r="U26" i="184"/>
  <c r="H22" i="186"/>
  <c r="I22" i="186" s="1"/>
  <c r="I9" i="186"/>
  <c r="T11" i="184"/>
  <c r="U16" i="184"/>
  <c r="T35" i="184"/>
  <c r="U35" i="184" s="1"/>
  <c r="S31" i="184"/>
  <c r="S38" i="184" s="1"/>
  <c r="S24" i="184"/>
  <c r="S27" i="184" s="1"/>
  <c r="T34" i="184"/>
  <c r="U34" i="184" s="1"/>
  <c r="U15" i="184"/>
  <c r="T32" i="184"/>
  <c r="U32" i="184" s="1"/>
  <c r="T31" i="184" l="1"/>
  <c r="T24" i="184"/>
  <c r="U11" i="184"/>
  <c r="U40" i="184"/>
  <c r="S41" i="184"/>
  <c r="T27" i="184" l="1"/>
  <c r="U27" i="184" s="1"/>
  <c r="U24" i="184"/>
  <c r="T38" i="184"/>
  <c r="U31" i="184"/>
  <c r="U38" i="184" l="1"/>
  <c r="T41" i="184"/>
  <c r="U41" i="184" s="1"/>
  <c r="E9" i="75" l="1"/>
  <c r="E20" i="84" l="1"/>
  <c r="E20" i="38"/>
  <c r="E15" i="38"/>
  <c r="E14" i="38"/>
  <c r="E10" i="38"/>
  <c r="E9" i="38"/>
  <c r="E15" i="84"/>
  <c r="E14" i="84"/>
  <c r="E10" i="84"/>
  <c r="E9" i="84"/>
  <c r="E24" i="75"/>
  <c r="E20" i="75"/>
  <c r="E19" i="75"/>
  <c r="E15" i="75"/>
  <c r="E14" i="75"/>
  <c r="E10" i="75"/>
  <c r="V7" i="172"/>
  <c r="U7" i="172"/>
  <c r="T7" i="172"/>
  <c r="S7" i="172"/>
  <c r="R7" i="172"/>
  <c r="Q7" i="172"/>
  <c r="P7" i="172"/>
  <c r="O7" i="172"/>
  <c r="N7" i="172"/>
  <c r="M7" i="172"/>
  <c r="L7" i="172"/>
  <c r="K7" i="172"/>
  <c r="J7" i="172"/>
  <c r="I7" i="172"/>
  <c r="H7" i="172"/>
  <c r="G7" i="172"/>
  <c r="F7" i="172"/>
  <c r="E7" i="172"/>
  <c r="D7" i="172"/>
  <c r="C7" i="172"/>
  <c r="B7" i="172"/>
  <c r="W7" i="172" s="1"/>
  <c r="V6" i="172"/>
  <c r="U6" i="172"/>
  <c r="T6" i="172"/>
  <c r="S6" i="172"/>
  <c r="R6" i="172"/>
  <c r="Q6" i="172"/>
  <c r="P6" i="172"/>
  <c r="O6" i="172"/>
  <c r="N6" i="172"/>
  <c r="M6" i="172"/>
  <c r="L6" i="172"/>
  <c r="K6" i="172"/>
  <c r="J6" i="172"/>
  <c r="I6" i="172"/>
  <c r="H6" i="172"/>
  <c r="G6" i="172"/>
  <c r="W6" i="172" s="1"/>
  <c r="F6" i="172"/>
  <c r="E6" i="172"/>
  <c r="D6" i="172"/>
  <c r="C6" i="172"/>
  <c r="B6" i="172"/>
  <c r="W5" i="172"/>
  <c r="D43" i="169"/>
  <c r="D28" i="169"/>
  <c r="E28" i="169" s="1"/>
  <c r="F13" i="169"/>
  <c r="A10" i="169"/>
  <c r="A13" i="169" s="1"/>
  <c r="A14" i="169" s="1"/>
  <c r="A15" i="169" s="1"/>
  <c r="A16" i="169" s="1"/>
  <c r="A18" i="169" s="1"/>
  <c r="A19" i="169" s="1"/>
  <c r="A20" i="169" s="1"/>
  <c r="A21" i="169" s="1"/>
  <c r="A22" i="169" s="1"/>
  <c r="A23" i="169" s="1"/>
  <c r="A24" i="169" s="1"/>
  <c r="A25" i="169" s="1"/>
  <c r="A26" i="169" s="1"/>
  <c r="A27" i="169" s="1"/>
  <c r="A28" i="169" s="1"/>
  <c r="A29" i="169" s="1"/>
  <c r="A30" i="169" s="1"/>
  <c r="A31" i="169" s="1"/>
  <c r="A32" i="169" s="1"/>
  <c r="A33" i="169" s="1"/>
  <c r="A34" i="169" s="1"/>
  <c r="A35" i="169" s="1"/>
  <c r="A36" i="169" s="1"/>
  <c r="A37" i="169" s="1"/>
  <c r="A38" i="169" s="1"/>
  <c r="A39" i="169" s="1"/>
  <c r="A40" i="169" s="1"/>
  <c r="A41" i="169" s="1"/>
  <c r="A42" i="169" s="1"/>
  <c r="A43" i="169" s="1"/>
  <c r="AP66" i="168"/>
  <c r="Y62" i="168"/>
  <c r="X62" i="168"/>
  <c r="X58" i="168" s="1"/>
  <c r="W62" i="168"/>
  <c r="V62" i="168"/>
  <c r="U62" i="168"/>
  <c r="U58" i="168" s="1"/>
  <c r="T62" i="168"/>
  <c r="S62" i="168"/>
  <c r="S58" i="168" s="1"/>
  <c r="R62" i="168"/>
  <c r="R58" i="168" s="1"/>
  <c r="Q62" i="168"/>
  <c r="P62" i="168"/>
  <c r="P58" i="168" s="1"/>
  <c r="O62" i="168"/>
  <c r="N62" i="168"/>
  <c r="M62" i="168"/>
  <c r="M58" i="168" s="1"/>
  <c r="L62" i="168"/>
  <c r="K62" i="168"/>
  <c r="J62" i="168"/>
  <c r="J58" i="168" s="1"/>
  <c r="I62" i="168"/>
  <c r="H62" i="168"/>
  <c r="H58" i="168" s="1"/>
  <c r="G62" i="168"/>
  <c r="F62" i="168"/>
  <c r="E62" i="168"/>
  <c r="E58" i="168" s="1"/>
  <c r="D39" i="169" s="1"/>
  <c r="B62" i="168"/>
  <c r="AT58" i="168"/>
  <c r="AT59" i="168" s="1"/>
  <c r="AT60" i="168" s="1"/>
  <c r="AS58" i="168"/>
  <c r="AR58" i="168"/>
  <c r="AQ58" i="168"/>
  <c r="AP58" i="168"/>
  <c r="AO58" i="168"/>
  <c r="AN58" i="168"/>
  <c r="AM58" i="168"/>
  <c r="AL58" i="168"/>
  <c r="AK58" i="168"/>
  <c r="AJ58" i="168"/>
  <c r="AI58" i="168"/>
  <c r="AH58" i="168"/>
  <c r="AG58" i="168"/>
  <c r="AF58" i="168"/>
  <c r="AE58" i="168"/>
  <c r="AD58" i="168"/>
  <c r="AC58" i="168"/>
  <c r="AB58" i="168"/>
  <c r="AA58" i="168"/>
  <c r="Z58" i="168"/>
  <c r="Y58" i="168"/>
  <c r="W58" i="168"/>
  <c r="V58" i="168"/>
  <c r="T58" i="168"/>
  <c r="Q58" i="168"/>
  <c r="O58" i="168"/>
  <c r="N58" i="168"/>
  <c r="L58" i="168"/>
  <c r="K58" i="168"/>
  <c r="I58" i="168"/>
  <c r="G58" i="168"/>
  <c r="F58" i="168"/>
  <c r="AT57" i="168"/>
  <c r="AS57" i="168"/>
  <c r="AS59" i="168" s="1"/>
  <c r="AS60" i="168" s="1"/>
  <c r="AQ57" i="168"/>
  <c r="AQ59" i="168" s="1"/>
  <c r="AQ60" i="168" s="1"/>
  <c r="AU56" i="168"/>
  <c r="AU55" i="168"/>
  <c r="A55" i="168"/>
  <c r="A56" i="168" s="1"/>
  <c r="A57" i="168" s="1"/>
  <c r="A58" i="168" s="1"/>
  <c r="A59" i="168" s="1"/>
  <c r="A60" i="168" s="1"/>
  <c r="A61" i="168" s="1"/>
  <c r="A62" i="168" s="1"/>
  <c r="A63" i="168" s="1"/>
  <c r="A64" i="168" s="1"/>
  <c r="A65" i="168" s="1"/>
  <c r="A66" i="168" s="1"/>
  <c r="AU51" i="168"/>
  <c r="AU50" i="168"/>
  <c r="AU41" i="168"/>
  <c r="A41" i="168"/>
  <c r="A42" i="168" s="1"/>
  <c r="A43" i="168" s="1"/>
  <c r="A44" i="168" s="1"/>
  <c r="A45" i="168" s="1"/>
  <c r="A46" i="168" s="1"/>
  <c r="A47" i="168" s="1"/>
  <c r="A48" i="168" s="1"/>
  <c r="A49" i="168" s="1"/>
  <c r="A50" i="168" s="1"/>
  <c r="A51" i="168" s="1"/>
  <c r="A52" i="168" s="1"/>
  <c r="A53" i="168" s="1"/>
  <c r="A54" i="168" s="1"/>
  <c r="AU40" i="168"/>
  <c r="AU36" i="168"/>
  <c r="A29" i="168"/>
  <c r="A32" i="168" s="1"/>
  <c r="A33" i="168" s="1"/>
  <c r="A34" i="168" s="1"/>
  <c r="A35" i="168" s="1"/>
  <c r="A37" i="168" s="1"/>
  <c r="A38" i="168" s="1"/>
  <c r="A39" i="168" s="1"/>
  <c r="A40" i="168" s="1"/>
  <c r="AV27" i="168"/>
  <c r="AR27" i="168"/>
  <c r="AQ27" i="168"/>
  <c r="AP27" i="168"/>
  <c r="AP57" i="168" s="1"/>
  <c r="AP59" i="168" s="1"/>
  <c r="AP60" i="168" s="1"/>
  <c r="AO27" i="168"/>
  <c r="AN27" i="168"/>
  <c r="AM27" i="168"/>
  <c r="AL27" i="168"/>
  <c r="AK27" i="168"/>
  <c r="AK57" i="168" s="1"/>
  <c r="AK59" i="168" s="1"/>
  <c r="AK60" i="168" s="1"/>
  <c r="AJ27" i="168"/>
  <c r="AI27" i="168"/>
  <c r="AI57" i="168" s="1"/>
  <c r="AH27" i="168"/>
  <c r="AG27" i="168"/>
  <c r="AF27" i="168"/>
  <c r="AE27" i="168"/>
  <c r="AD27" i="168"/>
  <c r="AC27" i="168"/>
  <c r="AB27" i="168"/>
  <c r="AA27" i="168"/>
  <c r="AA57" i="168" s="1"/>
  <c r="AA59" i="168" s="1"/>
  <c r="AA60" i="168" s="1"/>
  <c r="Z27" i="168"/>
  <c r="Y27" i="168"/>
  <c r="X27" i="168"/>
  <c r="W27" i="168"/>
  <c r="V27" i="168"/>
  <c r="U27" i="168"/>
  <c r="T27" i="168"/>
  <c r="S27" i="168"/>
  <c r="R27" i="168"/>
  <c r="Q27" i="168"/>
  <c r="P27" i="168"/>
  <c r="O27" i="168"/>
  <c r="N27" i="168"/>
  <c r="M27" i="168"/>
  <c r="L27" i="168"/>
  <c r="K27" i="168"/>
  <c r="J27" i="168"/>
  <c r="I27" i="168"/>
  <c r="H27" i="168"/>
  <c r="G27" i="168"/>
  <c r="F27" i="168"/>
  <c r="E27" i="168"/>
  <c r="F13" i="168"/>
  <c r="D13" i="168"/>
  <c r="Y66" i="167"/>
  <c r="X66" i="167"/>
  <c r="W66" i="167"/>
  <c r="V66" i="167"/>
  <c r="U66" i="167"/>
  <c r="T66" i="167"/>
  <c r="S66" i="167"/>
  <c r="R66" i="167"/>
  <c r="Q66" i="167"/>
  <c r="P66" i="167"/>
  <c r="O66" i="167"/>
  <c r="N66" i="167"/>
  <c r="M66" i="167"/>
  <c r="L66" i="167"/>
  <c r="K66" i="167"/>
  <c r="J66" i="167"/>
  <c r="I66" i="167"/>
  <c r="H66" i="167"/>
  <c r="G66" i="167"/>
  <c r="AP66" i="167" s="1"/>
  <c r="F66" i="167"/>
  <c r="E66" i="167"/>
  <c r="E43" i="169" s="1"/>
  <c r="F43" i="169" s="1"/>
  <c r="Y65" i="167"/>
  <c r="X65" i="167"/>
  <c r="W65" i="167"/>
  <c r="V65" i="167"/>
  <c r="V62" i="167" s="1"/>
  <c r="U65" i="167"/>
  <c r="T65" i="167"/>
  <c r="S65" i="167"/>
  <c r="R65" i="167"/>
  <c r="Q65" i="167"/>
  <c r="P65" i="167"/>
  <c r="O65" i="167"/>
  <c r="N65" i="167"/>
  <c r="N62" i="167" s="1"/>
  <c r="M65" i="167"/>
  <c r="L65" i="167"/>
  <c r="K65" i="167"/>
  <c r="J65" i="167"/>
  <c r="I65" i="167"/>
  <c r="H65" i="167"/>
  <c r="G65" i="167"/>
  <c r="F65" i="167"/>
  <c r="F62" i="167" s="1"/>
  <c r="E65" i="167"/>
  <c r="Y62" i="167"/>
  <c r="X62" i="167"/>
  <c r="W62" i="167"/>
  <c r="U62" i="167"/>
  <c r="T62" i="167"/>
  <c r="S62" i="167"/>
  <c r="R62" i="167"/>
  <c r="Q62" i="167"/>
  <c r="P62" i="167"/>
  <c r="O62" i="167"/>
  <c r="M62" i="167"/>
  <c r="L62" i="167"/>
  <c r="K62" i="167"/>
  <c r="J62" i="167"/>
  <c r="I62" i="167"/>
  <c r="H62" i="167"/>
  <c r="G62" i="167"/>
  <c r="E62" i="167"/>
  <c r="B62" i="167"/>
  <c r="AJ58" i="167"/>
  <c r="AT57" i="167"/>
  <c r="AU56" i="167"/>
  <c r="AU55" i="167"/>
  <c r="AU51" i="167"/>
  <c r="AU50" i="167"/>
  <c r="AU41" i="167"/>
  <c r="AU40" i="167"/>
  <c r="AU36" i="167"/>
  <c r="A32" i="167"/>
  <c r="A33" i="167" s="1"/>
  <c r="A34" i="167" s="1"/>
  <c r="A35" i="167" s="1"/>
  <c r="A37" i="167" s="1"/>
  <c r="A38" i="167" s="1"/>
  <c r="A39" i="167" s="1"/>
  <c r="A40" i="167" s="1"/>
  <c r="A41" i="167" s="1"/>
  <c r="A42" i="167" s="1"/>
  <c r="A43" i="167" s="1"/>
  <c r="A44" i="167" s="1"/>
  <c r="A45" i="167" s="1"/>
  <c r="A46" i="167" s="1"/>
  <c r="A47" i="167" s="1"/>
  <c r="A48" i="167" s="1"/>
  <c r="A49" i="167" s="1"/>
  <c r="A50" i="167" s="1"/>
  <c r="A51" i="167" s="1"/>
  <c r="A52" i="167" s="1"/>
  <c r="A53" i="167" s="1"/>
  <c r="A54" i="167" s="1"/>
  <c r="A55" i="167" s="1"/>
  <c r="A56" i="167" s="1"/>
  <c r="A57" i="167" s="1"/>
  <c r="A58" i="167" s="1"/>
  <c r="A59" i="167" s="1"/>
  <c r="A60" i="167" s="1"/>
  <c r="A61" i="167" s="1"/>
  <c r="A62" i="167" s="1"/>
  <c r="A63" i="167" s="1"/>
  <c r="A64" i="167" s="1"/>
  <c r="A65" i="167" s="1"/>
  <c r="A66" i="167" s="1"/>
  <c r="A29" i="167"/>
  <c r="AV27" i="167"/>
  <c r="AS27" i="167"/>
  <c r="AS57" i="167" s="1"/>
  <c r="G16" i="167"/>
  <c r="F16" i="167"/>
  <c r="G15" i="167"/>
  <c r="F13" i="167"/>
  <c r="D13" i="167"/>
  <c r="G12" i="167"/>
  <c r="G11" i="167"/>
  <c r="G13" i="167" s="1"/>
  <c r="B87" i="166"/>
  <c r="B86" i="166"/>
  <c r="E81" i="166"/>
  <c r="E80" i="166"/>
  <c r="E78" i="166"/>
  <c r="D78" i="166"/>
  <c r="C78" i="166"/>
  <c r="E77" i="166"/>
  <c r="E76" i="166"/>
  <c r="E75" i="166"/>
  <c r="B65" i="166"/>
  <c r="B64" i="166"/>
  <c r="B57" i="166"/>
  <c r="B56" i="166"/>
  <c r="E49" i="166"/>
  <c r="D47" i="166"/>
  <c r="C47" i="166"/>
  <c r="E46" i="166"/>
  <c r="E50" i="166" s="1"/>
  <c r="D65" i="166" s="1"/>
  <c r="E45" i="166"/>
  <c r="E44" i="166"/>
  <c r="B36" i="166"/>
  <c r="D36" i="166" s="1"/>
  <c r="B35" i="166"/>
  <c r="B20" i="166"/>
  <c r="B19" i="166"/>
  <c r="G5" i="165" s="1"/>
  <c r="H5" i="165" s="1"/>
  <c r="E15" i="166"/>
  <c r="E12" i="166"/>
  <c r="E14" i="166" s="1"/>
  <c r="D10" i="166"/>
  <c r="C10" i="166"/>
  <c r="E9" i="166"/>
  <c r="E13" i="166" s="1"/>
  <c r="D20" i="166" s="1"/>
  <c r="E8" i="166"/>
  <c r="E10" i="166" s="1"/>
  <c r="F22" i="167" s="1"/>
  <c r="E7" i="166"/>
  <c r="F23" i="165"/>
  <c r="F17" i="165"/>
  <c r="E17" i="165"/>
  <c r="D17" i="165"/>
  <c r="F16" i="165"/>
  <c r="F15" i="165"/>
  <c r="F25" i="165" s="1"/>
  <c r="F14" i="165"/>
  <c r="F24" i="165" s="1"/>
  <c r="E6" i="165"/>
  <c r="E19" i="165" s="1"/>
  <c r="D6" i="165"/>
  <c r="D19" i="165" s="1"/>
  <c r="F19" i="165" s="1"/>
  <c r="F5" i="165"/>
  <c r="G4" i="165"/>
  <c r="H4" i="165" s="1"/>
  <c r="F4" i="165"/>
  <c r="Y66" i="164"/>
  <c r="X66" i="164"/>
  <c r="W66" i="164"/>
  <c r="V66" i="164"/>
  <c r="U66" i="164"/>
  <c r="T66" i="164"/>
  <c r="S66" i="164"/>
  <c r="R66" i="164"/>
  <c r="Q66" i="164"/>
  <c r="P66" i="164"/>
  <c r="O66" i="164"/>
  <c r="N66" i="164"/>
  <c r="M66" i="164"/>
  <c r="L66" i="164"/>
  <c r="K66" i="164"/>
  <c r="J66" i="164"/>
  <c r="I66" i="164"/>
  <c r="H66" i="164"/>
  <c r="G66" i="164"/>
  <c r="F66" i="164"/>
  <c r="E66" i="164"/>
  <c r="Y65" i="164"/>
  <c r="X65" i="164"/>
  <c r="W65" i="164"/>
  <c r="V65" i="164"/>
  <c r="U65" i="164"/>
  <c r="U62" i="164" s="1"/>
  <c r="T65" i="164"/>
  <c r="S65" i="164"/>
  <c r="R65" i="164"/>
  <c r="Q65" i="164"/>
  <c r="P65" i="164"/>
  <c r="O65" i="164"/>
  <c r="N65" i="164"/>
  <c r="M65" i="164"/>
  <c r="M62" i="164" s="1"/>
  <c r="L65" i="164"/>
  <c r="K65" i="164"/>
  <c r="J65" i="164"/>
  <c r="I65" i="164"/>
  <c r="H65" i="164"/>
  <c r="G65" i="164"/>
  <c r="F65" i="164"/>
  <c r="E65" i="164"/>
  <c r="E62" i="164" s="1"/>
  <c r="Y62" i="164"/>
  <c r="X62" i="164"/>
  <c r="W62" i="164"/>
  <c r="V62" i="164"/>
  <c r="T62" i="164"/>
  <c r="S62" i="164"/>
  <c r="R62" i="164"/>
  <c r="Q62" i="164"/>
  <c r="P62" i="164"/>
  <c r="O62" i="164"/>
  <c r="N62" i="164"/>
  <c r="L62" i="164"/>
  <c r="K62" i="164"/>
  <c r="J62" i="164"/>
  <c r="I62" i="164"/>
  <c r="H62" i="164"/>
  <c r="G62" i="164"/>
  <c r="F62" i="164"/>
  <c r="B62" i="164"/>
  <c r="AT57" i="164"/>
  <c r="AU56" i="164"/>
  <c r="AU55" i="164"/>
  <c r="AU51" i="164"/>
  <c r="AU50" i="164"/>
  <c r="AU41" i="164"/>
  <c r="AU40" i="164"/>
  <c r="A38" i="164"/>
  <c r="A39" i="164" s="1"/>
  <c r="A40" i="164" s="1"/>
  <c r="A41" i="164" s="1"/>
  <c r="A42" i="164" s="1"/>
  <c r="A43" i="164" s="1"/>
  <c r="A44" i="164" s="1"/>
  <c r="A45" i="164" s="1"/>
  <c r="A46" i="164" s="1"/>
  <c r="A47" i="164" s="1"/>
  <c r="A48" i="164" s="1"/>
  <c r="A49" i="164" s="1"/>
  <c r="A50" i="164" s="1"/>
  <c r="A51" i="164" s="1"/>
  <c r="A52" i="164" s="1"/>
  <c r="A53" i="164" s="1"/>
  <c r="A54" i="164" s="1"/>
  <c r="A55" i="164" s="1"/>
  <c r="A56" i="164" s="1"/>
  <c r="A57" i="164" s="1"/>
  <c r="A58" i="164" s="1"/>
  <c r="A59" i="164" s="1"/>
  <c r="A60" i="164" s="1"/>
  <c r="A61" i="164" s="1"/>
  <c r="A62" i="164" s="1"/>
  <c r="A63" i="164" s="1"/>
  <c r="A64" i="164" s="1"/>
  <c r="A65" i="164" s="1"/>
  <c r="A66" i="164" s="1"/>
  <c r="AU36" i="164"/>
  <c r="E31" i="164"/>
  <c r="A29" i="164"/>
  <c r="A32" i="164" s="1"/>
  <c r="A33" i="164" s="1"/>
  <c r="A34" i="164" s="1"/>
  <c r="A35" i="164" s="1"/>
  <c r="A37" i="164" s="1"/>
  <c r="AS27" i="164"/>
  <c r="AS57" i="164" s="1"/>
  <c r="F16" i="164"/>
  <c r="F15" i="164"/>
  <c r="F12" i="164"/>
  <c r="E12" i="164"/>
  <c r="D12" i="164"/>
  <c r="F11" i="164"/>
  <c r="F13" i="164" s="1"/>
  <c r="E11" i="164"/>
  <c r="D11" i="164"/>
  <c r="D13" i="164" s="1"/>
  <c r="AP58" i="167" l="1"/>
  <c r="AH58" i="167"/>
  <c r="Z58" i="167"/>
  <c r="R58" i="167"/>
  <c r="J58" i="167"/>
  <c r="AO58" i="167"/>
  <c r="AG58" i="167"/>
  <c r="Y58" i="167"/>
  <c r="Q58" i="167"/>
  <c r="I58" i="167"/>
  <c r="AN58" i="167"/>
  <c r="AF58" i="167"/>
  <c r="X58" i="167"/>
  <c r="P58" i="167"/>
  <c r="H58" i="167"/>
  <c r="AM58" i="167"/>
  <c r="AE58" i="167"/>
  <c r="W58" i="167"/>
  <c r="O58" i="167"/>
  <c r="G58" i="167"/>
  <c r="AT58" i="167"/>
  <c r="AT59" i="167" s="1"/>
  <c r="AT60" i="167" s="1"/>
  <c r="AL58" i="167"/>
  <c r="AD58" i="167"/>
  <c r="V58" i="167"/>
  <c r="N58" i="167"/>
  <c r="F58" i="167"/>
  <c r="AS58" i="167"/>
  <c r="AS59" i="167" s="1"/>
  <c r="AS60" i="167" s="1"/>
  <c r="AK58" i="167"/>
  <c r="AC58" i="167"/>
  <c r="U58" i="167"/>
  <c r="M58" i="167"/>
  <c r="E58" i="167"/>
  <c r="AQ58" i="167"/>
  <c r="AI58" i="167"/>
  <c r="AA58" i="167"/>
  <c r="S58" i="167"/>
  <c r="K58" i="167"/>
  <c r="AB58" i="167"/>
  <c r="T58" i="167"/>
  <c r="AR58" i="167"/>
  <c r="L58" i="167"/>
  <c r="F26" i="165"/>
  <c r="E20" i="166"/>
  <c r="D21" i="166"/>
  <c r="H6" i="165"/>
  <c r="G7" i="165" s="1"/>
  <c r="F17" i="164" s="1"/>
  <c r="D37" i="166"/>
  <c r="E36" i="166"/>
  <c r="D66" i="166"/>
  <c r="E65" i="166"/>
  <c r="AP66" i="164"/>
  <c r="C86" i="166"/>
  <c r="C35" i="166"/>
  <c r="E82" i="166"/>
  <c r="D57" i="166"/>
  <c r="C19" i="166"/>
  <c r="C64" i="166"/>
  <c r="E83" i="166"/>
  <c r="H57" i="168"/>
  <c r="H59" i="168" s="1"/>
  <c r="H60" i="168" s="1"/>
  <c r="P57" i="168"/>
  <c r="P59" i="168" s="1"/>
  <c r="P60" i="168" s="1"/>
  <c r="X57" i="168"/>
  <c r="X59" i="168" s="1"/>
  <c r="X60" i="168" s="1"/>
  <c r="AF57" i="168"/>
  <c r="AF59" i="168" s="1"/>
  <c r="AF60" i="168" s="1"/>
  <c r="AN57" i="168"/>
  <c r="AN59" i="168" s="1"/>
  <c r="AN60" i="168" s="1"/>
  <c r="E52" i="166"/>
  <c r="F6" i="165"/>
  <c r="F22" i="164" s="1"/>
  <c r="C56" i="166"/>
  <c r="D87" i="166"/>
  <c r="E47" i="166"/>
  <c r="E51" i="166" s="1"/>
  <c r="G57" i="168"/>
  <c r="O57" i="168"/>
  <c r="O59" i="168" s="1"/>
  <c r="O60" i="168" s="1"/>
  <c r="W57" i="168"/>
  <c r="W59" i="168" s="1"/>
  <c r="W60" i="168" s="1"/>
  <c r="AE57" i="168"/>
  <c r="AE59" i="168" s="1"/>
  <c r="AE60" i="168" s="1"/>
  <c r="I57" i="168"/>
  <c r="I59" i="168" s="1"/>
  <c r="I60" i="168" s="1"/>
  <c r="Q57" i="168"/>
  <c r="Q59" i="168" s="1"/>
  <c r="Q60" i="168" s="1"/>
  <c r="Y57" i="168"/>
  <c r="AG57" i="168"/>
  <c r="AO57" i="168"/>
  <c r="AO59" i="168" s="1"/>
  <c r="AO60" i="168" s="1"/>
  <c r="R57" i="168"/>
  <c r="R59" i="168" s="1"/>
  <c r="R60" i="168" s="1"/>
  <c r="Z57" i="168"/>
  <c r="Z59" i="168" s="1"/>
  <c r="Z60" i="168" s="1"/>
  <c r="AH57" i="168"/>
  <c r="AH59" i="168" s="1"/>
  <c r="AH60" i="168" s="1"/>
  <c r="AI59" i="168"/>
  <c r="AI60" i="168" s="1"/>
  <c r="J57" i="168"/>
  <c r="J59" i="168" s="1"/>
  <c r="J60" i="168" s="1"/>
  <c r="L57" i="168"/>
  <c r="AB57" i="168"/>
  <c r="K57" i="168"/>
  <c r="K59" i="168" s="1"/>
  <c r="K60" i="168" s="1"/>
  <c r="S59" i="168"/>
  <c r="S60" i="168" s="1"/>
  <c r="D8" i="169"/>
  <c r="E47" i="168"/>
  <c r="E57" i="168"/>
  <c r="AU27" i="168"/>
  <c r="M57" i="168"/>
  <c r="M59" i="168" s="1"/>
  <c r="M60" i="168" s="1"/>
  <c r="T57" i="168"/>
  <c r="T59" i="168" s="1"/>
  <c r="T60" i="168" s="1"/>
  <c r="F57" i="168"/>
  <c r="N57" i="168"/>
  <c r="V57" i="168"/>
  <c r="V59" i="168" s="1"/>
  <c r="V60" i="168" s="1"/>
  <c r="AD57" i="168"/>
  <c r="AL57" i="168"/>
  <c r="U57" i="168"/>
  <c r="U59" i="168" s="1"/>
  <c r="U60" i="168" s="1"/>
  <c r="G59" i="168"/>
  <c r="G60" i="168" s="1"/>
  <c r="AM59" i="168"/>
  <c r="AM60" i="168" s="1"/>
  <c r="AU58" i="168"/>
  <c r="S57" i="168"/>
  <c r="AC57" i="168"/>
  <c r="AC59" i="168" s="1"/>
  <c r="AC60" i="168" s="1"/>
  <c r="AD59" i="168"/>
  <c r="AD60" i="168" s="1"/>
  <c r="AL59" i="168"/>
  <c r="AL60" i="168" s="1"/>
  <c r="L59" i="168"/>
  <c r="L60" i="168" s="1"/>
  <c r="Y59" i="168"/>
  <c r="Y60" i="168" s="1"/>
  <c r="AG59" i="168"/>
  <c r="AG60" i="168" s="1"/>
  <c r="AR57" i="168"/>
  <c r="N59" i="168"/>
  <c r="N60" i="168" s="1"/>
  <c r="AJ57" i="168"/>
  <c r="AB59" i="168"/>
  <c r="AB60" i="168" s="1"/>
  <c r="AJ59" i="168"/>
  <c r="AJ60" i="168" s="1"/>
  <c r="AR59" i="168"/>
  <c r="AR60" i="168" s="1"/>
  <c r="AM57" i="168"/>
  <c r="F59" i="168"/>
  <c r="F60" i="168" s="1"/>
  <c r="D88" i="166" l="1"/>
  <c r="E87" i="166"/>
  <c r="F9" i="165"/>
  <c r="C58" i="166"/>
  <c r="E58" i="166" s="1"/>
  <c r="E59" i="166" s="1"/>
  <c r="E56" i="166"/>
  <c r="E60" i="166" s="1"/>
  <c r="F10" i="165"/>
  <c r="E35" i="166"/>
  <c r="C37" i="166"/>
  <c r="E37" i="166" s="1"/>
  <c r="E38" i="166" s="1"/>
  <c r="E39" i="169"/>
  <c r="AU58" i="167"/>
  <c r="E57" i="166"/>
  <c r="E61" i="166" s="1"/>
  <c r="D58" i="166"/>
  <c r="E86" i="166"/>
  <c r="C88" i="166"/>
  <c r="C21" i="166"/>
  <c r="E21" i="166" s="1"/>
  <c r="E22" i="166" s="1"/>
  <c r="F17" i="167" s="1"/>
  <c r="E19" i="166"/>
  <c r="E23" i="166" s="1"/>
  <c r="E64" i="166"/>
  <c r="C66" i="166"/>
  <c r="E66" i="166" s="1"/>
  <c r="H10" i="165"/>
  <c r="AU57" i="168"/>
  <c r="D38" i="169"/>
  <c r="E59" i="168"/>
  <c r="AR58" i="164"/>
  <c r="AO58" i="164"/>
  <c r="AP58" i="164"/>
  <c r="AG58" i="164"/>
  <c r="Y58" i="164"/>
  <c r="Q58" i="164"/>
  <c r="I58" i="164"/>
  <c r="AN58" i="164"/>
  <c r="AF58" i="164"/>
  <c r="X58" i="164"/>
  <c r="P58" i="164"/>
  <c r="H58" i="164"/>
  <c r="AM58" i="164"/>
  <c r="AE58" i="164"/>
  <c r="W58" i="164"/>
  <c r="O58" i="164"/>
  <c r="G58" i="164"/>
  <c r="AL58" i="164"/>
  <c r="AD58" i="164"/>
  <c r="V58" i="164"/>
  <c r="N58" i="164"/>
  <c r="F58" i="164"/>
  <c r="AK58" i="164"/>
  <c r="AC58" i="164"/>
  <c r="U58" i="164"/>
  <c r="M58" i="164"/>
  <c r="E58" i="164"/>
  <c r="AQ58" i="164"/>
  <c r="AH58" i="164"/>
  <c r="Z58" i="164"/>
  <c r="R58" i="164"/>
  <c r="J58" i="164"/>
  <c r="AA58" i="164"/>
  <c r="AN27" i="164"/>
  <c r="AF27" i="164"/>
  <c r="X27" i="164"/>
  <c r="P27" i="164"/>
  <c r="H27" i="164"/>
  <c r="T58" i="164"/>
  <c r="AV27" i="164"/>
  <c r="AM27" i="164"/>
  <c r="AE27" i="164"/>
  <c r="W27" i="164"/>
  <c r="O27" i="164"/>
  <c r="G27" i="164"/>
  <c r="S58" i="164"/>
  <c r="AL27" i="164"/>
  <c r="AD27" i="164"/>
  <c r="V27" i="164"/>
  <c r="N27" i="164"/>
  <c r="F27" i="164"/>
  <c r="AT58" i="164"/>
  <c r="AT59" i="164" s="1"/>
  <c r="AT60" i="164" s="1"/>
  <c r="L58" i="164"/>
  <c r="AK27" i="164"/>
  <c r="AC27" i="164"/>
  <c r="U27" i="164"/>
  <c r="M27" i="164"/>
  <c r="E27" i="164"/>
  <c r="AS58" i="164"/>
  <c r="AS59" i="164" s="1"/>
  <c r="AS60" i="164" s="1"/>
  <c r="K58" i="164"/>
  <c r="AR27" i="164"/>
  <c r="AJ27" i="164"/>
  <c r="AB27" i="164"/>
  <c r="T27" i="164"/>
  <c r="L27" i="164"/>
  <c r="AJ58" i="164"/>
  <c r="AB58" i="164"/>
  <c r="AO27" i="164"/>
  <c r="AG27" i="164"/>
  <c r="Y27" i="164"/>
  <c r="Q27" i="164"/>
  <c r="I27" i="164"/>
  <c r="AI58" i="164"/>
  <c r="AI27" i="164"/>
  <c r="AH27" i="164"/>
  <c r="AA27" i="164"/>
  <c r="Z27" i="164"/>
  <c r="R27" i="164"/>
  <c r="AP27" i="164"/>
  <c r="K27" i="164"/>
  <c r="S27" i="164"/>
  <c r="AQ27" i="164"/>
  <c r="J27" i="164"/>
  <c r="H9" i="165"/>
  <c r="Y57" i="164" l="1"/>
  <c r="M57" i="164"/>
  <c r="U59" i="164"/>
  <c r="U60" i="164" s="1"/>
  <c r="E57" i="164"/>
  <c r="E59" i="164" s="1"/>
  <c r="E47" i="164"/>
  <c r="AU27" i="164"/>
  <c r="AU58" i="164"/>
  <c r="AG57" i="164"/>
  <c r="S59" i="164"/>
  <c r="S60" i="164" s="1"/>
  <c r="Y59" i="164"/>
  <c r="Y60" i="164" s="1"/>
  <c r="AA57" i="164"/>
  <c r="AA59" i="164" s="1"/>
  <c r="AA60" i="164" s="1"/>
  <c r="F57" i="164"/>
  <c r="AR57" i="164"/>
  <c r="P57" i="164"/>
  <c r="P59" i="164" s="1"/>
  <c r="P60" i="164" s="1"/>
  <c r="AI57" i="164"/>
  <c r="V57" i="164"/>
  <c r="H59" i="164"/>
  <c r="H60" i="164" s="1"/>
  <c r="AO59" i="164"/>
  <c r="AO60" i="164" s="1"/>
  <c r="AO57" i="164"/>
  <c r="G57" i="164"/>
  <c r="G59" i="164"/>
  <c r="G60" i="164" s="1"/>
  <c r="E68" i="166"/>
  <c r="N57" i="164"/>
  <c r="N59" i="164" s="1"/>
  <c r="N60" i="164" s="1"/>
  <c r="S57" i="164"/>
  <c r="AK57" i="164"/>
  <c r="AK59" i="164" s="1"/>
  <c r="AK60" i="164" s="1"/>
  <c r="X57" i="164"/>
  <c r="X59" i="164" s="1"/>
  <c r="X60" i="164" s="1"/>
  <c r="K57" i="164"/>
  <c r="AD57" i="164"/>
  <c r="AD59" i="164" s="1"/>
  <c r="AD60" i="164" s="1"/>
  <c r="AE57" i="164"/>
  <c r="AE59" i="164" s="1"/>
  <c r="AE60" i="164" s="1"/>
  <c r="AF57" i="164"/>
  <c r="AR59" i="164"/>
  <c r="AR60" i="164" s="1"/>
  <c r="Q27" i="167"/>
  <c r="H27" i="167"/>
  <c r="AK27" i="167"/>
  <c r="L27" i="167"/>
  <c r="W27" i="167"/>
  <c r="AH27" i="167"/>
  <c r="X27" i="167"/>
  <c r="O27" i="167"/>
  <c r="P27" i="167"/>
  <c r="I27" i="167"/>
  <c r="AC27" i="167"/>
  <c r="AQ27" i="167"/>
  <c r="G27" i="167"/>
  <c r="S27" i="167"/>
  <c r="AR27" i="167"/>
  <c r="AB27" i="167"/>
  <c r="AL27" i="167"/>
  <c r="U27" i="167"/>
  <c r="AA27" i="167"/>
  <c r="R27" i="167"/>
  <c r="F27" i="167"/>
  <c r="AM27" i="167"/>
  <c r="AD27" i="167"/>
  <c r="M27" i="167"/>
  <c r="K27" i="167"/>
  <c r="AJ27" i="167"/>
  <c r="AN27" i="167"/>
  <c r="V27" i="167"/>
  <c r="E27" i="167"/>
  <c r="AP27" i="167"/>
  <c r="T27" i="167"/>
  <c r="AG27" i="167"/>
  <c r="J27" i="167"/>
  <c r="AO27" i="167"/>
  <c r="AF27" i="167"/>
  <c r="N27" i="167"/>
  <c r="Z27" i="167"/>
  <c r="AE27" i="167"/>
  <c r="Y27" i="167"/>
  <c r="AI27" i="167"/>
  <c r="E88" i="166"/>
  <c r="E89" i="166" s="1"/>
  <c r="T57" i="164"/>
  <c r="F59" i="164"/>
  <c r="F60" i="164" s="1"/>
  <c r="Q59" i="164"/>
  <c r="Q60" i="164" s="1"/>
  <c r="E91" i="166"/>
  <c r="Z57" i="164"/>
  <c r="M59" i="164"/>
  <c r="M60" i="164" s="1"/>
  <c r="U57" i="164"/>
  <c r="AQ59" i="164"/>
  <c r="AQ60" i="164" s="1"/>
  <c r="AG59" i="164"/>
  <c r="AG60" i="164" s="1"/>
  <c r="AH57" i="164"/>
  <c r="AH59" i="164" s="1"/>
  <c r="AH60" i="164" s="1"/>
  <c r="O57" i="164"/>
  <c r="AB59" i="164"/>
  <c r="AB60" i="164" s="1"/>
  <c r="AI59" i="164"/>
  <c r="AI60" i="164" s="1"/>
  <c r="AJ59" i="164"/>
  <c r="AJ60" i="164" s="1"/>
  <c r="AL57" i="164"/>
  <c r="AL59" i="164" s="1"/>
  <c r="AL60" i="164" s="1"/>
  <c r="AM57" i="164"/>
  <c r="AN57" i="164"/>
  <c r="AN59" i="164" s="1"/>
  <c r="AN60" i="164" s="1"/>
  <c r="J59" i="164"/>
  <c r="J60" i="164" s="1"/>
  <c r="AM59" i="164"/>
  <c r="AM60" i="164" s="1"/>
  <c r="E90" i="166"/>
  <c r="F39" i="169"/>
  <c r="E24" i="166"/>
  <c r="Z59" i="164"/>
  <c r="Z60" i="164" s="1"/>
  <c r="AB57" i="164"/>
  <c r="T59" i="164"/>
  <c r="T60" i="164" s="1"/>
  <c r="E67" i="166"/>
  <c r="F71" i="166" s="1"/>
  <c r="E71" i="166"/>
  <c r="J57" i="164"/>
  <c r="AJ57" i="164"/>
  <c r="H57" i="164"/>
  <c r="V59" i="164"/>
  <c r="V60" i="164" s="1"/>
  <c r="AQ57" i="164"/>
  <c r="AC57" i="164"/>
  <c r="AC59" i="164" s="1"/>
  <c r="AC60" i="164" s="1"/>
  <c r="O59" i="164"/>
  <c r="O60" i="164" s="1"/>
  <c r="W57" i="164"/>
  <c r="W59" i="164" s="1"/>
  <c r="W60" i="164" s="1"/>
  <c r="AP57" i="164"/>
  <c r="AP59" i="164" s="1"/>
  <c r="AP60" i="164" s="1"/>
  <c r="I57" i="164"/>
  <c r="K59" i="164"/>
  <c r="K60" i="164" s="1"/>
  <c r="R57" i="164"/>
  <c r="Q57" i="164"/>
  <c r="L57" i="164"/>
  <c r="L59" i="164"/>
  <c r="L60" i="164" s="1"/>
  <c r="R59" i="164"/>
  <c r="R60" i="164" s="1"/>
  <c r="AF59" i="164"/>
  <c r="AF60" i="164" s="1"/>
  <c r="I59" i="164"/>
  <c r="I60" i="164" s="1"/>
  <c r="E60" i="168"/>
  <c r="D40" i="169"/>
  <c r="AU59" i="168"/>
  <c r="E69" i="166"/>
  <c r="AD49" i="164" l="1"/>
  <c r="E60" i="164"/>
  <c r="AU59" i="164"/>
  <c r="N49" i="164"/>
  <c r="K49" i="164"/>
  <c r="R49" i="164"/>
  <c r="L49" i="164"/>
  <c r="AH49" i="164"/>
  <c r="AR49" i="164"/>
  <c r="T49" i="164"/>
  <c r="AN49" i="164"/>
  <c r="AK49" i="164"/>
  <c r="H49" i="164"/>
  <c r="AI57" i="167"/>
  <c r="AI59" i="167" s="1"/>
  <c r="AI60" i="167" s="1"/>
  <c r="AB57" i="167"/>
  <c r="AB59" i="167" s="1"/>
  <c r="AB60" i="167" s="1"/>
  <c r="V49" i="164"/>
  <c r="AD57" i="167"/>
  <c r="AD59" i="167" s="1"/>
  <c r="AD60" i="167" s="1"/>
  <c r="AM57" i="167"/>
  <c r="AM59" i="167" s="1"/>
  <c r="AM60" i="167" s="1"/>
  <c r="Z57" i="167"/>
  <c r="Z59" i="167" s="1"/>
  <c r="Z60" i="167" s="1"/>
  <c r="E38" i="169"/>
  <c r="E57" i="167"/>
  <c r="E47" i="167"/>
  <c r="AU27" i="167"/>
  <c r="F57" i="167"/>
  <c r="F59" i="167" s="1"/>
  <c r="F60" i="167" s="1"/>
  <c r="G57" i="167"/>
  <c r="G59" i="167" s="1"/>
  <c r="G60" i="167" s="1"/>
  <c r="W57" i="167"/>
  <c r="W59" i="167" s="1"/>
  <c r="W60" i="167" s="1"/>
  <c r="M57" i="167"/>
  <c r="M59" i="167" s="1"/>
  <c r="M60" i="167" s="1"/>
  <c r="AR57" i="167"/>
  <c r="AR59" i="167" s="1"/>
  <c r="AR60" i="167" s="1"/>
  <c r="F49" i="164"/>
  <c r="N57" i="167"/>
  <c r="N59" i="167" s="1"/>
  <c r="N60" i="167" s="1"/>
  <c r="V57" i="167"/>
  <c r="V59" i="167" s="1"/>
  <c r="V60" i="167" s="1"/>
  <c r="R57" i="167"/>
  <c r="R59" i="167" s="1"/>
  <c r="R60" i="167" s="1"/>
  <c r="AQ57" i="167"/>
  <c r="AQ59" i="167" s="1"/>
  <c r="AQ60" i="167" s="1"/>
  <c r="L57" i="167"/>
  <c r="L59" i="167" s="1"/>
  <c r="L60" i="167" s="1"/>
  <c r="D41" i="169"/>
  <c r="AU60" i="168"/>
  <c r="E48" i="168"/>
  <c r="AS49" i="168"/>
  <c r="AT49" i="168"/>
  <c r="O49" i="168"/>
  <c r="AK49" i="168"/>
  <c r="AI49" i="168"/>
  <c r="AP49" i="168"/>
  <c r="F49" i="168"/>
  <c r="M49" i="168"/>
  <c r="G49" i="168"/>
  <c r="E49" i="168"/>
  <c r="AH49" i="168"/>
  <c r="X49" i="168"/>
  <c r="H49" i="168"/>
  <c r="R49" i="168"/>
  <c r="U49" i="168"/>
  <c r="AM49" i="168"/>
  <c r="AA49" i="168"/>
  <c r="AR49" i="168"/>
  <c r="AE49" i="168"/>
  <c r="AC49" i="168"/>
  <c r="AQ49" i="168"/>
  <c r="N49" i="168"/>
  <c r="AN49" i="168"/>
  <c r="P49" i="168"/>
  <c r="S49" i="168"/>
  <c r="AG49" i="168"/>
  <c r="AO49" i="168"/>
  <c r="K49" i="168"/>
  <c r="L49" i="168"/>
  <c r="AJ49" i="168"/>
  <c r="Z49" i="168"/>
  <c r="AF49" i="168"/>
  <c r="I49" i="168"/>
  <c r="Y49" i="168"/>
  <c r="J49" i="168"/>
  <c r="AB49" i="168"/>
  <c r="W49" i="168"/>
  <c r="V49" i="168"/>
  <c r="AL49" i="168"/>
  <c r="Q49" i="168"/>
  <c r="T49" i="168"/>
  <c r="AD49" i="168"/>
  <c r="Y57" i="167"/>
  <c r="Y59" i="167" s="1"/>
  <c r="Y60" i="167" s="1"/>
  <c r="AE57" i="167"/>
  <c r="AE59" i="167" s="1"/>
  <c r="AE60" i="167" s="1"/>
  <c r="AH57" i="167"/>
  <c r="AH59" i="167" s="1"/>
  <c r="AH60" i="167" s="1"/>
  <c r="AQ49" i="164"/>
  <c r="AF57" i="167"/>
  <c r="AF59" i="167" s="1"/>
  <c r="AF60" i="167" s="1"/>
  <c r="AN57" i="167"/>
  <c r="AN59" i="167" s="1"/>
  <c r="AN60" i="167" s="1"/>
  <c r="AA57" i="167"/>
  <c r="AA59" i="167" s="1"/>
  <c r="AA60" i="167" s="1"/>
  <c r="AC57" i="167"/>
  <c r="AC59" i="167" s="1"/>
  <c r="AC60" i="167" s="1"/>
  <c r="AK57" i="167"/>
  <c r="AK59" i="167" s="1"/>
  <c r="AK60" i="167" s="1"/>
  <c r="AG57" i="167"/>
  <c r="AG59" i="167" s="1"/>
  <c r="AG60" i="167" s="1"/>
  <c r="O57" i="167"/>
  <c r="O59" i="167" s="1"/>
  <c r="O60" i="167" s="1"/>
  <c r="X57" i="167"/>
  <c r="X59" i="167" s="1"/>
  <c r="X60" i="167" s="1"/>
  <c r="S57" i="167"/>
  <c r="S59" i="167" s="1"/>
  <c r="S60" i="167" s="1"/>
  <c r="Q49" i="164"/>
  <c r="AM49" i="164"/>
  <c r="AO57" i="167"/>
  <c r="AO59" i="167" s="1"/>
  <c r="AO60" i="167" s="1"/>
  <c r="AJ57" i="167"/>
  <c r="AJ59" i="167" s="1"/>
  <c r="AJ60" i="167" s="1"/>
  <c r="U57" i="167"/>
  <c r="U59" i="167" s="1"/>
  <c r="U60" i="167" s="1"/>
  <c r="I57" i="167"/>
  <c r="I59" i="167" s="1"/>
  <c r="I60" i="167" s="1"/>
  <c r="H57" i="167"/>
  <c r="H59" i="167" s="1"/>
  <c r="H60" i="167" s="1"/>
  <c r="AU57" i="164"/>
  <c r="T57" i="167"/>
  <c r="T59" i="167" s="1"/>
  <c r="T60" i="167" s="1"/>
  <c r="I49" i="164"/>
  <c r="AP57" i="167"/>
  <c r="AP59" i="167" s="1"/>
  <c r="AP60" i="167" s="1"/>
  <c r="J57" i="167"/>
  <c r="J59" i="167" s="1"/>
  <c r="J60" i="167" s="1"/>
  <c r="K57" i="167"/>
  <c r="K59" i="167" s="1"/>
  <c r="K60" i="167" s="1"/>
  <c r="AL57" i="167"/>
  <c r="AL59" i="167" s="1"/>
  <c r="AL60" i="167" s="1"/>
  <c r="P57" i="167"/>
  <c r="P59" i="167" s="1"/>
  <c r="P60" i="167" s="1"/>
  <c r="Q57" i="167"/>
  <c r="Q59" i="167" s="1"/>
  <c r="Q60" i="167" s="1"/>
  <c r="AO33" i="168" l="1"/>
  <c r="AO34" i="168"/>
  <c r="AO52" i="168" s="1"/>
  <c r="AO32" i="168"/>
  <c r="AO35" i="168" s="1"/>
  <c r="O34" i="168"/>
  <c r="O52" i="168" s="1"/>
  <c r="O32" i="168"/>
  <c r="O35" i="168" s="1"/>
  <c r="O33" i="168"/>
  <c r="V34" i="164"/>
  <c r="V52" i="164" s="1"/>
  <c r="V32" i="164"/>
  <c r="V35" i="164" s="1"/>
  <c r="V33" i="164"/>
  <c r="AH33" i="164"/>
  <c r="AH32" i="164"/>
  <c r="AH34" i="164"/>
  <c r="AH52" i="164" s="1"/>
  <c r="N34" i="164"/>
  <c r="N52" i="164" s="1"/>
  <c r="N32" i="164"/>
  <c r="N33" i="164"/>
  <c r="AD34" i="168"/>
  <c r="AD52" i="168" s="1"/>
  <c r="AD32" i="168"/>
  <c r="AD33" i="168"/>
  <c r="Y33" i="168"/>
  <c r="Y34" i="168"/>
  <c r="Y52" i="168" s="1"/>
  <c r="Y32" i="168"/>
  <c r="Y35" i="168" s="1"/>
  <c r="AG33" i="168"/>
  <c r="AG34" i="168"/>
  <c r="AG52" i="168" s="1"/>
  <c r="AG32" i="168"/>
  <c r="AG35" i="168" s="1"/>
  <c r="AR33" i="168"/>
  <c r="AR34" i="168"/>
  <c r="AR52" i="168" s="1"/>
  <c r="AR32" i="168"/>
  <c r="AR35" i="168" s="1"/>
  <c r="D30" i="169"/>
  <c r="E34" i="168"/>
  <c r="E32" i="168"/>
  <c r="E33" i="168"/>
  <c r="AU49" i="168"/>
  <c r="AT34" i="168"/>
  <c r="AT52" i="168" s="1"/>
  <c r="AT32" i="168"/>
  <c r="AT33" i="168"/>
  <c r="AK34" i="164"/>
  <c r="AK52" i="164" s="1"/>
  <c r="AK32" i="164"/>
  <c r="AK35" i="164" s="1"/>
  <c r="AK33" i="164"/>
  <c r="L34" i="164"/>
  <c r="L52" i="164" s="1"/>
  <c r="L32" i="164"/>
  <c r="L35" i="164" s="1"/>
  <c r="L33" i="164"/>
  <c r="AM34" i="164"/>
  <c r="AM52" i="164" s="1"/>
  <c r="AM32" i="164"/>
  <c r="AM33" i="164"/>
  <c r="T33" i="168"/>
  <c r="T34" i="168"/>
  <c r="T52" i="168" s="1"/>
  <c r="T32" i="168"/>
  <c r="I33" i="168"/>
  <c r="I34" i="168"/>
  <c r="I52" i="168" s="1"/>
  <c r="I32" i="168"/>
  <c r="I35" i="168" s="1"/>
  <c r="S33" i="168"/>
  <c r="S34" i="168"/>
  <c r="S52" i="168" s="1"/>
  <c r="S32" i="168"/>
  <c r="S35" i="168" s="1"/>
  <c r="AA33" i="168"/>
  <c r="AA32" i="168"/>
  <c r="AA34" i="168"/>
  <c r="AA52" i="168" s="1"/>
  <c r="G34" i="168"/>
  <c r="G52" i="168" s="1"/>
  <c r="G32" i="168"/>
  <c r="G33" i="168"/>
  <c r="AS34" i="168"/>
  <c r="AS52" i="168" s="1"/>
  <c r="AS32" i="168"/>
  <c r="AS35" i="168" s="1"/>
  <c r="AS33" i="168"/>
  <c r="AN33" i="164"/>
  <c r="AN34" i="164"/>
  <c r="AN52" i="164" s="1"/>
  <c r="AN32" i="164"/>
  <c r="R33" i="164"/>
  <c r="R34" i="164"/>
  <c r="R52" i="164" s="1"/>
  <c r="R32" i="164"/>
  <c r="R35" i="164" s="1"/>
  <c r="E48" i="164"/>
  <c r="AU60" i="164"/>
  <c r="AT49" i="164"/>
  <c r="M49" i="164"/>
  <c r="E49" i="164"/>
  <c r="AG49" i="164"/>
  <c r="Y49" i="164"/>
  <c r="O49" i="164"/>
  <c r="AS49" i="164"/>
  <c r="AB49" i="164"/>
  <c r="J49" i="164"/>
  <c r="AD34" i="164"/>
  <c r="AD52" i="164" s="1"/>
  <c r="AD32" i="164"/>
  <c r="AD33" i="164"/>
  <c r="AC49" i="164"/>
  <c r="AL49" i="164"/>
  <c r="AP49" i="164"/>
  <c r="U49" i="164"/>
  <c r="P49" i="164"/>
  <c r="J33" i="168"/>
  <c r="J34" i="168"/>
  <c r="J52" i="168" s="1"/>
  <c r="J32" i="168"/>
  <c r="J35" i="168" s="1"/>
  <c r="AH33" i="168"/>
  <c r="AH32" i="168"/>
  <c r="AH34" i="168"/>
  <c r="AH52" i="168" s="1"/>
  <c r="H33" i="164"/>
  <c r="H34" i="164"/>
  <c r="H52" i="164" s="1"/>
  <c r="H32" i="164"/>
  <c r="H35" i="164" s="1"/>
  <c r="Q33" i="168"/>
  <c r="Q34" i="168"/>
  <c r="Q52" i="168" s="1"/>
  <c r="Q32" i="168"/>
  <c r="Q35" i="168" s="1"/>
  <c r="P34" i="168"/>
  <c r="P52" i="168" s="1"/>
  <c r="P32" i="168"/>
  <c r="P35" i="168" s="1"/>
  <c r="P33" i="168"/>
  <c r="M34" i="168"/>
  <c r="M52" i="168" s="1"/>
  <c r="M32" i="168"/>
  <c r="M35" i="168" s="1"/>
  <c r="M33" i="168"/>
  <c r="T34" i="164"/>
  <c r="T52" i="164" s="1"/>
  <c r="T32" i="164"/>
  <c r="T33" i="164"/>
  <c r="AL34" i="168"/>
  <c r="AL52" i="168" s="1"/>
  <c r="AL32" i="168"/>
  <c r="AL33" i="168"/>
  <c r="AN34" i="168"/>
  <c r="AN52" i="168" s="1"/>
  <c r="AN32" i="168"/>
  <c r="AN33" i="168"/>
  <c r="F34" i="168"/>
  <c r="F52" i="168" s="1"/>
  <c r="F32" i="168"/>
  <c r="F33" i="168"/>
  <c r="V34" i="168"/>
  <c r="V52" i="168" s="1"/>
  <c r="V32" i="168"/>
  <c r="V33" i="168"/>
  <c r="N34" i="168"/>
  <c r="N52" i="168" s="1"/>
  <c r="N32" i="168"/>
  <c r="N33" i="168"/>
  <c r="AP33" i="168"/>
  <c r="AP32" i="168"/>
  <c r="AP35" i="168" s="1"/>
  <c r="AP34" i="168"/>
  <c r="AP52" i="168" s="1"/>
  <c r="F34" i="164"/>
  <c r="F52" i="164" s="1"/>
  <c r="F32" i="164"/>
  <c r="F35" i="164" s="1"/>
  <c r="F33" i="164"/>
  <c r="AU57" i="167"/>
  <c r="E59" i="167"/>
  <c r="I33" i="164"/>
  <c r="I34" i="164"/>
  <c r="I52" i="164" s="1"/>
  <c r="I32" i="164"/>
  <c r="W34" i="168"/>
  <c r="W52" i="168" s="1"/>
  <c r="W32" i="168"/>
  <c r="W35" i="168" s="1"/>
  <c r="W33" i="168"/>
  <c r="L33" i="168"/>
  <c r="L34" i="168"/>
  <c r="L52" i="168" s="1"/>
  <c r="L32" i="168"/>
  <c r="L35" i="168" s="1"/>
  <c r="AQ33" i="168"/>
  <c r="AQ34" i="168"/>
  <c r="AQ52" i="168" s="1"/>
  <c r="AQ32" i="168"/>
  <c r="H34" i="168"/>
  <c r="H52" i="168" s="1"/>
  <c r="H32" i="168"/>
  <c r="H33" i="168"/>
  <c r="AI33" i="168"/>
  <c r="AI32" i="168"/>
  <c r="AI34" i="168"/>
  <c r="AI52" i="168" s="1"/>
  <c r="AF49" i="164"/>
  <c r="E8" i="169"/>
  <c r="F38" i="169"/>
  <c r="E40" i="169"/>
  <c r="F40" i="169" s="1"/>
  <c r="AO49" i="164"/>
  <c r="AA49" i="164"/>
  <c r="G49" i="164"/>
  <c r="AE34" i="168"/>
  <c r="AE52" i="168" s="1"/>
  <c r="AE32" i="168"/>
  <c r="AE33" i="168"/>
  <c r="Q33" i="164"/>
  <c r="Q32" i="164"/>
  <c r="Q34" i="164"/>
  <c r="Q52" i="164" s="1"/>
  <c r="AF34" i="168"/>
  <c r="AF52" i="168" s="1"/>
  <c r="AF32" i="168"/>
  <c r="AF33" i="168"/>
  <c r="AM34" i="168"/>
  <c r="AM52" i="168" s="1"/>
  <c r="AM32" i="168"/>
  <c r="AM33" i="168"/>
  <c r="K33" i="164"/>
  <c r="K34" i="164"/>
  <c r="K52" i="164" s="1"/>
  <c r="K32" i="164"/>
  <c r="K35" i="164" s="1"/>
  <c r="Z33" i="168"/>
  <c r="Z32" i="168"/>
  <c r="Z35" i="168" s="1"/>
  <c r="Z34" i="168"/>
  <c r="Z52" i="168" s="1"/>
  <c r="U34" i="168"/>
  <c r="U52" i="168" s="1"/>
  <c r="U32" i="168"/>
  <c r="U35" i="168" s="1"/>
  <c r="U33" i="168"/>
  <c r="AJ33" i="168"/>
  <c r="AJ34" i="168"/>
  <c r="AJ52" i="168" s="1"/>
  <c r="AJ32" i="168"/>
  <c r="AJ35" i="168" s="1"/>
  <c r="R33" i="168"/>
  <c r="R34" i="168"/>
  <c r="R52" i="168" s="1"/>
  <c r="R32" i="168"/>
  <c r="AR34" i="164"/>
  <c r="AR52" i="164" s="1"/>
  <c r="AR32" i="164"/>
  <c r="AR33" i="164"/>
  <c r="AQ33" i="164"/>
  <c r="AQ34" i="164"/>
  <c r="AQ52" i="164" s="1"/>
  <c r="AQ32" i="164"/>
  <c r="AQ35" i="164" s="1"/>
  <c r="AB33" i="168"/>
  <c r="AB34" i="168"/>
  <c r="AB52" i="168" s="1"/>
  <c r="AB32" i="168"/>
  <c r="AB35" i="168" s="1"/>
  <c r="K33" i="168"/>
  <c r="K34" i="168"/>
  <c r="K52" i="168" s="1"/>
  <c r="K32" i="168"/>
  <c r="K35" i="168" s="1"/>
  <c r="AC34" i="168"/>
  <c r="AC52" i="168" s="1"/>
  <c r="AC32" i="168"/>
  <c r="AC35" i="168" s="1"/>
  <c r="AC33" i="168"/>
  <c r="X34" i="168"/>
  <c r="X52" i="168" s="1"/>
  <c r="X32" i="168"/>
  <c r="X35" i="168" s="1"/>
  <c r="X33" i="168"/>
  <c r="AK34" i="168"/>
  <c r="AK52" i="168" s="1"/>
  <c r="AK32" i="168"/>
  <c r="AK33" i="168"/>
  <c r="AI49" i="164"/>
  <c r="S49" i="164"/>
  <c r="X49" i="164"/>
  <c r="W49" i="164"/>
  <c r="AE49" i="164"/>
  <c r="AJ49" i="164"/>
  <c r="Z49" i="164"/>
  <c r="AI33" i="164" l="1"/>
  <c r="AI34" i="164"/>
  <c r="AI52" i="164" s="1"/>
  <c r="AI32" i="164"/>
  <c r="AI35" i="164" s="1"/>
  <c r="I53" i="164"/>
  <c r="I29" i="164" s="1"/>
  <c r="I54" i="164"/>
  <c r="AH53" i="168"/>
  <c r="AH29" i="168" s="1"/>
  <c r="AH54" i="168"/>
  <c r="D15" i="169"/>
  <c r="E52" i="168"/>
  <c r="AU34" i="168"/>
  <c r="AC53" i="168"/>
  <c r="AC29" i="168" s="1"/>
  <c r="AC37" i="168" s="1"/>
  <c r="AF35" i="168"/>
  <c r="O34" i="164"/>
  <c r="O52" i="164" s="1"/>
  <c r="O32" i="164"/>
  <c r="O33" i="164"/>
  <c r="AK53" i="164"/>
  <c r="AK29" i="164" s="1"/>
  <c r="AK37" i="164" s="1"/>
  <c r="AA33" i="164"/>
  <c r="AA34" i="164"/>
  <c r="AA52" i="164" s="1"/>
  <c r="AA32" i="164"/>
  <c r="AA35" i="164" s="1"/>
  <c r="Y33" i="164"/>
  <c r="Y32" i="164"/>
  <c r="Y34" i="164"/>
  <c r="Y52" i="164" s="1"/>
  <c r="K53" i="168"/>
  <c r="K29" i="168" s="1"/>
  <c r="K37" i="168" s="1"/>
  <c r="K54" i="164"/>
  <c r="K53" i="164"/>
  <c r="K29" i="164" s="1"/>
  <c r="K37" i="164" s="1"/>
  <c r="AO33" i="164"/>
  <c r="AO34" i="164"/>
  <c r="AO52" i="164" s="1"/>
  <c r="AO32" i="164"/>
  <c r="AO35" i="164" s="1"/>
  <c r="N35" i="168"/>
  <c r="T53" i="164"/>
  <c r="T29" i="164" s="1"/>
  <c r="Q54" i="168"/>
  <c r="Q53" i="168"/>
  <c r="Q29" i="168" s="1"/>
  <c r="Q37" i="168" s="1"/>
  <c r="AG33" i="164"/>
  <c r="AG32" i="164"/>
  <c r="AG34" i="164"/>
  <c r="AG52" i="164" s="1"/>
  <c r="G35" i="168"/>
  <c r="AM53" i="164"/>
  <c r="AM29" i="164" s="1"/>
  <c r="AM54" i="164"/>
  <c r="AT35" i="168"/>
  <c r="AR53" i="168"/>
  <c r="AR29" i="168" s="1"/>
  <c r="AR37" i="168" s="1"/>
  <c r="AO53" i="168"/>
  <c r="AO29" i="168" s="1"/>
  <c r="AO37" i="168" s="1"/>
  <c r="AS34" i="164"/>
  <c r="AS52" i="164" s="1"/>
  <c r="AS32" i="164"/>
  <c r="AS33" i="164"/>
  <c r="G34" i="164"/>
  <c r="G52" i="164" s="1"/>
  <c r="G32" i="164"/>
  <c r="G33" i="164"/>
  <c r="P53" i="168"/>
  <c r="P29" i="168" s="1"/>
  <c r="P37" i="168" s="1"/>
  <c r="P54" i="168"/>
  <c r="AS53" i="168"/>
  <c r="AS29" i="168" s="1"/>
  <c r="AS37" i="168" s="1"/>
  <c r="Y53" i="168"/>
  <c r="Y29" i="168" s="1"/>
  <c r="Y37" i="168" s="1"/>
  <c r="Z33" i="164"/>
  <c r="Z34" i="164"/>
  <c r="Z52" i="164" s="1"/>
  <c r="Z32" i="164"/>
  <c r="Z35" i="164" s="1"/>
  <c r="AJ53" i="168"/>
  <c r="AJ29" i="168" s="1"/>
  <c r="AJ37" i="168" s="1"/>
  <c r="AJ54" i="168"/>
  <c r="L53" i="168"/>
  <c r="L29" i="168" s="1"/>
  <c r="L37" i="168" s="1"/>
  <c r="AC34" i="164"/>
  <c r="AC52" i="164" s="1"/>
  <c r="AC32" i="164"/>
  <c r="AC33" i="164"/>
  <c r="AM35" i="164"/>
  <c r="AH35" i="164"/>
  <c r="AK53" i="168"/>
  <c r="AK29" i="168" s="1"/>
  <c r="AK37" i="168" s="1"/>
  <c r="Q53" i="164"/>
  <c r="Q29" i="164" s="1"/>
  <c r="Q54" i="164"/>
  <c r="AE34" i="164"/>
  <c r="AE52" i="164" s="1"/>
  <c r="AE32" i="164"/>
  <c r="AE33" i="164"/>
  <c r="AR35" i="164"/>
  <c r="Q35" i="164"/>
  <c r="H35" i="168"/>
  <c r="N53" i="168"/>
  <c r="N29" i="168" s="1"/>
  <c r="AN35" i="168"/>
  <c r="J53" i="168"/>
  <c r="J29" i="168" s="1"/>
  <c r="J37" i="168" s="1"/>
  <c r="J54" i="168"/>
  <c r="AD35" i="164"/>
  <c r="AU49" i="164"/>
  <c r="E34" i="164"/>
  <c r="E32" i="164"/>
  <c r="E33" i="164"/>
  <c r="AN35" i="164"/>
  <c r="G53" i="168"/>
  <c r="G29" i="168" s="1"/>
  <c r="I53" i="168"/>
  <c r="I29" i="168" s="1"/>
  <c r="I37" i="168" s="1"/>
  <c r="AT53" i="168"/>
  <c r="AT29" i="168" s="1"/>
  <c r="AT37" i="168" s="1"/>
  <c r="AD35" i="168"/>
  <c r="AP32" i="164"/>
  <c r="AP33" i="164"/>
  <c r="AP34" i="164"/>
  <c r="AP52" i="164" s="1"/>
  <c r="AL34" i="164"/>
  <c r="AL52" i="164" s="1"/>
  <c r="AL32" i="164"/>
  <c r="AL35" i="164" s="1"/>
  <c r="AL33" i="164"/>
  <c r="AK35" i="168"/>
  <c r="T35" i="164"/>
  <c r="R53" i="164"/>
  <c r="R29" i="164" s="1"/>
  <c r="R37" i="164" s="1"/>
  <c r="AJ34" i="164"/>
  <c r="AJ52" i="164" s="1"/>
  <c r="AJ32" i="164"/>
  <c r="AJ33" i="164"/>
  <c r="AR53" i="164"/>
  <c r="AR29" i="164" s="1"/>
  <c r="H54" i="168"/>
  <c r="H53" i="168"/>
  <c r="H29" i="168" s="1"/>
  <c r="H37" i="168" s="1"/>
  <c r="AN53" i="168"/>
  <c r="AN29" i="168" s="1"/>
  <c r="AN37" i="168" s="1"/>
  <c r="AD53" i="164"/>
  <c r="AD29" i="164" s="1"/>
  <c r="AD37" i="164" s="1"/>
  <c r="AD54" i="164"/>
  <c r="M34" i="164"/>
  <c r="M52" i="164" s="1"/>
  <c r="M32" i="164"/>
  <c r="M33" i="164"/>
  <c r="AN53" i="164"/>
  <c r="AN29" i="164" s="1"/>
  <c r="AN37" i="164" s="1"/>
  <c r="AN54" i="164"/>
  <c r="AA53" i="168"/>
  <c r="AA29" i="168" s="1"/>
  <c r="AA54" i="168"/>
  <c r="AD54" i="168"/>
  <c r="AD53" i="168"/>
  <c r="AD29" i="168" s="1"/>
  <c r="AI53" i="168"/>
  <c r="AI29" i="168" s="1"/>
  <c r="AL53" i="168"/>
  <c r="AL29" i="168" s="1"/>
  <c r="N53" i="164"/>
  <c r="N29" i="164" s="1"/>
  <c r="N54" i="164"/>
  <c r="AQ54" i="164"/>
  <c r="AQ53" i="164"/>
  <c r="AQ29" i="164" s="1"/>
  <c r="AQ37" i="164" s="1"/>
  <c r="AH53" i="164"/>
  <c r="AH29" i="164" s="1"/>
  <c r="F53" i="168"/>
  <c r="F29" i="168" s="1"/>
  <c r="X53" i="168"/>
  <c r="X29" i="168" s="1"/>
  <c r="X37" i="168" s="1"/>
  <c r="R35" i="168"/>
  <c r="AM35" i="168"/>
  <c r="F8" i="169"/>
  <c r="AQ35" i="168"/>
  <c r="W53" i="168"/>
  <c r="W29" i="168" s="1"/>
  <c r="W37" i="168" s="1"/>
  <c r="F53" i="164"/>
  <c r="F29" i="164" s="1"/>
  <c r="F37" i="164" s="1"/>
  <c r="V35" i="168"/>
  <c r="M53" i="168"/>
  <c r="M29" i="168" s="1"/>
  <c r="M37" i="168" s="1"/>
  <c r="H53" i="164"/>
  <c r="H29" i="164" s="1"/>
  <c r="H37" i="164" s="1"/>
  <c r="H54" i="164"/>
  <c r="P33" i="164"/>
  <c r="P34" i="164"/>
  <c r="P52" i="164" s="1"/>
  <c r="P32" i="164"/>
  <c r="J33" i="164"/>
  <c r="J34" i="164"/>
  <c r="J52" i="164" s="1"/>
  <c r="J32" i="164"/>
  <c r="AT33" i="164"/>
  <c r="AT34" i="164"/>
  <c r="AT52" i="164" s="1"/>
  <c r="AT32" i="164"/>
  <c r="AT35" i="164" s="1"/>
  <c r="AA35" i="168"/>
  <c r="T35" i="168"/>
  <c r="L53" i="164"/>
  <c r="L29" i="164" s="1"/>
  <c r="L37" i="164" s="1"/>
  <c r="AU33" i="168"/>
  <c r="D14" i="169"/>
  <c r="AG53" i="168"/>
  <c r="AG29" i="168" s="1"/>
  <c r="AG37" i="168" s="1"/>
  <c r="V53" i="164"/>
  <c r="V29" i="164" s="1"/>
  <c r="V37" i="164" s="1"/>
  <c r="AE53" i="168"/>
  <c r="AE29" i="168" s="1"/>
  <c r="AE37" i="168" s="1"/>
  <c r="AI35" i="168"/>
  <c r="F35" i="168"/>
  <c r="AH35" i="168"/>
  <c r="S53" i="168"/>
  <c r="S29" i="168" s="1"/>
  <c r="S37" i="168" s="1"/>
  <c r="O53" i="168"/>
  <c r="O29" i="168" s="1"/>
  <c r="O37" i="168" s="1"/>
  <c r="O54" i="168"/>
  <c r="AF54" i="168"/>
  <c r="AF53" i="168"/>
  <c r="AF29" i="168" s="1"/>
  <c r="AF37" i="168" s="1"/>
  <c r="E60" i="167"/>
  <c r="AU59" i="167"/>
  <c r="W34" i="164"/>
  <c r="W52" i="164" s="1"/>
  <c r="W32" i="164"/>
  <c r="W35" i="164" s="1"/>
  <c r="W33" i="164"/>
  <c r="X33" i="164"/>
  <c r="X34" i="164"/>
  <c r="X52" i="164" s="1"/>
  <c r="X32" i="164"/>
  <c r="AB53" i="168"/>
  <c r="AB29" i="168" s="1"/>
  <c r="AB37" i="168" s="1"/>
  <c r="U53" i="168"/>
  <c r="U29" i="168" s="1"/>
  <c r="U37" i="168" s="1"/>
  <c r="U54" i="168"/>
  <c r="S33" i="164"/>
  <c r="S34" i="164"/>
  <c r="S52" i="164" s="1"/>
  <c r="S32" i="164"/>
  <c r="S35" i="164" s="1"/>
  <c r="R53" i="168"/>
  <c r="R29" i="168" s="1"/>
  <c r="R54" i="168"/>
  <c r="Z53" i="168"/>
  <c r="Z29" i="168" s="1"/>
  <c r="Z37" i="168" s="1"/>
  <c r="Z54" i="168"/>
  <c r="AM53" i="168"/>
  <c r="AM29" i="168" s="1"/>
  <c r="AM37" i="168" s="1"/>
  <c r="AE35" i="168"/>
  <c r="AF33" i="164"/>
  <c r="AF34" i="164"/>
  <c r="AF52" i="164" s="1"/>
  <c r="AF32" i="164"/>
  <c r="AF35" i="164" s="1"/>
  <c r="AQ53" i="168"/>
  <c r="AQ29" i="168" s="1"/>
  <c r="AQ37" i="168" s="1"/>
  <c r="I35" i="164"/>
  <c r="AP53" i="168"/>
  <c r="AP29" i="168" s="1"/>
  <c r="AP37" i="168" s="1"/>
  <c r="AP54" i="168"/>
  <c r="V53" i="168"/>
  <c r="V29" i="168" s="1"/>
  <c r="V37" i="168" s="1"/>
  <c r="AL35" i="168"/>
  <c r="U34" i="164"/>
  <c r="U52" i="164" s="1"/>
  <c r="U32" i="164"/>
  <c r="U33" i="164"/>
  <c r="AB34" i="164"/>
  <c r="AB52" i="164" s="1"/>
  <c r="AB32" i="164"/>
  <c r="AB33" i="164"/>
  <c r="T53" i="168"/>
  <c r="T29" i="168" s="1"/>
  <c r="T37" i="168" s="1"/>
  <c r="AU32" i="168"/>
  <c r="E35" i="168"/>
  <c r="N35" i="164"/>
  <c r="AS53" i="164" l="1"/>
  <c r="AS29" i="164" s="1"/>
  <c r="D16" i="169"/>
  <c r="AU35" i="168"/>
  <c r="W53" i="164"/>
  <c r="W29" i="164" s="1"/>
  <c r="W37" i="164" s="1"/>
  <c r="W54" i="164"/>
  <c r="W39" i="168"/>
  <c r="W42" i="168" s="1"/>
  <c r="W45" i="168" s="1"/>
  <c r="W38" i="168"/>
  <c r="I54" i="168"/>
  <c r="AO38" i="168"/>
  <c r="AO39" i="168"/>
  <c r="AO42" i="168" s="1"/>
  <c r="AO45" i="168" s="1"/>
  <c r="AB38" i="168"/>
  <c r="AB39" i="168" s="1"/>
  <c r="AB42" i="168" s="1"/>
  <c r="AB45" i="168" s="1"/>
  <c r="AG54" i="168"/>
  <c r="W54" i="168"/>
  <c r="AP54" i="164"/>
  <c r="AP53" i="164"/>
  <c r="AP29" i="164" s="1"/>
  <c r="AO54" i="168"/>
  <c r="AG35" i="164"/>
  <c r="T38" i="168"/>
  <c r="T39" i="168" s="1"/>
  <c r="T42" i="168" s="1"/>
  <c r="T45" i="168" s="1"/>
  <c r="AB54" i="168"/>
  <c r="E41" i="169"/>
  <c r="F41" i="169" s="1"/>
  <c r="AU60" i="167"/>
  <c r="E48" i="167"/>
  <c r="AS49" i="167"/>
  <c r="AG49" i="167"/>
  <c r="K49" i="167"/>
  <c r="AF49" i="167"/>
  <c r="S49" i="167"/>
  <c r="AE49" i="167"/>
  <c r="AP49" i="167"/>
  <c r="AR49" i="167"/>
  <c r="AK49" i="167"/>
  <c r="J49" i="167"/>
  <c r="AD49" i="167"/>
  <c r="AI49" i="167"/>
  <c r="F49" i="167"/>
  <c r="R49" i="167"/>
  <c r="AJ49" i="167"/>
  <c r="Q49" i="167"/>
  <c r="M49" i="167"/>
  <c r="AC49" i="167"/>
  <c r="H49" i="167"/>
  <c r="E49" i="167"/>
  <c r="AN49" i="167"/>
  <c r="AT49" i="167"/>
  <c r="AH49" i="167"/>
  <c r="AB49" i="167"/>
  <c r="I49" i="167"/>
  <c r="U49" i="167"/>
  <c r="X49" i="167"/>
  <c r="V49" i="167"/>
  <c r="AO49" i="167"/>
  <c r="W49" i="167"/>
  <c r="AQ49" i="167"/>
  <c r="AL49" i="167"/>
  <c r="N49" i="167"/>
  <c r="AM49" i="167"/>
  <c r="G49" i="167"/>
  <c r="O49" i="167"/>
  <c r="T49" i="167"/>
  <c r="Y49" i="167"/>
  <c r="L49" i="167"/>
  <c r="P49" i="167"/>
  <c r="AA49" i="167"/>
  <c r="Z49" i="167"/>
  <c r="H38" i="164"/>
  <c r="H39" i="164"/>
  <c r="H42" i="164" s="1"/>
  <c r="H45" i="164" s="1"/>
  <c r="F37" i="168"/>
  <c r="AL37" i="168"/>
  <c r="AN54" i="168"/>
  <c r="R38" i="164"/>
  <c r="R39" i="164" s="1"/>
  <c r="R42" i="164" s="1"/>
  <c r="R45" i="164" s="1"/>
  <c r="G54" i="168"/>
  <c r="J38" i="168"/>
  <c r="J39" i="168" s="1"/>
  <c r="J42" i="168" s="1"/>
  <c r="J45" i="168" s="1"/>
  <c r="AE35" i="164"/>
  <c r="Z54" i="164"/>
  <c r="Z53" i="164"/>
  <c r="Z29" i="164" s="1"/>
  <c r="Z37" i="164" s="1"/>
  <c r="AR38" i="168"/>
  <c r="AR39" i="168" s="1"/>
  <c r="AR42" i="168" s="1"/>
  <c r="AR45" i="168" s="1"/>
  <c r="AM39" i="168"/>
  <c r="AM42" i="168" s="1"/>
  <c r="AM45" i="168" s="1"/>
  <c r="AM38" i="168"/>
  <c r="P53" i="164"/>
  <c r="P29" i="164" s="1"/>
  <c r="P54" i="164"/>
  <c r="AK39" i="168"/>
  <c r="AK42" i="168" s="1"/>
  <c r="AK45" i="168" s="1"/>
  <c r="AK38" i="168"/>
  <c r="AQ38" i="168"/>
  <c r="AQ39" i="168"/>
  <c r="AQ42" i="168" s="1"/>
  <c r="AQ45" i="168" s="1"/>
  <c r="S54" i="168"/>
  <c r="AL53" i="164"/>
  <c r="AL29" i="164" s="1"/>
  <c r="AL37" i="164" s="1"/>
  <c r="AL54" i="164"/>
  <c r="AJ38" i="168"/>
  <c r="AJ39" i="168" s="1"/>
  <c r="AJ42" i="168" s="1"/>
  <c r="AJ45" i="168" s="1"/>
  <c r="O35" i="164"/>
  <c r="AN38" i="168"/>
  <c r="AN39" i="168"/>
  <c r="AN42" i="168" s="1"/>
  <c r="AN45" i="168" s="1"/>
  <c r="AH37" i="168"/>
  <c r="AF53" i="164"/>
  <c r="AF29" i="164" s="1"/>
  <c r="AF37" i="164" s="1"/>
  <c r="AF54" i="164"/>
  <c r="R37" i="168"/>
  <c r="X35" i="164"/>
  <c r="AF38" i="168"/>
  <c r="AF39" i="168" s="1"/>
  <c r="AF42" i="168" s="1"/>
  <c r="AF45" i="168" s="1"/>
  <c r="J35" i="164"/>
  <c r="M54" i="168"/>
  <c r="F54" i="168"/>
  <c r="AL54" i="168"/>
  <c r="AN38" i="164"/>
  <c r="AN39" i="164" s="1"/>
  <c r="AN42" i="164" s="1"/>
  <c r="AN45" i="164" s="1"/>
  <c r="H38" i="168"/>
  <c r="H39" i="168" s="1"/>
  <c r="H42" i="168" s="1"/>
  <c r="H45" i="168" s="1"/>
  <c r="R54" i="164"/>
  <c r="AP35" i="164"/>
  <c r="AE53" i="164"/>
  <c r="AE29" i="164" s="1"/>
  <c r="AE54" i="164"/>
  <c r="AC35" i="164"/>
  <c r="G35" i="164"/>
  <c r="AR54" i="168"/>
  <c r="Q38" i="168"/>
  <c r="Q39" i="168"/>
  <c r="Q42" i="168" s="1"/>
  <c r="Q45" i="168" s="1"/>
  <c r="K39" i="164"/>
  <c r="K42" i="164" s="1"/>
  <c r="K45" i="164" s="1"/>
  <c r="K38" i="164"/>
  <c r="AA53" i="164"/>
  <c r="AA29" i="164" s="1"/>
  <c r="AA37" i="164" s="1"/>
  <c r="AC54" i="168"/>
  <c r="I37" i="164"/>
  <c r="S38" i="168"/>
  <c r="S39" i="168"/>
  <c r="S42" i="168" s="1"/>
  <c r="S45" i="168" s="1"/>
  <c r="I39" i="168"/>
  <c r="I42" i="168" s="1"/>
  <c r="I45" i="168" s="1"/>
  <c r="I38" i="168"/>
  <c r="Y53" i="164"/>
  <c r="Y29" i="164" s="1"/>
  <c r="Y37" i="164" s="1"/>
  <c r="Y54" i="164"/>
  <c r="AG39" i="168"/>
  <c r="AG42" i="168" s="1"/>
  <c r="AG45" i="168" s="1"/>
  <c r="AG38" i="168"/>
  <c r="AD38" i="164"/>
  <c r="AD39" i="164" s="1"/>
  <c r="AD42" i="164" s="1"/>
  <c r="AD45" i="164" s="1"/>
  <c r="AG53" i="164"/>
  <c r="AG29" i="164" s="1"/>
  <c r="AG37" i="164" s="1"/>
  <c r="AQ54" i="168"/>
  <c r="X54" i="168"/>
  <c r="AJ54" i="164"/>
  <c r="AJ53" i="164"/>
  <c r="AJ29" i="164" s="1"/>
  <c r="O53" i="164"/>
  <c r="O29" i="164" s="1"/>
  <c r="O54" i="164"/>
  <c r="AE39" i="168"/>
  <c r="AE42" i="168" s="1"/>
  <c r="AE45" i="168" s="1"/>
  <c r="AE38" i="168"/>
  <c r="L38" i="164"/>
  <c r="L39" i="164" s="1"/>
  <c r="L42" i="164" s="1"/>
  <c r="L45" i="164" s="1"/>
  <c r="J54" i="164"/>
  <c r="J53" i="164"/>
  <c r="J29" i="164" s="1"/>
  <c r="J37" i="164" s="1"/>
  <c r="M38" i="168"/>
  <c r="M39" i="168" s="1"/>
  <c r="M42" i="168" s="1"/>
  <c r="M45" i="168" s="1"/>
  <c r="AH37" i="164"/>
  <c r="AI37" i="168"/>
  <c r="AU33" i="164"/>
  <c r="N37" i="168"/>
  <c r="AC54" i="164"/>
  <c r="AC53" i="164"/>
  <c r="AC29" i="164" s="1"/>
  <c r="Y38" i="168"/>
  <c r="Y39" i="168" s="1"/>
  <c r="Y42" i="168" s="1"/>
  <c r="Y45" i="168" s="1"/>
  <c r="G53" i="164"/>
  <c r="G29" i="164" s="1"/>
  <c r="AC38" i="168"/>
  <c r="AC39" i="168"/>
  <c r="AC42" i="168" s="1"/>
  <c r="AC45" i="168" s="1"/>
  <c r="F39" i="164"/>
  <c r="F42" i="164" s="1"/>
  <c r="F45" i="164" s="1"/>
  <c r="F38" i="164"/>
  <c r="AS38" i="168"/>
  <c r="AS39" i="168" s="1"/>
  <c r="AS42" i="168" s="1"/>
  <c r="AS45" i="168" s="1"/>
  <c r="U35" i="164"/>
  <c r="Y35" i="164"/>
  <c r="U53" i="164"/>
  <c r="U29" i="164" s="1"/>
  <c r="U37" i="164" s="1"/>
  <c r="AT53" i="164"/>
  <c r="AT29" i="164" s="1"/>
  <c r="AT37" i="164" s="1"/>
  <c r="AA37" i="168"/>
  <c r="P38" i="168"/>
  <c r="P39" i="168"/>
  <c r="P42" i="168" s="1"/>
  <c r="P45" i="168" s="1"/>
  <c r="V38" i="168"/>
  <c r="V39" i="168" s="1"/>
  <c r="V42" i="168" s="1"/>
  <c r="V45" i="168" s="1"/>
  <c r="V54" i="168"/>
  <c r="X53" i="164"/>
  <c r="X29" i="164" s="1"/>
  <c r="X37" i="164" s="1"/>
  <c r="AH54" i="164"/>
  <c r="AI54" i="168"/>
  <c r="M35" i="164"/>
  <c r="AR37" i="164"/>
  <c r="AT38" i="168"/>
  <c r="AT39" i="168" s="1"/>
  <c r="AT42" i="168" s="1"/>
  <c r="AT45" i="168" s="1"/>
  <c r="AU32" i="164"/>
  <c r="E35" i="164"/>
  <c r="N54" i="168"/>
  <c r="Q37" i="164"/>
  <c r="L39" i="168"/>
  <c r="L42" i="168" s="1"/>
  <c r="L45" i="168" s="1"/>
  <c r="L38" i="168"/>
  <c r="Y54" i="168"/>
  <c r="T37" i="164"/>
  <c r="K38" i="168"/>
  <c r="K39" i="168" s="1"/>
  <c r="K42" i="168" s="1"/>
  <c r="K45" i="168" s="1"/>
  <c r="AK38" i="164"/>
  <c r="AK39" i="164" s="1"/>
  <c r="AK42" i="164" s="1"/>
  <c r="AK45" i="164" s="1"/>
  <c r="AI54" i="164"/>
  <c r="AI53" i="164"/>
  <c r="AI29" i="164" s="1"/>
  <c r="AI37" i="164" s="1"/>
  <c r="V38" i="164"/>
  <c r="V39" i="164" s="1"/>
  <c r="V42" i="164" s="1"/>
  <c r="V45" i="164" s="1"/>
  <c r="U39" i="168"/>
  <c r="U42" i="168" s="1"/>
  <c r="U45" i="168" s="1"/>
  <c r="U38" i="168"/>
  <c r="X38" i="168"/>
  <c r="X39" i="168"/>
  <c r="X42" i="168" s="1"/>
  <c r="X45" i="168" s="1"/>
  <c r="AJ35" i="164"/>
  <c r="Z38" i="168"/>
  <c r="Z39" i="168" s="1"/>
  <c r="Z42" i="168" s="1"/>
  <c r="Z45" i="168" s="1"/>
  <c r="N37" i="164"/>
  <c r="G37" i="168"/>
  <c r="AO53" i="164"/>
  <c r="AO29" i="164" s="1"/>
  <c r="AO37" i="164" s="1"/>
  <c r="T54" i="168"/>
  <c r="AB35" i="164"/>
  <c r="S53" i="164"/>
  <c r="S29" i="164" s="1"/>
  <c r="S37" i="164" s="1"/>
  <c r="AE54" i="168"/>
  <c r="L54" i="164"/>
  <c r="AB54" i="164"/>
  <c r="AB53" i="164"/>
  <c r="AB29" i="164" s="1"/>
  <c r="AP38" i="168"/>
  <c r="AP39" i="168" s="1"/>
  <c r="AP42" i="168" s="1"/>
  <c r="AP45" i="168" s="1"/>
  <c r="AM54" i="168"/>
  <c r="O38" i="168"/>
  <c r="O39" i="168" s="1"/>
  <c r="O42" i="168" s="1"/>
  <c r="O45" i="168" s="1"/>
  <c r="V54" i="164"/>
  <c r="P35" i="164"/>
  <c r="F54" i="164"/>
  <c r="AQ38" i="164"/>
  <c r="AQ39" i="164" s="1"/>
  <c r="AQ42" i="164" s="1"/>
  <c r="AQ45" i="164" s="1"/>
  <c r="AD37" i="168"/>
  <c r="M53" i="164"/>
  <c r="M29" i="164" s="1"/>
  <c r="M37" i="164" s="1"/>
  <c r="AR54" i="164"/>
  <c r="AT54" i="168"/>
  <c r="E52" i="164"/>
  <c r="AU34" i="164"/>
  <c r="AK54" i="168"/>
  <c r="L54" i="168"/>
  <c r="AS54" i="168"/>
  <c r="AS35" i="164"/>
  <c r="AM37" i="164"/>
  <c r="T54" i="164"/>
  <c r="K54" i="168"/>
  <c r="AK54" i="164"/>
  <c r="E53" i="168"/>
  <c r="AU52" i="168"/>
  <c r="D33" i="169"/>
  <c r="E54" i="168"/>
  <c r="AT34" i="167" l="1"/>
  <c r="AT52" i="167" s="1"/>
  <c r="AT32" i="167"/>
  <c r="AT33" i="167"/>
  <c r="D34" i="169"/>
  <c r="AU53" i="168"/>
  <c r="E29" i="168"/>
  <c r="G37" i="164"/>
  <c r="Z33" i="167"/>
  <c r="Z34" i="167"/>
  <c r="Z52" i="167" s="1"/>
  <c r="Z32" i="167"/>
  <c r="AC33" i="167"/>
  <c r="AC34" i="167"/>
  <c r="AC52" i="167" s="1"/>
  <c r="AC32" i="167"/>
  <c r="AG34" i="167"/>
  <c r="AG52" i="167" s="1"/>
  <c r="AG32" i="167"/>
  <c r="AG33" i="167"/>
  <c r="AO38" i="164"/>
  <c r="AO39" i="164" s="1"/>
  <c r="AO42" i="164" s="1"/>
  <c r="AO45" i="164" s="1"/>
  <c r="AU35" i="164"/>
  <c r="X54" i="164"/>
  <c r="AT54" i="164"/>
  <c r="AC37" i="164"/>
  <c r="J38" i="164"/>
  <c r="J39" i="164"/>
  <c r="J42" i="164" s="1"/>
  <c r="J45" i="164" s="1"/>
  <c r="AJ37" i="164"/>
  <c r="I38" i="164"/>
  <c r="I39" i="164"/>
  <c r="I42" i="164" s="1"/>
  <c r="I45" i="164" s="1"/>
  <c r="Z38" i="164"/>
  <c r="Z39" i="164" s="1"/>
  <c r="Z42" i="164" s="1"/>
  <c r="Z45" i="164" s="1"/>
  <c r="L33" i="167"/>
  <c r="L32" i="167"/>
  <c r="L34" i="167"/>
  <c r="L52" i="167" s="1"/>
  <c r="AQ32" i="167"/>
  <c r="AQ34" i="167"/>
  <c r="AQ52" i="167" s="1"/>
  <c r="AQ33" i="167"/>
  <c r="AH33" i="167"/>
  <c r="AH32" i="167"/>
  <c r="AH34" i="167"/>
  <c r="AH52" i="167" s="1"/>
  <c r="AJ33" i="167"/>
  <c r="AJ34" i="167"/>
  <c r="AJ52" i="167" s="1"/>
  <c r="AJ32" i="167"/>
  <c r="AP33" i="167"/>
  <c r="AP34" i="167"/>
  <c r="AP52" i="167" s="1"/>
  <c r="AP32" i="167"/>
  <c r="AM38" i="164"/>
  <c r="AM39" i="164"/>
  <c r="AM42" i="164" s="1"/>
  <c r="AM45" i="164" s="1"/>
  <c r="X38" i="164"/>
  <c r="X39" i="164" s="1"/>
  <c r="X42" i="164" s="1"/>
  <c r="X45" i="164" s="1"/>
  <c r="Y34" i="167"/>
  <c r="Y52" i="167" s="1"/>
  <c r="Y32" i="167"/>
  <c r="Y33" i="167"/>
  <c r="M38" i="164"/>
  <c r="M39" i="164"/>
  <c r="M42" i="164" s="1"/>
  <c r="M45" i="164" s="1"/>
  <c r="U38" i="164"/>
  <c r="U39" i="164" s="1"/>
  <c r="U42" i="164" s="1"/>
  <c r="U45" i="164" s="1"/>
  <c r="AA39" i="164"/>
  <c r="AA42" i="164" s="1"/>
  <c r="AA45" i="164" s="1"/>
  <c r="AA38" i="164"/>
  <c r="R38" i="168"/>
  <c r="R39" i="168"/>
  <c r="R42" i="168" s="1"/>
  <c r="R45" i="168" s="1"/>
  <c r="AO34" i="167"/>
  <c r="AO52" i="167" s="1"/>
  <c r="AO32" i="167"/>
  <c r="AO33" i="167"/>
  <c r="F34" i="167"/>
  <c r="F52" i="167" s="1"/>
  <c r="F32" i="167"/>
  <c r="F35" i="167" s="1"/>
  <c r="F33" i="167"/>
  <c r="D35" i="169"/>
  <c r="M54" i="164"/>
  <c r="U54" i="164"/>
  <c r="Y38" i="164"/>
  <c r="Y39" i="164" s="1"/>
  <c r="Y42" i="164" s="1"/>
  <c r="Y45" i="164" s="1"/>
  <c r="AA54" i="164"/>
  <c r="P37" i="164"/>
  <c r="O32" i="167"/>
  <c r="O33" i="167"/>
  <c r="O34" i="167"/>
  <c r="O52" i="167" s="1"/>
  <c r="V34" i="167"/>
  <c r="V52" i="167" s="1"/>
  <c r="V32" i="167"/>
  <c r="V33" i="167"/>
  <c r="E30" i="169"/>
  <c r="AU49" i="167"/>
  <c r="E33" i="167"/>
  <c r="E34" i="167"/>
  <c r="E32" i="167"/>
  <c r="AI33" i="167"/>
  <c r="AI34" i="167"/>
  <c r="AI52" i="167" s="1"/>
  <c r="AI32" i="167"/>
  <c r="AI35" i="167" s="1"/>
  <c r="AF34" i="167"/>
  <c r="AF52" i="167" s="1"/>
  <c r="AF32" i="167"/>
  <c r="AF35" i="167" s="1"/>
  <c r="AF33" i="167"/>
  <c r="W38" i="164"/>
  <c r="W39" i="164" s="1"/>
  <c r="W42" i="164" s="1"/>
  <c r="W45" i="164" s="1"/>
  <c r="AL38" i="168"/>
  <c r="AL39" i="168"/>
  <c r="AL42" i="168" s="1"/>
  <c r="AL45" i="168" s="1"/>
  <c r="AE32" i="167"/>
  <c r="AE33" i="167"/>
  <c r="AE34" i="167"/>
  <c r="AE52" i="167" s="1"/>
  <c r="N39" i="164"/>
  <c r="N42" i="164" s="1"/>
  <c r="N45" i="164" s="1"/>
  <c r="N38" i="164"/>
  <c r="T39" i="164"/>
  <c r="T42" i="164" s="1"/>
  <c r="T45" i="164" s="1"/>
  <c r="T38" i="164"/>
  <c r="N38" i="168"/>
  <c r="N39" i="168" s="1"/>
  <c r="N42" i="168" s="1"/>
  <c r="N45" i="168" s="1"/>
  <c r="F38" i="168"/>
  <c r="F39" i="168"/>
  <c r="F42" i="168" s="1"/>
  <c r="F45" i="168" s="1"/>
  <c r="T33" i="167"/>
  <c r="T34" i="167"/>
  <c r="T52" i="167" s="1"/>
  <c r="T32" i="167"/>
  <c r="T35" i="167" s="1"/>
  <c r="AN34" i="167"/>
  <c r="AN52" i="167" s="1"/>
  <c r="AN32" i="167"/>
  <c r="AN33" i="167"/>
  <c r="S33" i="167"/>
  <c r="S34" i="167"/>
  <c r="S52" i="167" s="1"/>
  <c r="S32" i="167"/>
  <c r="S38" i="164"/>
  <c r="S39" i="164" s="1"/>
  <c r="S42" i="164" s="1"/>
  <c r="S45" i="164" s="1"/>
  <c r="AD38" i="168"/>
  <c r="AD39" i="168" s="1"/>
  <c r="AD42" i="168" s="1"/>
  <c r="AD45" i="168" s="1"/>
  <c r="S54" i="164"/>
  <c r="AI38" i="164"/>
  <c r="AI39" i="164" s="1"/>
  <c r="AI42" i="164" s="1"/>
  <c r="AI45" i="164" s="1"/>
  <c r="AR39" i="164"/>
  <c r="AR42" i="164" s="1"/>
  <c r="AR45" i="164" s="1"/>
  <c r="AR38" i="164"/>
  <c r="G54" i="164"/>
  <c r="AI38" i="168"/>
  <c r="AI39" i="168"/>
  <c r="AI42" i="168" s="1"/>
  <c r="AI45" i="168" s="1"/>
  <c r="AG54" i="164"/>
  <c r="AE37" i="164"/>
  <c r="AF38" i="164"/>
  <c r="AF39" i="164" s="1"/>
  <c r="AF42" i="164" s="1"/>
  <c r="AF45" i="164" s="1"/>
  <c r="AL38" i="164"/>
  <c r="AL39" i="164"/>
  <c r="AL42" i="164" s="1"/>
  <c r="AL45" i="164" s="1"/>
  <c r="G34" i="167"/>
  <c r="G52" i="167" s="1"/>
  <c r="G33" i="167"/>
  <c r="G32" i="167"/>
  <c r="G35" i="167" s="1"/>
  <c r="X34" i="167"/>
  <c r="X52" i="167" s="1"/>
  <c r="X32" i="167"/>
  <c r="X35" i="167" s="1"/>
  <c r="X33" i="167"/>
  <c r="H34" i="167"/>
  <c r="H52" i="167" s="1"/>
  <c r="H32" i="167"/>
  <c r="H35" i="167" s="1"/>
  <c r="H33" i="167"/>
  <c r="AD34" i="167"/>
  <c r="AD52" i="167" s="1"/>
  <c r="AD32" i="167"/>
  <c r="AD33" i="167"/>
  <c r="K32" i="167"/>
  <c r="K35" i="167" s="1"/>
  <c r="K34" i="167"/>
  <c r="K52" i="167" s="1"/>
  <c r="K33" i="167"/>
  <c r="G39" i="168"/>
  <c r="G42" i="168" s="1"/>
  <c r="G45" i="168" s="1"/>
  <c r="G38" i="168"/>
  <c r="AT38" i="164"/>
  <c r="AT39" i="164" s="1"/>
  <c r="AT42" i="164" s="1"/>
  <c r="AT45" i="164" s="1"/>
  <c r="R33" i="167"/>
  <c r="R32" i="167"/>
  <c r="R35" i="167" s="1"/>
  <c r="R34" i="167"/>
  <c r="R52" i="167" s="1"/>
  <c r="AU54" i="168"/>
  <c r="AH39" i="164"/>
  <c r="AH42" i="164" s="1"/>
  <c r="AH45" i="164" s="1"/>
  <c r="AH38" i="164"/>
  <c r="AG38" i="164"/>
  <c r="AG39" i="164"/>
  <c r="AG42" i="164" s="1"/>
  <c r="AG45" i="164" s="1"/>
  <c r="AM34" i="167"/>
  <c r="AM52" i="167" s="1"/>
  <c r="AM33" i="167"/>
  <c r="AM32" i="167"/>
  <c r="J33" i="167"/>
  <c r="J34" i="167"/>
  <c r="J52" i="167" s="1"/>
  <c r="J32" i="167"/>
  <c r="Q38" i="164"/>
  <c r="Q39" i="164"/>
  <c r="Q42" i="164" s="1"/>
  <c r="Q45" i="164" s="1"/>
  <c r="AA32" i="167"/>
  <c r="AA34" i="167"/>
  <c r="AA52" i="167" s="1"/>
  <c r="AA33" i="167"/>
  <c r="N34" i="167"/>
  <c r="N52" i="167" s="1"/>
  <c r="N32" i="167"/>
  <c r="N35" i="167" s="1"/>
  <c r="N33" i="167"/>
  <c r="I34" i="167"/>
  <c r="I52" i="167" s="1"/>
  <c r="I32" i="167"/>
  <c r="I33" i="167"/>
  <c r="M33" i="167"/>
  <c r="M34" i="167"/>
  <c r="M52" i="167" s="1"/>
  <c r="M32" i="167"/>
  <c r="AK33" i="167"/>
  <c r="AK34" i="167"/>
  <c r="AK52" i="167" s="1"/>
  <c r="AK32" i="167"/>
  <c r="AS33" i="167"/>
  <c r="AS34" i="167"/>
  <c r="AS52" i="167" s="1"/>
  <c r="AS32" i="167"/>
  <c r="AS35" i="167" s="1"/>
  <c r="AS37" i="164"/>
  <c r="W34" i="167"/>
  <c r="W52" i="167" s="1"/>
  <c r="W33" i="167"/>
  <c r="W32" i="167"/>
  <c r="AH38" i="168"/>
  <c r="AH39" i="168" s="1"/>
  <c r="AH42" i="168" s="1"/>
  <c r="AH45" i="168" s="1"/>
  <c r="U33" i="167"/>
  <c r="U34" i="167"/>
  <c r="U52" i="167" s="1"/>
  <c r="U32" i="167"/>
  <c r="E53" i="164"/>
  <c r="E54" i="164" s="1"/>
  <c r="AU54" i="164" s="1"/>
  <c r="AU52" i="164"/>
  <c r="AB37" i="164"/>
  <c r="AO54" i="164"/>
  <c r="AA38" i="168"/>
  <c r="AA39" i="168"/>
  <c r="AA42" i="168" s="1"/>
  <c r="AA45" i="168" s="1"/>
  <c r="O37" i="164"/>
  <c r="P34" i="167"/>
  <c r="P52" i="167" s="1"/>
  <c r="P32" i="167"/>
  <c r="P35" i="167" s="1"/>
  <c r="P33" i="167"/>
  <c r="AL34" i="167"/>
  <c r="AL52" i="167" s="1"/>
  <c r="AL32" i="167"/>
  <c r="AL33" i="167"/>
  <c r="AB33" i="167"/>
  <c r="AB32" i="167"/>
  <c r="AB34" i="167"/>
  <c r="AB52" i="167" s="1"/>
  <c r="Q34" i="167"/>
  <c r="Q52" i="167" s="1"/>
  <c r="Q32" i="167"/>
  <c r="Q33" i="167"/>
  <c r="AR33" i="167"/>
  <c r="AR32" i="167"/>
  <c r="AR34" i="167"/>
  <c r="AR52" i="167" s="1"/>
  <c r="AP37" i="164"/>
  <c r="AS54" i="164"/>
  <c r="AR53" i="167" l="1"/>
  <c r="AR29" i="167" s="1"/>
  <c r="AJ54" i="167"/>
  <c r="AJ53" i="167"/>
  <c r="AJ29" i="167" s="1"/>
  <c r="AR35" i="167"/>
  <c r="AM53" i="167"/>
  <c r="AM29" i="167" s="1"/>
  <c r="AM37" i="167" s="1"/>
  <c r="AM54" i="167"/>
  <c r="F54" i="167"/>
  <c r="F53" i="167"/>
  <c r="F29" i="167" s="1"/>
  <c r="F37" i="167" s="1"/>
  <c r="L35" i="167"/>
  <c r="AD35" i="167"/>
  <c r="AG53" i="167"/>
  <c r="AG29" i="167" s="1"/>
  <c r="AG54" i="167"/>
  <c r="AL53" i="167"/>
  <c r="AL29" i="167" s="1"/>
  <c r="AL37" i="167" s="1"/>
  <c r="AB39" i="164"/>
  <c r="AB42" i="164" s="1"/>
  <c r="AB45" i="164" s="1"/>
  <c r="AB38" i="164"/>
  <c r="AK35" i="167"/>
  <c r="I53" i="167"/>
  <c r="I29" i="167" s="1"/>
  <c r="AD53" i="167"/>
  <c r="AD29" i="167" s="1"/>
  <c r="AD37" i="167" s="1"/>
  <c r="AN35" i="167"/>
  <c r="AI54" i="167"/>
  <c r="AI53" i="167"/>
  <c r="AI29" i="167" s="1"/>
  <c r="AI37" i="167" s="1"/>
  <c r="V35" i="167"/>
  <c r="AO35" i="167"/>
  <c r="AH35" i="167"/>
  <c r="AC35" i="167"/>
  <c r="AA53" i="167"/>
  <c r="AA29" i="167" s="1"/>
  <c r="AA37" i="167" s="1"/>
  <c r="AE53" i="167"/>
  <c r="AE29" i="167" s="1"/>
  <c r="AE37" i="167" s="1"/>
  <c r="AA35" i="167"/>
  <c r="AE38" i="164"/>
  <c r="AE39" i="164" s="1"/>
  <c r="AE42" i="164" s="1"/>
  <c r="AE45" i="164" s="1"/>
  <c r="AF53" i="167"/>
  <c r="AF29" i="167" s="1"/>
  <c r="AF37" i="167" s="1"/>
  <c r="AF54" i="167"/>
  <c r="G38" i="164"/>
  <c r="G39" i="164"/>
  <c r="G42" i="164" s="1"/>
  <c r="G45" i="164" s="1"/>
  <c r="AE35" i="167"/>
  <c r="AC38" i="164"/>
  <c r="AC39" i="164"/>
  <c r="AC42" i="164" s="1"/>
  <c r="AC45" i="164" s="1"/>
  <c r="D10" i="169"/>
  <c r="AU29" i="168"/>
  <c r="E37" i="168"/>
  <c r="Q35" i="167"/>
  <c r="W35" i="167"/>
  <c r="AK53" i="167"/>
  <c r="AK29" i="167" s="1"/>
  <c r="AK37" i="167" s="1"/>
  <c r="J35" i="167"/>
  <c r="G53" i="167"/>
  <c r="G29" i="167" s="1"/>
  <c r="G37" i="167" s="1"/>
  <c r="G54" i="167"/>
  <c r="AN53" i="167"/>
  <c r="AN29" i="167" s="1"/>
  <c r="AN54" i="167"/>
  <c r="V54" i="167"/>
  <c r="V53" i="167"/>
  <c r="V29" i="167" s="1"/>
  <c r="V37" i="167" s="1"/>
  <c r="AO53" i="167"/>
  <c r="AO29" i="167" s="1"/>
  <c r="AO37" i="167" s="1"/>
  <c r="AO54" i="167"/>
  <c r="AP35" i="167"/>
  <c r="AC53" i="167"/>
  <c r="AC29" i="167" s="1"/>
  <c r="AC37" i="167" s="1"/>
  <c r="X53" i="167"/>
  <c r="X29" i="167" s="1"/>
  <c r="X37" i="167" s="1"/>
  <c r="X54" i="167"/>
  <c r="F30" i="169"/>
  <c r="H8" i="169"/>
  <c r="I35" i="167"/>
  <c r="J53" i="167"/>
  <c r="J29" i="167" s="1"/>
  <c r="J37" i="167" s="1"/>
  <c r="J54" i="167"/>
  <c r="E35" i="167"/>
  <c r="AU32" i="167"/>
  <c r="O53" i="167"/>
  <c r="O29" i="167" s="1"/>
  <c r="O37" i="167" s="1"/>
  <c r="AP53" i="167"/>
  <c r="AP29" i="167" s="1"/>
  <c r="AP37" i="167" s="1"/>
  <c r="AP54" i="167"/>
  <c r="U53" i="167"/>
  <c r="U29" i="167" s="1"/>
  <c r="S53" i="167"/>
  <c r="S29" i="167" s="1"/>
  <c r="S37" i="167" s="1"/>
  <c r="P38" i="164"/>
  <c r="P39" i="164" s="1"/>
  <c r="P42" i="164" s="1"/>
  <c r="P45" i="164" s="1"/>
  <c r="L53" i="167"/>
  <c r="L29" i="167" s="1"/>
  <c r="L37" i="167" s="1"/>
  <c r="AS53" i="167"/>
  <c r="AS29" i="167" s="1"/>
  <c r="AS37" i="167" s="1"/>
  <c r="AL35" i="167"/>
  <c r="AH53" i="167"/>
  <c r="AH29" i="167" s="1"/>
  <c r="AH37" i="167" s="1"/>
  <c r="AH54" i="167"/>
  <c r="Q53" i="167"/>
  <c r="Q29" i="167" s="1"/>
  <c r="Q54" i="167"/>
  <c r="AB54" i="167"/>
  <c r="AB53" i="167"/>
  <c r="AB29" i="167" s="1"/>
  <c r="P53" i="167"/>
  <c r="P29" i="167" s="1"/>
  <c r="P37" i="167" s="1"/>
  <c r="P54" i="167"/>
  <c r="W53" i="167"/>
  <c r="W29" i="167" s="1"/>
  <c r="W54" i="167"/>
  <c r="M35" i="167"/>
  <c r="N53" i="167"/>
  <c r="N29" i="167" s="1"/>
  <c r="N37" i="167" s="1"/>
  <c r="H53" i="167"/>
  <c r="H29" i="167" s="1"/>
  <c r="H37" i="167" s="1"/>
  <c r="H54" i="167"/>
  <c r="T53" i="167"/>
  <c r="T29" i="167" s="1"/>
  <c r="T37" i="167" s="1"/>
  <c r="E15" i="169"/>
  <c r="F15" i="169" s="1"/>
  <c r="E52" i="167"/>
  <c r="AU34" i="167"/>
  <c r="Y35" i="167"/>
  <c r="AQ53" i="167"/>
  <c r="AQ29" i="167" s="1"/>
  <c r="AQ37" i="167" s="1"/>
  <c r="Z35" i="167"/>
  <c r="AT35" i="167"/>
  <c r="AG35" i="167"/>
  <c r="AU53" i="164"/>
  <c r="E29" i="164"/>
  <c r="AP38" i="164"/>
  <c r="AP39" i="164" s="1"/>
  <c r="AP42" i="164" s="1"/>
  <c r="AP45" i="164" s="1"/>
  <c r="AB35" i="167"/>
  <c r="O38" i="164"/>
  <c r="O39" i="164" s="1"/>
  <c r="O42" i="164" s="1"/>
  <c r="O45" i="164" s="1"/>
  <c r="U35" i="167"/>
  <c r="AS38" i="164"/>
  <c r="AS39" i="164"/>
  <c r="AS42" i="164" s="1"/>
  <c r="AS45" i="164" s="1"/>
  <c r="M53" i="167"/>
  <c r="M29" i="167" s="1"/>
  <c r="M37" i="167" s="1"/>
  <c r="AM35" i="167"/>
  <c r="R53" i="167"/>
  <c r="R29" i="167" s="1"/>
  <c r="R37" i="167" s="1"/>
  <c r="R54" i="167"/>
  <c r="K54" i="167"/>
  <c r="K53" i="167"/>
  <c r="K29" i="167" s="1"/>
  <c r="K37" i="167" s="1"/>
  <c r="S35" i="167"/>
  <c r="E14" i="169"/>
  <c r="AU33" i="167"/>
  <c r="O35" i="167"/>
  <c r="Y53" i="167"/>
  <c r="Y29" i="167" s="1"/>
  <c r="Y37" i="167" s="1"/>
  <c r="Y54" i="167"/>
  <c r="AJ35" i="167"/>
  <c r="AQ35" i="167"/>
  <c r="AJ38" i="164"/>
  <c r="AJ39" i="164" s="1"/>
  <c r="AJ42" i="164" s="1"/>
  <c r="AJ45" i="164" s="1"/>
  <c r="Z53" i="167"/>
  <c r="Z29" i="167" s="1"/>
  <c r="Z54" i="167"/>
  <c r="AT53" i="167"/>
  <c r="AT29" i="167" s="1"/>
  <c r="AT37" i="167" s="1"/>
  <c r="O38" i="167" l="1"/>
  <c r="O39" i="167" s="1"/>
  <c r="O42" i="167" s="1"/>
  <c r="O45" i="167" s="1"/>
  <c r="AT38" i="167"/>
  <c r="AT39" i="167" s="1"/>
  <c r="AT42" i="167" s="1"/>
  <c r="AT45" i="167" s="1"/>
  <c r="T38" i="167"/>
  <c r="T39" i="167"/>
  <c r="T42" i="167" s="1"/>
  <c r="T45" i="167" s="1"/>
  <c r="X38" i="167"/>
  <c r="X39" i="167" s="1"/>
  <c r="X42" i="167" s="1"/>
  <c r="X45" i="167" s="1"/>
  <c r="Y38" i="167"/>
  <c r="Y39" i="167"/>
  <c r="Y42" i="167" s="1"/>
  <c r="Y45" i="167" s="1"/>
  <c r="S54" i="167"/>
  <c r="D18" i="169"/>
  <c r="AU37" i="168"/>
  <c r="E38" i="168"/>
  <c r="E39" i="168" s="1"/>
  <c r="AL54" i="167"/>
  <c r="AQ38" i="167"/>
  <c r="AQ39" i="167" s="1"/>
  <c r="AQ42" i="167" s="1"/>
  <c r="AQ45" i="167" s="1"/>
  <c r="P38" i="167"/>
  <c r="P39" i="167" s="1"/>
  <c r="P42" i="167" s="1"/>
  <c r="P45" i="167" s="1"/>
  <c r="AS38" i="167"/>
  <c r="AS39" i="167" s="1"/>
  <c r="AS42" i="167" s="1"/>
  <c r="AS45" i="167" s="1"/>
  <c r="U37" i="167"/>
  <c r="AC54" i="167"/>
  <c r="AF38" i="167"/>
  <c r="AF39" i="167" s="1"/>
  <c r="AF42" i="167" s="1"/>
  <c r="AF45" i="167" s="1"/>
  <c r="AD54" i="167"/>
  <c r="S38" i="167"/>
  <c r="S39" i="167"/>
  <c r="S42" i="167" s="1"/>
  <c r="S45" i="167" s="1"/>
  <c r="AT54" i="167"/>
  <c r="T54" i="167"/>
  <c r="AN37" i="167"/>
  <c r="AD38" i="167"/>
  <c r="AD39" i="167"/>
  <c r="AD42" i="167" s="1"/>
  <c r="AD45" i="167" s="1"/>
  <c r="Z37" i="167"/>
  <c r="M38" i="167"/>
  <c r="M39" i="167" s="1"/>
  <c r="M42" i="167" s="1"/>
  <c r="M45" i="167" s="1"/>
  <c r="AQ54" i="167"/>
  <c r="H38" i="167"/>
  <c r="H39" i="167" s="1"/>
  <c r="H42" i="167" s="1"/>
  <c r="H45" i="167" s="1"/>
  <c r="AB37" i="167"/>
  <c r="AS54" i="167"/>
  <c r="U54" i="167"/>
  <c r="J38" i="167"/>
  <c r="J39" i="167" s="1"/>
  <c r="J42" i="167" s="1"/>
  <c r="J45" i="167" s="1"/>
  <c r="G38" i="167"/>
  <c r="G39" i="167" s="1"/>
  <c r="G42" i="167" s="1"/>
  <c r="G45" i="167" s="1"/>
  <c r="I54" i="167"/>
  <c r="AG37" i="167"/>
  <c r="AJ37" i="167"/>
  <c r="AH38" i="167"/>
  <c r="AH39" i="167"/>
  <c r="AH42" i="167" s="1"/>
  <c r="AH45" i="167" s="1"/>
  <c r="R38" i="167"/>
  <c r="R39" i="167"/>
  <c r="R42" i="167" s="1"/>
  <c r="R45" i="167" s="1"/>
  <c r="AM38" i="167"/>
  <c r="AM39" i="167" s="1"/>
  <c r="AM42" i="167" s="1"/>
  <c r="AM45" i="167" s="1"/>
  <c r="F14" i="169"/>
  <c r="E16" i="169"/>
  <c r="F16" i="169" s="1"/>
  <c r="M54" i="167"/>
  <c r="N38" i="167"/>
  <c r="N39" i="167"/>
  <c r="N42" i="167" s="1"/>
  <c r="N45" i="167" s="1"/>
  <c r="L38" i="167"/>
  <c r="L39" i="167"/>
  <c r="L42" i="167" s="1"/>
  <c r="L45" i="167" s="1"/>
  <c r="I37" i="167"/>
  <c r="AE38" i="167"/>
  <c r="AE39" i="167" s="1"/>
  <c r="AE42" i="167" s="1"/>
  <c r="AE45" i="167" s="1"/>
  <c r="AL38" i="167"/>
  <c r="AL39" i="167" s="1"/>
  <c r="AL42" i="167" s="1"/>
  <c r="AL45" i="167" s="1"/>
  <c r="AC38" i="167"/>
  <c r="AC39" i="167" s="1"/>
  <c r="AC42" i="167" s="1"/>
  <c r="AC45" i="167" s="1"/>
  <c r="AA54" i="167"/>
  <c r="AU29" i="164"/>
  <c r="E37" i="164"/>
  <c r="N54" i="167"/>
  <c r="L54" i="167"/>
  <c r="AP38" i="167"/>
  <c r="AP39" i="167" s="1"/>
  <c r="AP42" i="167" s="1"/>
  <c r="AP45" i="167" s="1"/>
  <c r="AO38" i="167"/>
  <c r="AO39" i="167" s="1"/>
  <c r="AO42" i="167" s="1"/>
  <c r="AO45" i="167" s="1"/>
  <c r="AK39" i="167"/>
  <c r="AK42" i="167" s="1"/>
  <c r="AK45" i="167" s="1"/>
  <c r="AK38" i="167"/>
  <c r="AR37" i="167"/>
  <c r="W37" i="167"/>
  <c r="AA38" i="167"/>
  <c r="AA39" i="167"/>
  <c r="AA42" i="167" s="1"/>
  <c r="AA45" i="167" s="1"/>
  <c r="AU35" i="167"/>
  <c r="K38" i="167"/>
  <c r="K39" i="167"/>
  <c r="K42" i="167" s="1"/>
  <c r="K45" i="167" s="1"/>
  <c r="E33" i="169"/>
  <c r="E54" i="167"/>
  <c r="E53" i="167"/>
  <c r="AU52" i="167"/>
  <c r="Q37" i="167"/>
  <c r="O54" i="167"/>
  <c r="V38" i="167"/>
  <c r="V39" i="167" s="1"/>
  <c r="V42" i="167" s="1"/>
  <c r="V45" i="167" s="1"/>
  <c r="AK54" i="167"/>
  <c r="AE54" i="167"/>
  <c r="AI38" i="167"/>
  <c r="AI39" i="167"/>
  <c r="AI42" i="167" s="1"/>
  <c r="AI45" i="167" s="1"/>
  <c r="F38" i="167"/>
  <c r="F39" i="167" s="1"/>
  <c r="F42" i="167" s="1"/>
  <c r="AR54" i="167"/>
  <c r="AU39" i="168" l="1"/>
  <c r="E42" i="168"/>
  <c r="F45" i="167"/>
  <c r="B11" i="163"/>
  <c r="U38" i="167"/>
  <c r="U39" i="167" s="1"/>
  <c r="U42" i="167" s="1"/>
  <c r="U45" i="167" s="1"/>
  <c r="D20" i="169"/>
  <c r="D23" i="169" s="1"/>
  <c r="D4" i="169" s="1"/>
  <c r="I38" i="167"/>
  <c r="I39" i="167" s="1"/>
  <c r="I42" i="167" s="1"/>
  <c r="I45" i="167" s="1"/>
  <c r="E34" i="169"/>
  <c r="F34" i="169" s="1"/>
  <c r="E10" i="169"/>
  <c r="AU53" i="167"/>
  <c r="E29" i="167"/>
  <c r="W38" i="167"/>
  <c r="W39" i="167" s="1"/>
  <c r="W42" i="167" s="1"/>
  <c r="W45" i="167" s="1"/>
  <c r="Z39" i="167"/>
  <c r="Z42" i="167" s="1"/>
  <c r="Z45" i="167" s="1"/>
  <c r="Z38" i="167"/>
  <c r="AN38" i="167"/>
  <c r="AN39" i="167" s="1"/>
  <c r="AN42" i="167" s="1"/>
  <c r="AN45" i="167" s="1"/>
  <c r="Q38" i="167"/>
  <c r="Q39" i="167"/>
  <c r="Q42" i="167" s="1"/>
  <c r="Q45" i="167" s="1"/>
  <c r="AR38" i="167"/>
  <c r="AR39" i="167" s="1"/>
  <c r="AR42" i="167" s="1"/>
  <c r="AR45" i="167" s="1"/>
  <c r="AJ39" i="167"/>
  <c r="AJ42" i="167" s="1"/>
  <c r="AJ45" i="167" s="1"/>
  <c r="AJ38" i="167"/>
  <c r="AU38" i="168"/>
  <c r="D19" i="169"/>
  <c r="AU54" i="167"/>
  <c r="F33" i="169"/>
  <c r="E35" i="169"/>
  <c r="F35" i="169" s="1"/>
  <c r="E38" i="164"/>
  <c r="AU38" i="164" s="1"/>
  <c r="AU37" i="164"/>
  <c r="AG38" i="167"/>
  <c r="AG39" i="167"/>
  <c r="AG42" i="167" s="1"/>
  <c r="AG45" i="167" s="1"/>
  <c r="AB38" i="167"/>
  <c r="AB39" i="167"/>
  <c r="AB42" i="167" s="1"/>
  <c r="AB45" i="167" s="1"/>
  <c r="E39" i="164" l="1"/>
  <c r="AU29" i="167"/>
  <c r="E37" i="167"/>
  <c r="F10" i="169"/>
  <c r="E18" i="169"/>
  <c r="AU42" i="168"/>
  <c r="E45" i="168"/>
  <c r="E26" i="169" l="1"/>
  <c r="D26" i="169"/>
  <c r="F18" i="169"/>
  <c r="AU37" i="167"/>
  <c r="E38" i="167"/>
  <c r="F27" i="165"/>
  <c r="F28" i="165" s="1"/>
  <c r="B13" i="163" s="1"/>
  <c r="AU39" i="164"/>
  <c r="E42" i="164"/>
  <c r="E19" i="169" l="1"/>
  <c r="AU38" i="167"/>
  <c r="E39" i="167"/>
  <c r="E45" i="164"/>
  <c r="AU42" i="164"/>
  <c r="F26" i="169"/>
  <c r="AU39" i="167" l="1"/>
  <c r="E42" i="167"/>
  <c r="F19" i="169"/>
  <c r="E20" i="169"/>
  <c r="E23" i="169" l="1"/>
  <c r="F20" i="169"/>
  <c r="E45" i="167"/>
  <c r="AU42" i="167"/>
  <c r="F23" i="169" l="1"/>
  <c r="F4" i="169" s="1"/>
  <c r="E24" i="169"/>
  <c r="B12" i="163" s="1"/>
  <c r="B14" i="163" s="1"/>
  <c r="E4" i="169"/>
  <c r="E21" i="75" l="1"/>
  <c r="D22" i="24" l="1"/>
  <c r="J23" i="24" s="1"/>
  <c r="K20" i="75" s="1"/>
  <c r="D19" i="24"/>
  <c r="K20" i="24" s="1"/>
  <c r="L19" i="75" s="1"/>
  <c r="H20" i="24" l="1"/>
  <c r="I19" i="75" s="1"/>
  <c r="E20" i="24"/>
  <c r="F19" i="75" s="1"/>
  <c r="G23" i="24"/>
  <c r="H20" i="75" s="1"/>
  <c r="K23" i="24"/>
  <c r="L20" i="75" s="1"/>
  <c r="L21" i="75" s="1"/>
  <c r="I20" i="24"/>
  <c r="J19" i="75" s="1"/>
  <c r="H23" i="24"/>
  <c r="I20" i="75" s="1"/>
  <c r="F20" i="24"/>
  <c r="G19" i="75" s="1"/>
  <c r="J20" i="24"/>
  <c r="K19" i="75" s="1"/>
  <c r="K21" i="75" s="1"/>
  <c r="E23" i="24"/>
  <c r="F20" i="75" s="1"/>
  <c r="I23" i="24"/>
  <c r="J20" i="75" s="1"/>
  <c r="G20" i="24"/>
  <c r="H19" i="75" s="1"/>
  <c r="H21" i="75" s="1"/>
  <c r="F23" i="24"/>
  <c r="G20" i="75" s="1"/>
  <c r="G21" i="75" l="1"/>
  <c r="J21" i="75"/>
  <c r="I21" i="75"/>
  <c r="N20" i="75"/>
  <c r="F21" i="75"/>
  <c r="N19" i="75"/>
  <c r="D20" i="24"/>
  <c r="D23" i="24"/>
  <c r="N21" i="75" l="1"/>
  <c r="A12" i="113"/>
  <c r="A13" i="113" s="1"/>
  <c r="A14" i="113" s="1"/>
  <c r="A15" i="113" s="1"/>
  <c r="A16" i="113" s="1"/>
  <c r="A17" i="113" s="1"/>
  <c r="A18" i="113" s="1"/>
  <c r="A19" i="113" s="1"/>
  <c r="A20" i="113" s="1"/>
  <c r="A21" i="113" s="1"/>
  <c r="E11" i="84" l="1"/>
  <c r="E16" i="84" l="1"/>
  <c r="E19" i="84" s="1"/>
  <c r="E21" i="84" s="1"/>
  <c r="E11" i="75" l="1"/>
  <c r="E16" i="75" l="1"/>
  <c r="E23" i="75" s="1"/>
  <c r="E25" i="75" l="1"/>
  <c r="E11" i="38" l="1"/>
  <c r="E16" i="38" l="1"/>
  <c r="M26" i="25"/>
  <c r="L26" i="25"/>
  <c r="K26" i="25"/>
  <c r="J26" i="25"/>
  <c r="I26" i="25"/>
  <c r="H26" i="25"/>
  <c r="G26" i="25"/>
  <c r="F26" i="25"/>
  <c r="E26" i="25"/>
  <c r="D26" i="25"/>
  <c r="C26" i="25"/>
  <c r="B26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B27" i="25" s="1"/>
  <c r="M22" i="25"/>
  <c r="L22" i="25"/>
  <c r="K22" i="25"/>
  <c r="J22" i="25"/>
  <c r="I22" i="25"/>
  <c r="H22" i="25"/>
  <c r="G22" i="25"/>
  <c r="F22" i="25"/>
  <c r="E22" i="25"/>
  <c r="D22" i="25"/>
  <c r="C22" i="25"/>
  <c r="B22" i="25"/>
  <c r="N21" i="25"/>
  <c r="K17" i="113" s="1"/>
  <c r="N20" i="25"/>
  <c r="N19" i="25"/>
  <c r="N18" i="25"/>
  <c r="N17" i="25"/>
  <c r="N16" i="25"/>
  <c r="N15" i="25"/>
  <c r="J17" i="113" s="1"/>
  <c r="N14" i="25"/>
  <c r="I17" i="113" s="1"/>
  <c r="N13" i="25"/>
  <c r="H17" i="113" s="1"/>
  <c r="N12" i="25"/>
  <c r="N11" i="25"/>
  <c r="F17" i="113" s="1"/>
  <c r="N10" i="25"/>
  <c r="N9" i="25"/>
  <c r="N8" i="25"/>
  <c r="E17" i="113" s="1"/>
  <c r="C7" i="25"/>
  <c r="D7" i="25" s="1"/>
  <c r="E7" i="25" s="1"/>
  <c r="F7" i="25" s="1"/>
  <c r="G7" i="25" s="1"/>
  <c r="H7" i="25" s="1"/>
  <c r="I7" i="25" s="1"/>
  <c r="J7" i="25" s="1"/>
  <c r="K7" i="25" s="1"/>
  <c r="L7" i="25" s="1"/>
  <c r="M7" i="25" s="1"/>
  <c r="J27" i="25" l="1"/>
  <c r="H27" i="25"/>
  <c r="G17" i="113"/>
  <c r="G27" i="25"/>
  <c r="G28" i="25" s="1"/>
  <c r="I27" i="25"/>
  <c r="C27" i="25"/>
  <c r="C28" i="25" s="1"/>
  <c r="K27" i="25"/>
  <c r="K28" i="25" s="1"/>
  <c r="D27" i="25"/>
  <c r="D28" i="25" s="1"/>
  <c r="L27" i="25"/>
  <c r="L28" i="25" s="1"/>
  <c r="E27" i="25"/>
  <c r="E28" i="25" s="1"/>
  <c r="M27" i="25"/>
  <c r="M28" i="25" s="1"/>
  <c r="F27" i="25"/>
  <c r="F28" i="25" s="1"/>
  <c r="D17" i="113"/>
  <c r="H28" i="25"/>
  <c r="I28" i="25"/>
  <c r="N25" i="25"/>
  <c r="N26" i="25"/>
  <c r="N22" i="25"/>
  <c r="J28" i="25"/>
  <c r="B28" i="25"/>
  <c r="N24" i="25"/>
  <c r="N27" i="25" l="1"/>
  <c r="N28" i="25" s="1"/>
  <c r="M17" i="113"/>
  <c r="D14" i="24"/>
  <c r="K11" i="24"/>
  <c r="J11" i="24"/>
  <c r="I11" i="24"/>
  <c r="H11" i="24"/>
  <c r="G11" i="24"/>
  <c r="F11" i="24"/>
  <c r="E11" i="24"/>
  <c r="D10" i="24"/>
  <c r="D9" i="24"/>
  <c r="K16" i="24"/>
  <c r="J16" i="24"/>
  <c r="I16" i="24"/>
  <c r="H16" i="24"/>
  <c r="G16" i="24"/>
  <c r="F16" i="24"/>
  <c r="E16" i="24"/>
  <c r="D15" i="24"/>
  <c r="D11" i="24" l="1"/>
  <c r="M11" i="24" s="1"/>
  <c r="D16" i="24"/>
  <c r="M16" i="24" s="1"/>
  <c r="I12" i="24"/>
  <c r="K17" i="24" l="1"/>
  <c r="E17" i="24"/>
  <c r="F15" i="75" s="1"/>
  <c r="J17" i="24"/>
  <c r="K10" i="84" s="1"/>
  <c r="G17" i="24"/>
  <c r="H15" i="75" s="1"/>
  <c r="H17" i="24"/>
  <c r="F17" i="24"/>
  <c r="G10" i="75" s="1"/>
  <c r="I17" i="24"/>
  <c r="J10" i="75" s="1"/>
  <c r="H12" i="24"/>
  <c r="I9" i="84" s="1"/>
  <c r="F10" i="75"/>
  <c r="F15" i="38"/>
  <c r="I10" i="84"/>
  <c r="I15" i="84"/>
  <c r="I15" i="75"/>
  <c r="I10" i="75"/>
  <c r="I15" i="38"/>
  <c r="J14" i="84"/>
  <c r="J9" i="84"/>
  <c r="J9" i="75"/>
  <c r="J14" i="75"/>
  <c r="J14" i="38"/>
  <c r="L15" i="84"/>
  <c r="L10" i="84"/>
  <c r="L15" i="75"/>
  <c r="L10" i="75"/>
  <c r="L15" i="38"/>
  <c r="E12" i="24"/>
  <c r="F14" i="84" s="1"/>
  <c r="F12" i="24"/>
  <c r="G12" i="24"/>
  <c r="J12" i="24"/>
  <c r="K12" i="24"/>
  <c r="G10" i="84" l="1"/>
  <c r="F15" i="84"/>
  <c r="F10" i="84"/>
  <c r="H15" i="84"/>
  <c r="K10" i="75"/>
  <c r="K15" i="75"/>
  <c r="H15" i="38"/>
  <c r="H10" i="75"/>
  <c r="N10" i="75" s="1"/>
  <c r="K15" i="84"/>
  <c r="H10" i="84"/>
  <c r="K15" i="38"/>
  <c r="G15" i="84"/>
  <c r="G15" i="75"/>
  <c r="J10" i="84"/>
  <c r="J11" i="84" s="1"/>
  <c r="D17" i="24"/>
  <c r="J15" i="75"/>
  <c r="J16" i="75" s="1"/>
  <c r="G15" i="38"/>
  <c r="I11" i="84"/>
  <c r="J15" i="38"/>
  <c r="J16" i="38" s="1"/>
  <c r="J15" i="84"/>
  <c r="I14" i="38"/>
  <c r="I16" i="38" s="1"/>
  <c r="I14" i="84"/>
  <c r="I16" i="84" s="1"/>
  <c r="I14" i="75"/>
  <c r="I16" i="75" s="1"/>
  <c r="I9" i="75"/>
  <c r="I11" i="75" s="1"/>
  <c r="J11" i="75"/>
  <c r="L9" i="84"/>
  <c r="L11" i="84" s="1"/>
  <c r="L14" i="84"/>
  <c r="L16" i="84" s="1"/>
  <c r="L9" i="75"/>
  <c r="L11" i="75" s="1"/>
  <c r="L14" i="75"/>
  <c r="L16" i="75" s="1"/>
  <c r="L14" i="38"/>
  <c r="L16" i="38" s="1"/>
  <c r="F9" i="84"/>
  <c r="F9" i="75"/>
  <c r="F14" i="75"/>
  <c r="F14" i="38"/>
  <c r="H9" i="84"/>
  <c r="H14" i="84"/>
  <c r="H16" i="84" s="1"/>
  <c r="H9" i="75"/>
  <c r="H14" i="75"/>
  <c r="H16" i="75" s="1"/>
  <c r="H14" i="38"/>
  <c r="K9" i="84"/>
  <c r="K11" i="84" s="1"/>
  <c r="K14" i="84"/>
  <c r="K9" i="75"/>
  <c r="K14" i="75"/>
  <c r="K14" i="38"/>
  <c r="G9" i="84"/>
  <c r="G11" i="84" s="1"/>
  <c r="G14" i="84"/>
  <c r="G9" i="75"/>
  <c r="G11" i="75" s="1"/>
  <c r="G14" i="75"/>
  <c r="G16" i="75" s="1"/>
  <c r="G14" i="38"/>
  <c r="K9" i="38"/>
  <c r="H9" i="38"/>
  <c r="G9" i="38"/>
  <c r="E19" i="38"/>
  <c r="E21" i="38" s="1"/>
  <c r="F9" i="38"/>
  <c r="L9" i="38"/>
  <c r="J9" i="38"/>
  <c r="I9" i="38"/>
  <c r="J10" i="38"/>
  <c r="G10" i="38"/>
  <c r="F10" i="38"/>
  <c r="L10" i="38"/>
  <c r="I10" i="38"/>
  <c r="H10" i="38"/>
  <c r="K10" i="38"/>
  <c r="D12" i="24"/>
  <c r="G16" i="84" l="1"/>
  <c r="G19" i="84" s="1"/>
  <c r="G21" i="84" s="1"/>
  <c r="F13" i="113" s="1"/>
  <c r="H11" i="75"/>
  <c r="N15" i="75"/>
  <c r="K11" i="75"/>
  <c r="K16" i="75"/>
  <c r="K16" i="84"/>
  <c r="K19" i="84" s="1"/>
  <c r="K21" i="84" s="1"/>
  <c r="J13" i="113" s="1"/>
  <c r="K16" i="38"/>
  <c r="H16" i="38"/>
  <c r="N10" i="84"/>
  <c r="H11" i="84"/>
  <c r="N15" i="84"/>
  <c r="N15" i="38"/>
  <c r="G16" i="38"/>
  <c r="J23" i="75"/>
  <c r="J25" i="75" s="1"/>
  <c r="I14" i="113" s="1"/>
  <c r="I23" i="75"/>
  <c r="I25" i="75" s="1"/>
  <c r="H14" i="113" s="1"/>
  <c r="H23" i="75"/>
  <c r="H25" i="75" s="1"/>
  <c r="G14" i="113" s="1"/>
  <c r="G23" i="75"/>
  <c r="G25" i="75" s="1"/>
  <c r="F14" i="113" s="1"/>
  <c r="L23" i="75"/>
  <c r="L25" i="75" s="1"/>
  <c r="K14" i="113" s="1"/>
  <c r="I19" i="84"/>
  <c r="I21" i="84" s="1"/>
  <c r="H13" i="113" s="1"/>
  <c r="J16" i="84"/>
  <c r="J19" i="84" s="1"/>
  <c r="J21" i="84" s="1"/>
  <c r="I13" i="113" s="1"/>
  <c r="H19" i="84"/>
  <c r="H21" i="84" s="1"/>
  <c r="G13" i="113" s="1"/>
  <c r="F11" i="75"/>
  <c r="N9" i="75"/>
  <c r="F16" i="38"/>
  <c r="N14" i="38"/>
  <c r="F16" i="84"/>
  <c r="N14" i="84"/>
  <c r="F16" i="75"/>
  <c r="N14" i="75"/>
  <c r="F11" i="84"/>
  <c r="N9" i="84"/>
  <c r="L19" i="84"/>
  <c r="L21" i="84" s="1"/>
  <c r="K13" i="113" s="1"/>
  <c r="L11" i="38"/>
  <c r="L19" i="38" s="1"/>
  <c r="L21" i="38" s="1"/>
  <c r="H11" i="38"/>
  <c r="H19" i="38" s="1"/>
  <c r="H21" i="38" s="1"/>
  <c r="G12" i="113" s="1"/>
  <c r="I11" i="38"/>
  <c r="K11" i="38"/>
  <c r="N10" i="38"/>
  <c r="J11" i="38"/>
  <c r="J19" i="38" s="1"/>
  <c r="J21" i="38" s="1"/>
  <c r="I12" i="113" s="1"/>
  <c r="G11" i="38"/>
  <c r="F11" i="38"/>
  <c r="N9" i="38"/>
  <c r="N16" i="75" l="1"/>
  <c r="K23" i="75"/>
  <c r="K25" i="75" s="1"/>
  <c r="J14" i="113" s="1"/>
  <c r="K19" i="38"/>
  <c r="K21" i="38" s="1"/>
  <c r="J12" i="113" s="1"/>
  <c r="G19" i="38"/>
  <c r="G21" i="38" s="1"/>
  <c r="F12" i="113" s="1"/>
  <c r="F15" i="113" s="1"/>
  <c r="F20" i="113" s="1"/>
  <c r="N16" i="38"/>
  <c r="J27" i="75"/>
  <c r="G15" i="113"/>
  <c r="G20" i="113" s="1"/>
  <c r="J15" i="113"/>
  <c r="J20" i="113" s="1"/>
  <c r="I23" i="84"/>
  <c r="I15" i="113"/>
  <c r="I20" i="113" s="1"/>
  <c r="N16" i="84"/>
  <c r="F23" i="75"/>
  <c r="L23" i="38"/>
  <c r="K12" i="113"/>
  <c r="K15" i="113" s="1"/>
  <c r="K20" i="113" s="1"/>
  <c r="H23" i="84"/>
  <c r="F19" i="38"/>
  <c r="F21" i="38" s="1"/>
  <c r="E12" i="113" s="1"/>
  <c r="G23" i="84"/>
  <c r="I27" i="75"/>
  <c r="F19" i="84"/>
  <c r="N11" i="84"/>
  <c r="K23" i="84"/>
  <c r="N11" i="75"/>
  <c r="J23" i="84"/>
  <c r="L27" i="75"/>
  <c r="L23" i="84"/>
  <c r="H27" i="75"/>
  <c r="G27" i="75"/>
  <c r="N11" i="38"/>
  <c r="I19" i="38"/>
  <c r="I21" i="38" s="1"/>
  <c r="H12" i="113" s="1"/>
  <c r="H15" i="113" s="1"/>
  <c r="H20" i="113" s="1"/>
  <c r="K23" i="38"/>
  <c r="J23" i="38"/>
  <c r="H23" i="38"/>
  <c r="K27" i="75" l="1"/>
  <c r="G23" i="38"/>
  <c r="D12" i="113"/>
  <c r="N12" i="113" s="1"/>
  <c r="F25" i="75"/>
  <c r="E14" i="113" s="1"/>
  <c r="D14" i="113" s="1"/>
  <c r="N14" i="113" s="1"/>
  <c r="N23" i="75"/>
  <c r="F21" i="84"/>
  <c r="E13" i="113" s="1"/>
  <c r="D13" i="113" s="1"/>
  <c r="N13" i="113" s="1"/>
  <c r="N19" i="84"/>
  <c r="I23" i="38"/>
  <c r="N19" i="38"/>
  <c r="F23" i="38"/>
  <c r="N21" i="38"/>
  <c r="M13" i="113" l="1"/>
  <c r="M14" i="113"/>
  <c r="D15" i="113"/>
  <c r="N15" i="113" s="1"/>
  <c r="M12" i="113"/>
  <c r="E15" i="113"/>
  <c r="E20" i="113" s="1"/>
  <c r="F27" i="75"/>
  <c r="E27" i="75" s="1"/>
  <c r="N25" i="75"/>
  <c r="F23" i="84"/>
  <c r="E23" i="84" s="1"/>
  <c r="N21" i="84"/>
  <c r="E23" i="38"/>
  <c r="E21" i="113" l="1"/>
</calcChain>
</file>

<file path=xl/sharedStrings.xml><?xml version="1.0" encoding="utf-8"?>
<sst xmlns="http://schemas.openxmlformats.org/spreadsheetml/2006/main" count="914" uniqueCount="418">
  <si>
    <t>Puget Sound Energy</t>
  </si>
  <si>
    <t>IPL-CRM REVENUE REQUIREMENT MODEL</t>
  </si>
  <si>
    <t>Program Year</t>
  </si>
  <si>
    <t>(Spending November 1 to October 31)</t>
  </si>
  <si>
    <t>Input Capital Costs and Rates</t>
  </si>
  <si>
    <t xml:space="preserve">Weighted </t>
  </si>
  <si>
    <t>Cost of Capital</t>
  </si>
  <si>
    <t>% of Capital</t>
  </si>
  <si>
    <t>Cost</t>
  </si>
  <si>
    <t>Common Equity</t>
  </si>
  <si>
    <t>Total Pre Tax Cost of Capital</t>
  </si>
  <si>
    <t>Federal Tax Rate</t>
  </si>
  <si>
    <t xml:space="preserve">Revenue Sensitive Rate </t>
  </si>
  <si>
    <t>Depreciation Rate</t>
  </si>
  <si>
    <t>Bonus Tax Depreciation toggled  (1 = yes, 2 = no)</t>
  </si>
  <si>
    <t>Replacement Plan Investment</t>
  </si>
  <si>
    <t>Normalized Investment (baseline)</t>
  </si>
  <si>
    <t>Investment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</si>
  <si>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</si>
  <si>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</si>
  <si>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</si>
  <si>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</si>
  <si>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</si>
  <si>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</si>
  <si>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</si>
  <si>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</si>
  <si>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</si>
  <si>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</si>
  <si>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</si>
  <si>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</si>
  <si>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</si>
  <si>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</si>
  <si>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</si>
  <si>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</si>
  <si>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</si>
  <si>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</si>
  <si>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</si>
  <si>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</si>
  <si>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</si>
  <si>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</si>
  <si>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</si>
  <si>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</si>
  <si>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</si>
  <si>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</si>
  <si>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</si>
  <si>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</si>
  <si>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</si>
  <si>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</si>
  <si>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</si>
  <si>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</si>
  <si>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</si>
  <si>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</si>
  <si>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</si>
  <si>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Depreciation</t>
  </si>
  <si>
    <t>Federal Taxes on Equity Return</t>
  </si>
  <si>
    <t>Return on Rate Base</t>
  </si>
  <si>
    <t>Long Term Debt</t>
  </si>
  <si>
    <t>Short Term Debt</t>
  </si>
  <si>
    <t xml:space="preserve">      Total Return</t>
  </si>
  <si>
    <t xml:space="preserve">Cost of Service </t>
  </si>
  <si>
    <t>Revenue Sensitive Items</t>
  </si>
  <si>
    <t>Total  Cost of Service</t>
  </si>
  <si>
    <t>Total Cost of Service (Capital &amp; O&amp;M)</t>
  </si>
  <si>
    <t>Annual Cost of Service as % of Investment</t>
  </si>
  <si>
    <t>Rate Base - net of deprec. &amp; def. tax</t>
  </si>
  <si>
    <t>Federal Taxable Equity Income</t>
  </si>
  <si>
    <t>Less:  Federal Tax</t>
  </si>
  <si>
    <t>Return</t>
  </si>
  <si>
    <t>Book Depreciation</t>
  </si>
  <si>
    <t>Tax Depreciation</t>
  </si>
  <si>
    <t>Book-Tax Difference</t>
  </si>
  <si>
    <t>Tax Effect</t>
  </si>
  <si>
    <t>MACRS Depreciation - 20</t>
  </si>
  <si>
    <t>MACRS Depreciation - 20 year - Bonus</t>
  </si>
  <si>
    <t>Year 36</t>
  </si>
  <si>
    <t>Year 37</t>
  </si>
  <si>
    <t>PUGET SOUND ENERGY</t>
  </si>
  <si>
    <t>COST RECOVERY MECHANISM</t>
  </si>
  <si>
    <t>COST BREAKDOWN BY PROGRAM</t>
  </si>
  <si>
    <t>WBS Element</t>
  </si>
  <si>
    <t>WBS Description</t>
  </si>
  <si>
    <t>Total CRM Actual and Forecast</t>
  </si>
  <si>
    <t>Grand Total</t>
  </si>
  <si>
    <t>Mains</t>
  </si>
  <si>
    <t>Services</t>
  </si>
  <si>
    <t>DEPRECIATION EXPENSE CALCULATION</t>
  </si>
  <si>
    <t>Type</t>
  </si>
  <si>
    <t>Rate per Study</t>
  </si>
  <si>
    <t>FERC G376</t>
  </si>
  <si>
    <t>FERC G380</t>
  </si>
  <si>
    <t>Total</t>
  </si>
  <si>
    <t>Main</t>
  </si>
  <si>
    <t>Total Annual Depr</t>
  </si>
  <si>
    <t>WEIGHTED AVERAGE COMPOSITE RATE</t>
  </si>
  <si>
    <t>Actuals Nov 2016 - July 2017</t>
  </si>
  <si>
    <t>R.10015.03.04.01</t>
  </si>
  <si>
    <t>G-DIMP DUPONT PIPE REPL-MAIN WITH SERV</t>
  </si>
  <si>
    <t>R.10015.03.04.02</t>
  </si>
  <si>
    <t>G-DIMP OLDER STW REPL-MAIN WITH SERVICE</t>
  </si>
  <si>
    <t>R.10015.03.04.03</t>
  </si>
  <si>
    <t>G-DIMP OLDER STW REPL-SERVICE ONLY</t>
  </si>
  <si>
    <t>Program Years</t>
  </si>
  <si>
    <t>True Up Amount</t>
  </si>
  <si>
    <t>Year</t>
  </si>
  <si>
    <t>Check</t>
  </si>
  <si>
    <t>Table</t>
  </si>
  <si>
    <t>Apply 50% Bonus</t>
  </si>
  <si>
    <t>Apply 40% Bonus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</si>
  <si>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</si>
  <si>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</si>
  <si>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</si>
  <si>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</si>
  <si>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</si>
  <si>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</si>
  <si>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</si>
  <si>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</si>
  <si>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</si>
  <si>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</si>
  <si>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As  Filed</t>
  </si>
  <si>
    <t>True Up</t>
  </si>
  <si>
    <t>31, 31T</t>
  </si>
  <si>
    <t>41, 41T</t>
  </si>
  <si>
    <t>86, 86T</t>
  </si>
  <si>
    <t>87, 87T</t>
  </si>
  <si>
    <t>Allocation</t>
  </si>
  <si>
    <t>23, 16, 53</t>
  </si>
  <si>
    <t>Commercial &amp;</t>
  </si>
  <si>
    <t>Large</t>
  </si>
  <si>
    <t>85, 85T</t>
  </si>
  <si>
    <t>Limited</t>
  </si>
  <si>
    <t>Non-Exclusive</t>
  </si>
  <si>
    <t>Factor</t>
  </si>
  <si>
    <t>Residential</t>
  </si>
  <si>
    <t>Industrial</t>
  </si>
  <si>
    <t>Volume</t>
  </si>
  <si>
    <t>Interruptible</t>
  </si>
  <si>
    <t>Contracts</t>
  </si>
  <si>
    <t>Rate per Therm</t>
  </si>
  <si>
    <t>Rate per Mantle</t>
  </si>
  <si>
    <t>23, 16</t>
  </si>
  <si>
    <t xml:space="preserve">Plant Revenue Requirement </t>
  </si>
  <si>
    <t>Revenue Requirement Before Other Taxes</t>
  </si>
  <si>
    <t>Revenue Taxes</t>
  </si>
  <si>
    <t>Revenue Requirement</t>
  </si>
  <si>
    <t>Percent of Total</t>
  </si>
  <si>
    <t>Account</t>
  </si>
  <si>
    <t>Description</t>
  </si>
  <si>
    <t>Services - Accum Reserve</t>
  </si>
  <si>
    <t>Services Total</t>
  </si>
  <si>
    <t>Percent</t>
  </si>
  <si>
    <t>Mains - Accum Reserve</t>
  </si>
  <si>
    <t>Mains Total</t>
  </si>
  <si>
    <t>Calculation of Schedule 149 Rates</t>
  </si>
  <si>
    <t>Schedules</t>
  </si>
  <si>
    <t xml:space="preserve">Total Revenue Requirement </t>
  </si>
  <si>
    <t>Line</t>
  </si>
  <si>
    <t>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</si>
  <si>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</si>
  <si>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</si>
  <si>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</si>
  <si>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</si>
  <si>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</si>
  <si>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</si>
  <si>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</si>
  <si>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</si>
  <si>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</si>
  <si>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Forecasted Therm Volumes</t>
  </si>
  <si>
    <t>Schedule</t>
  </si>
  <si>
    <t>31T</t>
  </si>
  <si>
    <t>41T</t>
  </si>
  <si>
    <t>85T</t>
  </si>
  <si>
    <t>86T</t>
  </si>
  <si>
    <t>87T</t>
  </si>
  <si>
    <t>Total Firm</t>
  </si>
  <si>
    <t>Total Interruptible</t>
  </si>
  <si>
    <t>Total Transportation</t>
  </si>
  <si>
    <t>Total Delivered</t>
  </si>
  <si>
    <t>Current Year</t>
  </si>
  <si>
    <t>Pre Tax Long and Short Term Debt</t>
  </si>
  <si>
    <t>Year 38</t>
  </si>
  <si>
    <t>Year 39</t>
  </si>
  <si>
    <t>Year 40</t>
  </si>
  <si>
    <t>Partial Year 41</t>
  </si>
  <si>
    <t>Actual October 2017</t>
  </si>
  <si>
    <t>Per Depreciation Study Adjustment</t>
  </si>
  <si>
    <t>ACCOUNT</t>
  </si>
  <si>
    <t>Pre Jan 1, 2018</t>
  </si>
  <si>
    <t>17 GRC rate, Jan 1, 2018</t>
  </si>
  <si>
    <t>NUMBER</t>
  </si>
  <si>
    <t>%</t>
  </si>
  <si>
    <t xml:space="preserve">MAINS - PLASTIC                           </t>
  </si>
  <si>
    <t>SERVICES - PLASTIC</t>
  </si>
  <si>
    <t>Rate per 2017 GRC Study</t>
  </si>
  <si>
    <t>FERC G376.2</t>
  </si>
  <si>
    <t>FERC G380.2</t>
  </si>
  <si>
    <t>Page 3.04</t>
  </si>
  <si>
    <t>PUGET SOUND ENERGY-ELECTRIC</t>
  </si>
  <si>
    <t>FOR THE TWELVE MONTHS ENDED SEPTEMBER 30, 2016</t>
  </si>
  <si>
    <t>STATE UTILITY TAX - NET OF BAD DEBTS ( 3.8734% - ( LINE 1 * 3.8734%) )</t>
  </si>
  <si>
    <t>Percent Mains</t>
  </si>
  <si>
    <t>Percent Services</t>
  </si>
  <si>
    <t>Rate per 2007 GRC Study</t>
  </si>
  <si>
    <t>CONVERSION FACTOR - GAS</t>
  </si>
  <si>
    <t>Rate Change Impacts by Rate Schedule</t>
  </si>
  <si>
    <t>Forecasted</t>
  </si>
  <si>
    <t>Sched 142</t>
  </si>
  <si>
    <t>Sched 149</t>
  </si>
  <si>
    <t>Rate</t>
  </si>
  <si>
    <t>Margin</t>
  </si>
  <si>
    <t>Margin Rate</t>
  </si>
  <si>
    <t>Volume (Therms)</t>
  </si>
  <si>
    <t>Sched 101</t>
  </si>
  <si>
    <t>Sched 106</t>
  </si>
  <si>
    <t>Sched 120</t>
  </si>
  <si>
    <t>Sched 129</t>
  </si>
  <si>
    <t>Sched 140</t>
  </si>
  <si>
    <t>Total Forecasted</t>
  </si>
  <si>
    <t>Revenue</t>
  </si>
  <si>
    <t>Rate Class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</si>
  <si>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</si>
  <si>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</si>
  <si>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</si>
  <si>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Margin Revenue</t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</si>
  <si>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</si>
  <si>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</si>
  <si>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</si>
  <si>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</si>
  <si>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</si>
  <si>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</si>
  <si>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</si>
  <si>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</si>
  <si>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</si>
  <si>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</si>
  <si>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</si>
  <si>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</si>
  <si>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</si>
  <si>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</si>
  <si>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</si>
  <si>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</si>
  <si>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</si>
  <si>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</si>
  <si>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 xml:space="preserve">S </t>
  </si>
  <si>
    <t>T= S/R</t>
  </si>
  <si>
    <t>23,53</t>
  </si>
  <si>
    <t>Residential Gas Lights</t>
  </si>
  <si>
    <t>Commercial &amp; Industrial</t>
  </si>
  <si>
    <t>Large Volume</t>
  </si>
  <si>
    <t>Limited Interruptible</t>
  </si>
  <si>
    <t>Non-exclusive Interruptible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</si>
  <si>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</si>
  <si>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</si>
  <si>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</si>
  <si>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</si>
  <si>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</si>
  <si>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r>
      <t>Rentals</t>
    </r>
    <r>
      <rPr>
        <vertAlign val="superscript"/>
        <sz val="11"/>
        <rFont val="Calibri"/>
        <family val="2"/>
      </rPr>
      <t>(2)</t>
    </r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</si>
  <si>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</si>
  <si>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</si>
  <si>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</si>
  <si>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</si>
  <si>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</si>
  <si>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</si>
  <si>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Subtotal</t>
  </si>
  <si>
    <t>Rentals</t>
  </si>
  <si>
    <t>Typical Residential Bill Impacts</t>
  </si>
  <si>
    <t>Current Rates</t>
  </si>
  <si>
    <t>Schedule 149 Rate Change</t>
  </si>
  <si>
    <t>Charges</t>
  </si>
  <si>
    <t>Rates</t>
  </si>
  <si>
    <t>Volume (therms)</t>
  </si>
  <si>
    <t>Customer charge ($/month)</t>
  </si>
  <si>
    <t>Basic charge</t>
  </si>
  <si>
    <t>Volumetric charges ($/therm)</t>
  </si>
  <si>
    <t>Delivery charge (Schedule 23)</t>
  </si>
  <si>
    <t>Property tax charge (Schedule 140)</t>
  </si>
  <si>
    <t>Decoupling charge (Schedule 142)</t>
  </si>
  <si>
    <t>Low income charge (Schedule 129)</t>
  </si>
  <si>
    <t>CRM Charge (Schedule 149)</t>
  </si>
  <si>
    <t>Conservation charge (Schedule 120)</t>
  </si>
  <si>
    <t>Merger rate credit (Schedule 132)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</si>
  <si>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</si>
  <si>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</si>
  <si>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</si>
  <si>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</si>
  <si>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</si>
  <si>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</si>
  <si>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</si>
  <si>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Proposed</t>
  </si>
  <si>
    <t>Revenue Sensitive Items Rate</t>
  </si>
  <si>
    <t>2018 Projects 
In Service November to September Actual Costs</t>
  </si>
  <si>
    <t>2018 Projects 
 October Project Forecast</t>
  </si>
  <si>
    <t>Rates beginning November 1, 2019</t>
  </si>
  <si>
    <t>41 years of depr</t>
  </si>
  <si>
    <t>Partial last year due to composite rate</t>
  </si>
  <si>
    <t>2019 Program Year Allocated Cost of Service</t>
  </si>
  <si>
    <t>Sched 141X</t>
  </si>
  <si>
    <t>Sched 141Y</t>
  </si>
  <si>
    <t>EDIT adjusting charge (Schedule 141X)</t>
  </si>
  <si>
    <t>Tax Reform Credit (Schedule 141Y)</t>
  </si>
  <si>
    <t>Proposed Rates</t>
  </si>
  <si>
    <t>Current</t>
  </si>
  <si>
    <t>2018 - 2019</t>
  </si>
  <si>
    <t>2019 Projects 
In Service November to September Actual Costs</t>
  </si>
  <si>
    <t>WBS</t>
  </si>
  <si>
    <t>Revenue Requirement:</t>
  </si>
  <si>
    <t>Proposed Effective November 1, 2020</t>
  </si>
  <si>
    <t>2019 Program Year 2</t>
  </si>
  <si>
    <t>2019 Program Year 1 True Up</t>
  </si>
  <si>
    <t>2020 Program Year 1</t>
  </si>
  <si>
    <t>November 2020 - October 2021</t>
  </si>
  <si>
    <t>Development of Allocation Factors</t>
  </si>
  <si>
    <t>Oper Mains &amp; Services Exp</t>
  </si>
  <si>
    <t>Oper Meter &amp; House Reg</t>
  </si>
  <si>
    <t>2020 PROGRAM YEAR</t>
  </si>
  <si>
    <t>2019 CRM Program, Year 2</t>
  </si>
  <si>
    <t>2019 CRM Program, Year 1 True Up to Actuals</t>
  </si>
  <si>
    <t>2020 CRM Program, Year 1</t>
  </si>
  <si>
    <t>2019 - 2020</t>
  </si>
  <si>
    <t>Depreciation, Capital Spendings</t>
  </si>
  <si>
    <t>Total Cost of Service (Capital)</t>
  </si>
  <si>
    <t>CAPITAL</t>
  </si>
  <si>
    <t>Program</t>
  </si>
  <si>
    <t>Depr. Exp</t>
  </si>
  <si>
    <t>Buried Meters replacements</t>
  </si>
  <si>
    <t>R.10015.03.09.15</t>
  </si>
  <si>
    <t>DuPont Pipe Replacement Program</t>
  </si>
  <si>
    <t>COS Spread</t>
  </si>
  <si>
    <t>O&amp;M</t>
  </si>
  <si>
    <t>Actual Amount</t>
  </si>
  <si>
    <t>Forecast</t>
  </si>
  <si>
    <t>FERC</t>
  </si>
  <si>
    <t>Description of Charges</t>
  </si>
  <si>
    <t>Buried Meters mitigations</t>
  </si>
  <si>
    <t>R.99999.04.20.03</t>
  </si>
  <si>
    <t>InfraSource Labor</t>
  </si>
  <si>
    <t>Legacy Cross Bore inspections</t>
  </si>
  <si>
    <t>R.99999.04.37.10</t>
  </si>
  <si>
    <t>HydroMax Labor</t>
  </si>
  <si>
    <t>Legacy Cross Bore repairs</t>
  </si>
  <si>
    <t>R.99999.04.37.11</t>
  </si>
  <si>
    <t>No orders yet, once they will be in SAP, they will be in 800 FERC</t>
  </si>
  <si>
    <t>Total for all programs</t>
  </si>
  <si>
    <t>Total O&amp;M Rev Req</t>
  </si>
  <si>
    <t>Total Capital from 2020 CRM tab</t>
  </si>
  <si>
    <t>Rev Req for Capital and O&amp;M Investments</t>
  </si>
  <si>
    <t>2019 Projects 
October Project Actuals</t>
  </si>
  <si>
    <t>True up of 2019 CRM Year One</t>
  </si>
  <si>
    <t>Program Year 2019</t>
  </si>
  <si>
    <t>2019 Program Year True Up Allocated Cost of Service</t>
  </si>
  <si>
    <t>2020 Program Year Allocated Cost of Service</t>
  </si>
  <si>
    <t>Mains (FERC 376)</t>
  </si>
  <si>
    <t>Services (FERC 380)</t>
  </si>
  <si>
    <t>Mains &amp; Services Expense (FERC 874)</t>
  </si>
  <si>
    <t>Meter &amp; House Regulator Exp. (FERC 878)</t>
  </si>
  <si>
    <t>Projected Therms (Nov. 2020 - Oct. 2021)</t>
  </si>
  <si>
    <t>Sch. 149 CRM Rates:</t>
  </si>
  <si>
    <t>Proposed Rates Effective November 1, 2020</t>
  </si>
  <si>
    <t>Therms</t>
  </si>
  <si>
    <t>12ME Oct. 2021</t>
  </si>
  <si>
    <t>Sch. 149</t>
  </si>
  <si>
    <t>Nov. 2020 -</t>
  </si>
  <si>
    <t>Oct. 2021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</si>
  <si>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(3)</t>
    </r>
  </si>
  <si>
    <t>R = sum(G:Q)</t>
  </si>
  <si>
    <t>By Customer Class: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</si>
  <si>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</si>
  <si>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ERF adjusting charge (Schedule 141)</t>
  </si>
  <si>
    <t>Gas Schedule 149</t>
  </si>
  <si>
    <t>Note</t>
  </si>
  <si>
    <t>Increase in 2020 CRM year is due to adding two new spending to the program</t>
  </si>
  <si>
    <t>1.  Buried Meters replacements and mitigations</t>
  </si>
  <si>
    <t>2.  Legacy Cross Bore inspections and repair</t>
  </si>
  <si>
    <t>2019 GRC Compliance Filing</t>
  </si>
  <si>
    <t>Actual Amount Nov 2019 - July 2020</t>
  </si>
  <si>
    <t>Forecast, Aug - October 2020</t>
  </si>
  <si>
    <t>Buried Meters O&amp;M Rev Reg</t>
  </si>
  <si>
    <t>Legacy Cross Bore O&amp;M Rev Reg</t>
  </si>
  <si>
    <t xml:space="preserve">FILED ON OCT 16, 2019 </t>
  </si>
  <si>
    <t>Total True up</t>
  </si>
  <si>
    <t>EXH. SEF-3G page 2 of 3</t>
  </si>
  <si>
    <t>EXH. SEF-3G page 3 of 4</t>
  </si>
  <si>
    <t>PUGET SOUND ENERGY - NATURAL GAS</t>
  </si>
  <si>
    <t>RESULTS OF OPERATIONS</t>
  </si>
  <si>
    <t>2019 GENERAL RATE CASE</t>
  </si>
  <si>
    <t>12 MONTHS ENDED DECEMBER 31, 2018</t>
  </si>
  <si>
    <t>COST OF CAPITAL - PROFORMA</t>
  </si>
  <si>
    <t>CONVERSION FACTOR</t>
  </si>
  <si>
    <t>WEIGHTED</t>
  </si>
  <si>
    <t>STRUCTURE</t>
  </si>
  <si>
    <t>COST</t>
  </si>
  <si>
    <t>SHORT AND LONG TERM DEBT</t>
  </si>
  <si>
    <t>EQUITY</t>
  </si>
  <si>
    <t>TOTAL</t>
  </si>
  <si>
    <t>STATE UTILITY TAX ( 3.8323% - ( LINE 1 * 3.8323% )  )</t>
  </si>
  <si>
    <t>AFTER TAX SHORT TERM DEBT ( (LINE 1)* 79%)</t>
  </si>
  <si>
    <t>TOTAL AFTER TAX COST OF CAPITAL</t>
  </si>
  <si>
    <t>CONVERSION FACTOR EXCLUDING FEDERAL INCOME TAX ( 1 - LINE 6 )</t>
  </si>
  <si>
    <t>FEDERAL INCOME TAX ( LINE 7  * 21% )</t>
  </si>
  <si>
    <t xml:space="preserve">CONVERSION FACTOR INCL FEDERAL INCOME TAX ( LINE 7 - LINE 8 ) </t>
  </si>
  <si>
    <t>2020 Gas Schedule 149 Cost Recovery Mechanism For Pipeline Replacement (CRM) Filing (PRELIMINARY)</t>
  </si>
  <si>
    <t>Check1</t>
  </si>
  <si>
    <t>Check2</t>
  </si>
  <si>
    <t>check</t>
  </si>
  <si>
    <t>2020 Gas Schedule 149 Cost Recovery Mechanism For Pipeline Costs (CRM) Filing (PRELIMINARY)</t>
  </si>
  <si>
    <t>2017 GRC</t>
  </si>
  <si>
    <t>2019 GRC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</si>
  <si>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0"/>
        <rFont val="Arial"/>
        <family val="2"/>
      </rPr>
      <t>Forecasted annual rental counts calculated using actual July 2020 count.</t>
    </r>
  </si>
  <si>
    <t>Cost Recovery Mechanism (CRM)</t>
  </si>
  <si>
    <t>Source: F2020 Load Forecast Delivered Therms (published August 24, 2020)</t>
  </si>
  <si>
    <t>Source: 2019 Gas General Rate Case, Docket UG-190530, compliance cost of service study.</t>
  </si>
  <si>
    <t>SEPTEMBER 2020 PRELIMINARY FILING</t>
  </si>
  <si>
    <t>Total Revenue Requirement For September 2020 Filing</t>
  </si>
  <si>
    <t>2020 Gas Schedule 149 CRM Filing (Preliminary Filing)</t>
  </si>
  <si>
    <t>UG-190530</t>
  </si>
  <si>
    <t>Sched 141Z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</si>
  <si>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0"/>
        <rFont val="Arial"/>
        <family val="2"/>
      </rPr>
      <t>Weather normalized volume and margin for 12 months ending December 2018, at approved rates from UG-190530 GRC compliance filing. The rates do not include schedules 140, 141 and 142.</t>
    </r>
  </si>
  <si>
    <r>
      <rPr>
        <vertAlign val="superscript"/>
        <sz val="11"/>
        <color theme="1"/>
        <rFont val="Calibri"/>
        <family val="2"/>
      </rPr>
      <t xml:space="preserve">(3) </t>
    </r>
    <r>
      <rPr>
        <sz val="10"/>
        <rFont val="Arial"/>
        <family val="2"/>
      </rPr>
      <t>Forecasted revenues at current rates effective October 1, 2020.</t>
    </r>
  </si>
  <si>
    <t>EDIT adjusting charge (Schedule 141Z)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</si>
  <si>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October 1,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</si>
</sst>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&quot;$&quot;* #,##0_);_(&quot;$&quot;* \(#,##0\);_(&quot;$&quot;* &quot;-&quot;??_);_(@_)"/>
    <numFmt numFmtId="166" formatCode="0.000000"/>
    <numFmt numFmtId="167" formatCode="0.0%"/>
    <numFmt numFmtId="168" formatCode="&quot;$&quot;#,##0"/>
    <numFmt numFmtId="169" formatCode="0.000%"/>
    <numFmt numFmtId="170" formatCode="_(&quot;$&quot;* #,##0.00_);_(&quot;$&quot;* \(#,##0.00\);_(&quot;$&quot;* &quot;-&quot;_);_(@_)"/>
    <numFmt numFmtId="171" formatCode="_(&quot;$&quot;* #,##0.00000_);_(&quot;$&quot;* \(#,##0.00000\);_(&quot;$&quot;* &quot;-&quot;?????_);_(@_)"/>
    <numFmt numFmtId="172" formatCode="#,##0.000000_);\(#,##0.000000\)"/>
    <numFmt numFmtId="173" formatCode="_(* #,##0_);_(* \(#,##0\);_(* &quot;-&quot;??_);_(@_)"/>
    <numFmt numFmtId="174" formatCode="#,##0.000"/>
    <numFmt numFmtId="175" formatCode="_(* #,##0.00000_);_(* \(#,##0.00000\);_(* &quot;-&quot;??_);_(@_)"/>
    <numFmt numFmtId="176" formatCode="_(&quot;$&quot;* #,##0.00000_);_(&quot;$&quot;* \(#,##0.00000\);_(&quot;$&quot;* &quot;-&quot;??_);_(@_)"/>
    <numFmt numFmtId="177" formatCode="_(&quot;$&quot;* #,##0.00_);_(&quot;$&quot;* \(#,##0.00\);_(&quot;$&quot;* &quot;-&quot;?????_);_(@_)"/>
    <numFmt numFmtId="178" formatCode="_(&quot;$&quot;* #,##0_);_(&quot;$&quot;* \(#,##0\);_(&quot;$&quot;* &quot;-&quot;?????_);_(@_)"/>
    <numFmt numFmtId="179" formatCode="_(* #,##0.0_);_(* \(#,##0.0\);_(* &quot;-&quot;??_);_(@_)"/>
    <numFmt numFmtId="180" formatCode="_(* #,##0.0000_);_(* \(#,##0.0000\);_(* &quot;-&quot;??_);_(@_)"/>
    <numFmt numFmtId="181" formatCode="_(* #,##0.000_);_(* \(#,##0.000\);_(* &quot;-&quot;??_);_(@_)"/>
    <numFmt numFmtId="182" formatCode="_(&quot;$&quot;* #,##0.0_);_(&quot;$&quot;* \(#,##0.0\);_(&quot;$&quot;* &quot;-&quot;??_);_(@_)"/>
  </numFmts>
  <fonts count="6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indexed="12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Helv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0000FF"/>
      <name val="Calibri"/>
      <family val="2"/>
      <scheme val="minor"/>
    </font>
    <font>
      <sz val="11"/>
      <color rgb="FF008080"/>
      <name val="Calibri"/>
      <family val="2"/>
      <scheme val="minor"/>
    </font>
    <font>
      <sz val="10"/>
      <color rgb="FF00808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11"/>
      <color theme="1"/>
      <name val="Calibri"/>
      <family val="2"/>
    </font>
    <font>
      <sz val="11"/>
      <color indexed="21"/>
      <name val="Calibri"/>
      <family val="2"/>
    </font>
    <font>
      <vertAlign val="superscript"/>
      <sz val="11"/>
      <name val="Calibri"/>
      <family val="2"/>
    </font>
    <font>
      <sz val="11"/>
      <color indexed="12"/>
      <name val="Calibri"/>
      <family val="2"/>
      <scheme val="minor"/>
    </font>
    <font>
      <sz val="11"/>
      <color rgb="FF0000FF"/>
      <name val="Calibri"/>
      <family val="2"/>
    </font>
    <font>
      <b/>
      <sz val="11"/>
      <color theme="0"/>
      <name val="Calibri"/>
      <family val="2"/>
    </font>
    <font>
      <sz val="11"/>
      <color rgb="FF00808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vertAlign val="superscript"/>
      <sz val="11"/>
      <name val="Calibri"/>
      <family val="2"/>
      <scheme val="minor"/>
    </font>
    <font>
      <b/>
      <u/>
      <sz val="9"/>
      <color rgb="FF0000FF"/>
      <name val="Arial"/>
      <family val="2"/>
    </font>
    <font>
      <sz val="8"/>
      <color rgb="FF0000FF"/>
      <name val="Arial"/>
      <family val="2"/>
    </font>
    <font>
      <sz val="8"/>
      <color rgb="FF0000FF"/>
      <name val="Calibri"/>
      <family val="2"/>
    </font>
    <font>
      <b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FF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28">
    <xf numFmtId="0" fontId="0" fillId="0" borderId="0" xfId="0"/>
    <xf numFmtId="172" fontId="35" fillId="0" borderId="0" xfId="0" applyNumberFormat="1" applyFont="1" applyFill="1"/>
    <xf numFmtId="0" fontId="27" fillId="0" borderId="0" xfId="0" applyFont="1" applyBorder="1"/>
    <xf numFmtId="0" fontId="0" fillId="0" borderId="0" xfId="0" applyFont="1" applyBorder="1"/>
    <xf numFmtId="170" fontId="27" fillId="0" borderId="0" xfId="0" applyNumberFormat="1" applyFont="1" applyFill="1"/>
    <xf numFmtId="171" fontId="27" fillId="0" borderId="0" xfId="0" applyNumberFormat="1" applyFont="1"/>
    <xf numFmtId="42" fontId="27" fillId="0" borderId="0" xfId="0" applyNumberFormat="1" applyFont="1" applyFill="1" applyBorder="1"/>
    <xf numFmtId="42" fontId="27" fillId="0" borderId="0" xfId="0" applyNumberFormat="1" applyFont="1" applyFill="1"/>
    <xf numFmtId="42" fontId="36" fillId="0" borderId="0" xfId="0" applyNumberFormat="1" applyFont="1" applyFill="1" applyBorder="1"/>
    <xf numFmtId="42" fontId="0" fillId="0" borderId="0" xfId="0" applyNumberFormat="1" applyFont="1" applyFill="1" applyBorder="1"/>
    <xf numFmtId="0" fontId="0" fillId="0" borderId="0" xfId="0" applyFont="1" applyFill="1"/>
    <xf numFmtId="0" fontId="0" fillId="0" borderId="0" xfId="0" applyFont="1" applyFill="1" applyAlignment="1"/>
    <xf numFmtId="3" fontId="27" fillId="0" borderId="0" xfId="0" applyNumberFormat="1" applyFont="1" applyFill="1"/>
    <xf numFmtId="0" fontId="27" fillId="0" borderId="0" xfId="0" applyFont="1" applyFill="1"/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quotePrefix="1" applyFont="1"/>
    <xf numFmtId="0" fontId="27" fillId="0" borderId="0" xfId="0" applyFont="1" applyAlignment="1">
      <alignment horizontal="centerContinuous"/>
    </xf>
    <xf numFmtId="0" fontId="27" fillId="0" borderId="0" xfId="0" quotePrefix="1" applyFont="1" applyAlignment="1">
      <alignment horizontal="centerContinuous"/>
    </xf>
    <xf numFmtId="0" fontId="27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9" fillId="0" borderId="0" xfId="0" applyFont="1" applyFill="1" applyAlignment="1" applyProtection="1">
      <alignment horizontal="left"/>
    </xf>
    <xf numFmtId="0" fontId="19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3" fontId="15" fillId="0" borderId="0" xfId="0" applyNumberFormat="1" applyFont="1" applyFill="1" applyAlignment="1">
      <alignment vertical="top"/>
    </xf>
    <xf numFmtId="0" fontId="19" fillId="0" borderId="0" xfId="0" applyFont="1" applyFill="1" applyAlignment="1">
      <alignment horizontal="left"/>
    </xf>
    <xf numFmtId="0" fontId="19" fillId="0" borderId="3" xfId="0" quotePrefix="1" applyFont="1" applyFill="1" applyBorder="1" applyAlignment="1">
      <alignment horizontal="left" vertical="top"/>
    </xf>
    <xf numFmtId="0" fontId="19" fillId="0" borderId="4" xfId="0" applyFont="1" applyFill="1" applyBorder="1" applyAlignment="1">
      <alignment vertical="top"/>
    </xf>
    <xf numFmtId="0" fontId="15" fillId="0" borderId="4" xfId="0" applyFont="1" applyFill="1" applyBorder="1" applyAlignment="1">
      <alignment vertical="top"/>
    </xf>
    <xf numFmtId="3" fontId="15" fillId="0" borderId="5" xfId="0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0" fontId="19" fillId="0" borderId="6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3" fontId="15" fillId="0" borderId="7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horizontal="center" vertical="top"/>
    </xf>
    <xf numFmtId="0" fontId="19" fillId="0" borderId="7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center" vertical="top"/>
    </xf>
    <xf numFmtId="0" fontId="15" fillId="0" borderId="7" xfId="0" applyFont="1" applyFill="1" applyBorder="1" applyAlignment="1">
      <alignment vertical="top"/>
    </xf>
    <xf numFmtId="42" fontId="15" fillId="0" borderId="0" xfId="0" applyNumberFormat="1" applyFont="1" applyFill="1" applyAlignment="1">
      <alignment vertical="top"/>
    </xf>
    <xf numFmtId="10" fontId="20" fillId="0" borderId="0" xfId="0" applyNumberFormat="1" applyFont="1" applyFill="1" applyBorder="1" applyAlignment="1">
      <alignment vertical="top"/>
    </xf>
    <xf numFmtId="10" fontId="20" fillId="0" borderId="7" xfId="0" applyNumberFormat="1" applyFont="1" applyFill="1" applyBorder="1" applyAlignment="1">
      <alignment vertical="top"/>
    </xf>
    <xf numFmtId="10" fontId="20" fillId="0" borderId="1" xfId="0" applyNumberFormat="1" applyFont="1" applyFill="1" applyBorder="1" applyAlignment="1">
      <alignment vertical="top"/>
    </xf>
    <xf numFmtId="10" fontId="20" fillId="0" borderId="8" xfId="0" applyNumberFormat="1" applyFont="1" applyFill="1" applyBorder="1" applyAlignment="1">
      <alignment vertical="top"/>
    </xf>
    <xf numFmtId="10" fontId="15" fillId="0" borderId="9" xfId="0" applyNumberFormat="1" applyFont="1" applyFill="1" applyBorder="1" applyAlignment="1">
      <alignment vertical="top"/>
    </xf>
    <xf numFmtId="10" fontId="15" fillId="0" borderId="0" xfId="0" applyNumberFormat="1" applyFont="1" applyFill="1" applyBorder="1" applyAlignment="1">
      <alignment vertical="top"/>
    </xf>
    <xf numFmtId="10" fontId="15" fillId="0" borderId="10" xfId="0" applyNumberFormat="1" applyFont="1" applyFill="1" applyBorder="1" applyAlignment="1">
      <alignment vertical="top"/>
    </xf>
    <xf numFmtId="3" fontId="20" fillId="0" borderId="7" xfId="0" applyNumberFormat="1" applyFont="1" applyFill="1" applyBorder="1" applyAlignment="1">
      <alignment vertical="top"/>
    </xf>
    <xf numFmtId="0" fontId="19" fillId="0" borderId="11" xfId="0" applyFont="1" applyFill="1" applyBorder="1" applyAlignment="1">
      <alignment vertical="top"/>
    </xf>
    <xf numFmtId="0" fontId="19" fillId="0" borderId="2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3" fontId="15" fillId="0" borderId="0" xfId="0" applyNumberFormat="1" applyFont="1" applyFill="1" applyAlignment="1" applyProtection="1">
      <alignment vertical="top"/>
      <protection hidden="1"/>
    </xf>
    <xf numFmtId="3" fontId="19" fillId="2" borderId="1" xfId="0" quotePrefix="1" applyNumberFormat="1" applyFont="1" applyFill="1" applyBorder="1" applyAlignment="1">
      <alignment horizontal="center" vertical="top"/>
    </xf>
    <xf numFmtId="3" fontId="19" fillId="0" borderId="1" xfId="0" quotePrefix="1" applyNumberFormat="1" applyFont="1" applyFill="1" applyBorder="1" applyAlignment="1">
      <alignment horizontal="center" vertical="top"/>
    </xf>
    <xf numFmtId="42" fontId="14" fillId="2" borderId="0" xfId="0" applyNumberFormat="1" applyFont="1" applyFill="1" applyAlignment="1">
      <alignment vertical="top"/>
    </xf>
    <xf numFmtId="44" fontId="14" fillId="0" borderId="0" xfId="0" applyNumberFormat="1" applyFont="1" applyFill="1" applyAlignment="1">
      <alignment vertical="top"/>
    </xf>
    <xf numFmtId="42" fontId="14" fillId="2" borderId="1" xfId="0" applyNumberFormat="1" applyFont="1" applyFill="1" applyBorder="1" applyAlignment="1">
      <alignment vertical="top"/>
    </xf>
    <xf numFmtId="42" fontId="14" fillId="2" borderId="0" xfId="0" applyNumberFormat="1" applyFont="1" applyFill="1" applyBorder="1" applyAlignment="1">
      <alignment vertical="top"/>
    </xf>
    <xf numFmtId="3" fontId="14" fillId="0" borderId="0" xfId="0" applyNumberFormat="1" applyFont="1" applyFill="1" applyAlignment="1">
      <alignment vertical="top"/>
    </xf>
    <xf numFmtId="5" fontId="14" fillId="2" borderId="0" xfId="0" applyNumberFormat="1" applyFont="1" applyFill="1" applyAlignment="1">
      <alignment vertical="top"/>
    </xf>
    <xf numFmtId="5" fontId="14" fillId="0" borderId="0" xfId="0" applyNumberFormat="1" applyFont="1" applyFill="1" applyAlignment="1">
      <alignment vertical="top"/>
    </xf>
    <xf numFmtId="10" fontId="14" fillId="2" borderId="0" xfId="0" applyNumberFormat="1" applyFont="1" applyFill="1" applyAlignment="1">
      <alignment vertical="top"/>
    </xf>
    <xf numFmtId="0" fontId="19" fillId="0" borderId="0" xfId="0" quotePrefix="1" applyFont="1" applyFill="1" applyAlignment="1">
      <alignment horizontal="left" vertical="top"/>
    </xf>
    <xf numFmtId="0" fontId="21" fillId="0" borderId="0" xfId="0" applyFont="1" applyFill="1" applyAlignment="1">
      <alignment vertical="top"/>
    </xf>
    <xf numFmtId="10" fontId="14" fillId="0" borderId="0" xfId="0" applyNumberFormat="1" applyFont="1" applyFill="1" applyAlignment="1" applyProtection="1">
      <alignment vertical="top"/>
    </xf>
    <xf numFmtId="10" fontId="20" fillId="0" borderId="0" xfId="0" applyNumberFormat="1" applyFont="1" applyFill="1" applyAlignment="1">
      <alignment vertical="top"/>
    </xf>
    <xf numFmtId="0" fontId="22" fillId="0" borderId="0" xfId="0" applyFont="1" applyFill="1" applyAlignment="1">
      <alignment vertical="top"/>
    </xf>
    <xf numFmtId="10" fontId="21" fillId="0" borderId="0" xfId="0" applyNumberFormat="1" applyFont="1" applyFill="1" applyAlignment="1" applyProtection="1">
      <alignment vertical="top"/>
    </xf>
    <xf numFmtId="10" fontId="14" fillId="0" borderId="0" xfId="0" applyNumberFormat="1" applyFont="1" applyFill="1"/>
    <xf numFmtId="10" fontId="22" fillId="0" borderId="0" xfId="0" applyNumberFormat="1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13" fillId="0" borderId="0" xfId="0" applyFont="1" applyFill="1"/>
    <xf numFmtId="0" fontId="16" fillId="0" borderId="0" xfId="0" applyFont="1" applyFill="1" applyAlignment="1">
      <alignment vertical="top"/>
    </xf>
    <xf numFmtId="42" fontId="20" fillId="2" borderId="12" xfId="0" applyNumberFormat="1" applyFont="1" applyFill="1" applyBorder="1" applyAlignment="1">
      <alignment vertical="top"/>
    </xf>
    <xf numFmtId="164" fontId="14" fillId="0" borderId="0" xfId="0" applyNumberFormat="1" applyFont="1" applyFill="1" applyAlignment="1" applyProtection="1">
      <alignment vertical="top"/>
    </xf>
    <xf numFmtId="164" fontId="14" fillId="2" borderId="0" xfId="0" applyNumberFormat="1" applyFont="1" applyFill="1" applyAlignment="1" applyProtection="1">
      <alignment vertical="top"/>
    </xf>
    <xf numFmtId="164" fontId="14" fillId="0" borderId="0" xfId="0" applyNumberFormat="1" applyFont="1" applyFill="1"/>
    <xf numFmtId="164" fontId="20" fillId="0" borderId="0" xfId="0" applyNumberFormat="1" applyFont="1" applyFill="1" applyAlignment="1">
      <alignment vertical="top"/>
    </xf>
    <xf numFmtId="164" fontId="21" fillId="2" borderId="0" xfId="0" applyNumberFormat="1" applyFont="1" applyFill="1" applyAlignment="1" applyProtection="1">
      <alignment vertical="top"/>
    </xf>
    <xf numFmtId="0" fontId="32" fillId="0" borderId="0" xfId="0" applyNumberFormat="1" applyFont="1" applyFill="1" applyAlignment="1"/>
    <xf numFmtId="0" fontId="33" fillId="0" borderId="0" xfId="0" applyNumberFormat="1" applyFont="1" applyFill="1" applyAlignment="1"/>
    <xf numFmtId="0" fontId="23" fillId="0" borderId="0" xfId="0" applyNumberFormat="1" applyFont="1" applyAlignment="1"/>
    <xf numFmtId="0" fontId="32" fillId="0" borderId="20" xfId="0" applyNumberFormat="1" applyFont="1" applyFill="1" applyBorder="1" applyAlignment="1">
      <alignment horizontal="right"/>
    </xf>
    <xf numFmtId="0" fontId="32" fillId="0" borderId="0" xfId="0" applyNumberFormat="1" applyFont="1" applyFill="1" applyAlignment="1">
      <alignment horizontal="centerContinuous"/>
    </xf>
    <xf numFmtId="0" fontId="32" fillId="0" borderId="0" xfId="0" applyNumberFormat="1" applyFont="1" applyFill="1" applyAlignment="1" applyProtection="1">
      <alignment horizontal="centerContinuous"/>
      <protection locked="0"/>
    </xf>
    <xf numFmtId="0" fontId="32" fillId="0" borderId="1" xfId="0" applyNumberFormat="1" applyFont="1" applyFill="1" applyBorder="1" applyAlignment="1">
      <alignment horizontal="center"/>
    </xf>
    <xf numFmtId="0" fontId="32" fillId="0" borderId="1" xfId="0" applyNumberFormat="1" applyFont="1" applyFill="1" applyBorder="1" applyAlignment="1" applyProtection="1">
      <protection locked="0"/>
    </xf>
    <xf numFmtId="0" fontId="32" fillId="0" borderId="1" xfId="0" applyNumberFormat="1" applyFont="1" applyFill="1" applyBorder="1" applyAlignment="1"/>
    <xf numFmtId="0" fontId="32" fillId="0" borderId="1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>
      <alignment horizontal="left"/>
    </xf>
    <xf numFmtId="166" fontId="33" fillId="0" borderId="0" xfId="0" applyNumberFormat="1" applyFont="1" applyFill="1" applyAlignment="1"/>
    <xf numFmtId="169" fontId="33" fillId="0" borderId="0" xfId="0" applyNumberFormat="1" applyFont="1" applyFill="1" applyAlignment="1"/>
    <xf numFmtId="166" fontId="33" fillId="0" borderId="1" xfId="0" applyNumberFormat="1" applyFont="1" applyFill="1" applyBorder="1" applyAlignment="1"/>
    <xf numFmtId="166" fontId="33" fillId="0" borderId="0" xfId="0" applyNumberFormat="1" applyFont="1" applyFill="1" applyBorder="1" applyAlignment="1"/>
    <xf numFmtId="166" fontId="23" fillId="0" borderId="0" xfId="0" applyNumberFormat="1" applyFont="1" applyAlignment="1"/>
    <xf numFmtId="9" fontId="33" fillId="0" borderId="0" xfId="0" applyNumberFormat="1" applyFont="1" applyFill="1" applyAlignment="1"/>
    <xf numFmtId="166" fontId="33" fillId="0" borderId="14" xfId="0" applyNumberFormat="1" applyFont="1" applyFill="1" applyBorder="1" applyAlignment="1" applyProtection="1">
      <protection locked="0"/>
    </xf>
    <xf numFmtId="0" fontId="12" fillId="0" borderId="0" xfId="0" applyFont="1"/>
    <xf numFmtId="0" fontId="12" fillId="0" borderId="0" xfId="0" quotePrefix="1" applyFont="1"/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2" fontId="12" fillId="0" borderId="0" xfId="0" applyNumberFormat="1" applyFont="1"/>
    <xf numFmtId="0" fontId="12" fillId="0" borderId="0" xfId="0" applyFont="1" applyFill="1"/>
    <xf numFmtId="0" fontId="14" fillId="0" borderId="0" xfId="0" applyFont="1" applyFill="1"/>
    <xf numFmtId="42" fontId="12" fillId="0" borderId="0" xfId="0" applyNumberFormat="1" applyFont="1" applyFill="1"/>
    <xf numFmtId="42" fontId="12" fillId="0" borderId="15" xfId="0" applyNumberFormat="1" applyFont="1" applyFill="1" applyBorder="1"/>
    <xf numFmtId="0" fontId="26" fillId="0" borderId="0" xfId="0" applyFont="1" applyBorder="1"/>
    <xf numFmtId="42" fontId="12" fillId="0" borderId="0" xfId="0" applyNumberFormat="1" applyFont="1" applyFill="1" applyBorder="1"/>
    <xf numFmtId="42" fontId="12" fillId="0" borderId="0" xfId="0" applyNumberFormat="1" applyFont="1" applyBorder="1"/>
    <xf numFmtId="165" fontId="12" fillId="0" borderId="0" xfId="0" applyNumberFormat="1" applyFont="1" applyBorder="1"/>
    <xf numFmtId="42" fontId="12" fillId="0" borderId="15" xfId="0" applyNumberFormat="1" applyFont="1" applyBorder="1"/>
    <xf numFmtId="42" fontId="35" fillId="0" borderId="0" xfId="0" applyNumberFormat="1" applyFont="1"/>
    <xf numFmtId="165" fontId="14" fillId="0" borderId="0" xfId="0" applyNumberFormat="1" applyFont="1" applyFill="1"/>
    <xf numFmtId="42" fontId="14" fillId="0" borderId="15" xfId="0" applyNumberFormat="1" applyFont="1" applyFill="1" applyBorder="1"/>
    <xf numFmtId="167" fontId="12" fillId="0" borderId="0" xfId="0" applyNumberFormat="1" applyFont="1"/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42" fontId="34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Continuous"/>
    </xf>
    <xf numFmtId="17" fontId="11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/>
    <xf numFmtId="3" fontId="11" fillId="0" borderId="15" xfId="0" applyNumberFormat="1" applyFont="1" applyBorder="1"/>
    <xf numFmtId="3" fontId="11" fillId="0" borderId="1" xfId="0" applyNumberFormat="1" applyFont="1" applyBorder="1"/>
    <xf numFmtId="0" fontId="13" fillId="0" borderId="0" xfId="0" applyFont="1" applyAlignment="1">
      <alignment horizontal="left"/>
    </xf>
    <xf numFmtId="173" fontId="13" fillId="0" borderId="0" xfId="0" applyNumberFormat="1" applyFont="1"/>
    <xf numFmtId="3" fontId="36" fillId="0" borderId="0" xfId="0" applyNumberFormat="1" applyFont="1" applyFill="1"/>
    <xf numFmtId="0" fontId="19" fillId="2" borderId="1" xfId="0" quotePrefix="1" applyNumberFormat="1" applyFont="1" applyFill="1" applyBorder="1" applyAlignment="1">
      <alignment horizontal="center" vertical="top"/>
    </xf>
    <xf numFmtId="174" fontId="14" fillId="2" borderId="0" xfId="0" applyNumberFormat="1" applyFont="1" applyFill="1" applyAlignment="1">
      <alignment vertical="top"/>
    </xf>
    <xf numFmtId="165" fontId="35" fillId="0" borderId="0" xfId="0" applyNumberFormat="1" applyFont="1" applyBorder="1"/>
    <xf numFmtId="3" fontId="13" fillId="2" borderId="0" xfId="0" applyNumberFormat="1" applyFont="1" applyFill="1" applyAlignment="1">
      <alignment vertical="top"/>
    </xf>
    <xf numFmtId="0" fontId="26" fillId="0" borderId="0" xfId="0" applyFont="1" applyAlignment="1">
      <alignment horizontal="centerContinuous"/>
    </xf>
    <xf numFmtId="0" fontId="23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 wrapText="1"/>
    </xf>
    <xf numFmtId="0" fontId="23" fillId="0" borderId="14" xfId="0" applyFont="1" applyFill="1" applyBorder="1"/>
    <xf numFmtId="42" fontId="23" fillId="0" borderId="14" xfId="0" applyNumberFormat="1" applyFont="1" applyFill="1" applyBorder="1"/>
    <xf numFmtId="42" fontId="26" fillId="0" borderId="22" xfId="0" applyNumberFormat="1" applyFont="1" applyFill="1" applyBorder="1"/>
    <xf numFmtId="0" fontId="23" fillId="0" borderId="0" xfId="0" applyFont="1" applyFill="1"/>
    <xf numFmtId="41" fontId="23" fillId="0" borderId="0" xfId="0" applyNumberFormat="1" applyFont="1" applyFill="1"/>
    <xf numFmtId="0" fontId="29" fillId="0" borderId="0" xfId="0" applyFont="1" applyAlignment="1">
      <alignment horizontal="centerContinuous"/>
    </xf>
    <xf numFmtId="0" fontId="29" fillId="0" borderId="0" xfId="0" applyFont="1" applyFill="1" applyAlignment="1">
      <alignment horizontal="centerContinuous"/>
    </xf>
    <xf numFmtId="0" fontId="29" fillId="0" borderId="0" xfId="0" applyFont="1" applyFill="1" applyAlignment="1">
      <alignment horizontal="center"/>
    </xf>
    <xf numFmtId="0" fontId="19" fillId="0" borderId="1" xfId="0" applyFont="1" applyBorder="1" applyAlignment="1">
      <alignment vertical="top"/>
    </xf>
    <xf numFmtId="3" fontId="19" fillId="0" borderId="1" xfId="0" applyNumberFormat="1" applyFont="1" applyFill="1" applyBorder="1" applyAlignment="1">
      <alignment horizontal="center" vertical="top"/>
    </xf>
    <xf numFmtId="0" fontId="19" fillId="0" borderId="0" xfId="0" applyFont="1" applyAlignment="1">
      <alignment vertical="top"/>
    </xf>
    <xf numFmtId="3" fontId="0" fillId="0" borderId="0" xfId="0" applyNumberFormat="1" applyFont="1" applyFill="1" applyAlignment="1" applyProtection="1">
      <alignment vertical="top"/>
      <protection hidden="1"/>
    </xf>
    <xf numFmtId="0" fontId="19" fillId="0" borderId="0" xfId="0" applyFont="1" applyAlignment="1">
      <alignment horizontal="center" vertical="top"/>
    </xf>
    <xf numFmtId="42" fontId="14" fillId="0" borderId="0" xfId="0" applyNumberFormat="1" applyFont="1" applyFill="1" applyBorder="1" applyAlignment="1">
      <alignment vertical="top"/>
    </xf>
    <xf numFmtId="42" fontId="14" fillId="0" borderId="1" xfId="0" applyNumberFormat="1" applyFont="1" applyFill="1" applyBorder="1" applyAlignment="1">
      <alignment vertical="top"/>
    </xf>
    <xf numFmtId="10" fontId="14" fillId="0" borderId="0" xfId="0" applyNumberFormat="1" applyFont="1" applyFill="1" applyAlignment="1">
      <alignment vertical="top"/>
    </xf>
    <xf numFmtId="42" fontId="14" fillId="0" borderId="0" xfId="0" applyNumberFormat="1" applyFont="1" applyFill="1" applyAlignment="1">
      <alignment vertical="top"/>
    </xf>
    <xf numFmtId="37" fontId="14" fillId="0" borderId="0" xfId="0" applyNumberFormat="1" applyFont="1" applyFill="1" applyAlignment="1">
      <alignment vertical="top"/>
    </xf>
    <xf numFmtId="169" fontId="14" fillId="0" borderId="0" xfId="0" applyNumberFormat="1" applyFont="1" applyFill="1" applyAlignment="1" applyProtection="1">
      <alignment vertical="top"/>
    </xf>
    <xf numFmtId="43" fontId="15" fillId="0" borderId="0" xfId="0" applyNumberFormat="1" applyFont="1" applyFill="1" applyAlignment="1">
      <alignment vertical="top"/>
    </xf>
    <xf numFmtId="10" fontId="15" fillId="0" borderId="0" xfId="0" applyNumberFormat="1" applyFont="1" applyFill="1" applyAlignment="1">
      <alignment vertical="top"/>
    </xf>
    <xf numFmtId="0" fontId="31" fillId="0" borderId="0" xfId="0" applyFont="1"/>
    <xf numFmtId="169" fontId="31" fillId="0" borderId="0" xfId="0" applyNumberFormat="1" applyFont="1"/>
    <xf numFmtId="0" fontId="31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4" xfId="0" applyFont="1" applyBorder="1" applyAlignment="1">
      <alignment horizontal="left"/>
    </xf>
    <xf numFmtId="164" fontId="31" fillId="0" borderId="14" xfId="0" applyNumberFormat="1" applyFont="1" applyBorder="1" applyAlignment="1">
      <alignment vertical="center" wrapText="1"/>
    </xf>
    <xf numFmtId="42" fontId="35" fillId="0" borderId="0" xfId="0" applyNumberFormat="1" applyFont="1"/>
    <xf numFmtId="0" fontId="44" fillId="3" borderId="0" xfId="0" applyFont="1" applyFill="1" applyBorder="1" applyAlignment="1">
      <alignment horizontal="centerContinuous" vertical="top"/>
    </xf>
    <xf numFmtId="3" fontId="44" fillId="3" borderId="7" xfId="0" applyNumberFormat="1" applyFont="1" applyFill="1" applyBorder="1" applyAlignment="1">
      <alignment horizontal="centerContinuous" vertical="top"/>
    </xf>
    <xf numFmtId="0" fontId="15" fillId="0" borderId="0" xfId="0" applyFont="1" applyFill="1" applyAlignment="1">
      <alignment horizontal="center" vertical="top"/>
    </xf>
    <xf numFmtId="42" fontId="16" fillId="0" borderId="0" xfId="0" applyNumberFormat="1" applyFont="1" applyFill="1" applyAlignment="1">
      <alignment vertical="top"/>
    </xf>
    <xf numFmtId="165" fontId="14" fillId="0" borderId="0" xfId="0" applyNumberFormat="1" applyFont="1" applyFill="1" applyBorder="1" applyAlignment="1">
      <alignment vertical="top"/>
    </xf>
    <xf numFmtId="165" fontId="14" fillId="0" borderId="14" xfId="0" applyNumberFormat="1" applyFont="1" applyFill="1" applyBorder="1"/>
    <xf numFmtId="10" fontId="14" fillId="0" borderId="14" xfId="0" applyNumberFormat="1" applyFont="1" applyFill="1" applyBorder="1" applyAlignment="1"/>
    <xf numFmtId="41" fontId="23" fillId="0" borderId="23" xfId="0" applyNumberFormat="1" applyFont="1" applyFill="1" applyBorder="1"/>
    <xf numFmtId="0" fontId="14" fillId="0" borderId="0" xfId="0" applyFont="1" applyFill="1" applyAlignment="1">
      <alignment vertical="top"/>
    </xf>
    <xf numFmtId="42" fontId="35" fillId="0" borderId="0" xfId="0" applyNumberFormat="1" applyFont="1"/>
    <xf numFmtId="42" fontId="34" fillId="0" borderId="0" xfId="0" applyNumberFormat="1" applyFont="1"/>
    <xf numFmtId="0" fontId="23" fillId="0" borderId="0" xfId="0" applyFont="1"/>
    <xf numFmtId="17" fontId="24" fillId="0" borderId="13" xfId="0" applyNumberFormat="1" applyFont="1" applyFill="1" applyBorder="1" applyAlignment="1">
      <alignment horizontal="centerContinuous"/>
    </xf>
    <xf numFmtId="0" fontId="14" fillId="0" borderId="18" xfId="0" applyFont="1" applyFill="1" applyBorder="1"/>
    <xf numFmtId="0" fontId="24" fillId="0" borderId="14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wrapText="1"/>
    </xf>
    <xf numFmtId="0" fontId="30" fillId="0" borderId="19" xfId="0" applyFont="1" applyFill="1" applyBorder="1"/>
    <xf numFmtId="168" fontId="14" fillId="0" borderId="14" xfId="0" applyNumberFormat="1" applyFont="1" applyFill="1" applyBorder="1"/>
    <xf numFmtId="0" fontId="14" fillId="0" borderId="14" xfId="0" applyFont="1" applyFill="1" applyBorder="1"/>
    <xf numFmtId="0" fontId="25" fillId="0" borderId="0" xfId="0" applyNumberFormat="1" applyFont="1" applyFill="1" applyAlignment="1"/>
    <xf numFmtId="0" fontId="24" fillId="0" borderId="0" xfId="0" applyFont="1" applyFill="1" applyAlignment="1">
      <alignment horizontal="centerContinuous"/>
    </xf>
    <xf numFmtId="0" fontId="14" fillId="0" borderId="14" xfId="0" applyFont="1" applyFill="1" applyBorder="1" applyAlignment="1">
      <alignment horizontal="center" wrapText="1"/>
    </xf>
    <xf numFmtId="0" fontId="28" fillId="0" borderId="14" xfId="0" applyFont="1" applyFill="1" applyBorder="1" applyAlignment="1">
      <alignment horizontal="center"/>
    </xf>
    <xf numFmtId="43" fontId="14" fillId="0" borderId="14" xfId="0" applyNumberFormat="1" applyFont="1" applyFill="1" applyBorder="1" applyAlignment="1"/>
    <xf numFmtId="0" fontId="14" fillId="0" borderId="14" xfId="0" applyNumberFormat="1" applyFont="1" applyFill="1" applyBorder="1" applyAlignment="1"/>
    <xf numFmtId="0" fontId="28" fillId="0" borderId="14" xfId="0" applyNumberFormat="1" applyFont="1" applyFill="1" applyBorder="1" applyAlignment="1"/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42" fontId="27" fillId="0" borderId="15" xfId="0" applyNumberFormat="1" applyFont="1" applyFill="1" applyBorder="1"/>
    <xf numFmtId="0" fontId="9" fillId="0" borderId="0" xfId="0" applyFont="1"/>
    <xf numFmtId="0" fontId="19" fillId="4" borderId="0" xfId="0" applyFont="1" applyFill="1" applyAlignment="1">
      <alignment vertical="top"/>
    </xf>
    <xf numFmtId="42" fontId="14" fillId="4" borderId="0" xfId="0" applyNumberFormat="1" applyFont="1" applyFill="1" applyAlignment="1">
      <alignment vertical="top"/>
    </xf>
    <xf numFmtId="0" fontId="19" fillId="5" borderId="0" xfId="0" applyFont="1" applyFill="1" applyAlignment="1">
      <alignment vertical="top"/>
    </xf>
    <xf numFmtId="42" fontId="14" fillId="4" borderId="1" xfId="0" applyNumberFormat="1" applyFont="1" applyFill="1" applyBorder="1" applyAlignment="1">
      <alignment vertical="top"/>
    </xf>
    <xf numFmtId="0" fontId="9" fillId="0" borderId="0" xfId="0" applyFont="1" applyFill="1"/>
    <xf numFmtId="0" fontId="14" fillId="0" borderId="0" xfId="0" applyFont="1" applyFill="1" applyBorder="1" applyAlignment="1">
      <alignment vertical="top"/>
    </xf>
    <xf numFmtId="10" fontId="14" fillId="0" borderId="1" xfId="0" applyNumberFormat="1" applyFont="1" applyFill="1" applyBorder="1" applyAlignment="1">
      <alignment vertical="top"/>
    </xf>
    <xf numFmtId="0" fontId="12" fillId="0" borderId="0" xfId="0" applyFont="1" applyFill="1" applyAlignment="1">
      <alignment horizontal="center"/>
    </xf>
    <xf numFmtId="42" fontId="48" fillId="0" borderId="0" xfId="0" applyNumberFormat="1" applyFont="1" applyFill="1"/>
    <xf numFmtId="0" fontId="48" fillId="0" borderId="0" xfId="0" applyFont="1"/>
    <xf numFmtId="0" fontId="48" fillId="0" borderId="0" xfId="0" applyFont="1" applyFill="1"/>
    <xf numFmtId="42" fontId="48" fillId="0" borderId="0" xfId="0" applyNumberFormat="1" applyFont="1"/>
    <xf numFmtId="0" fontId="13" fillId="0" borderId="0" xfId="0" applyFont="1"/>
    <xf numFmtId="165" fontId="13" fillId="0" borderId="0" xfId="0" applyNumberFormat="1" applyFont="1"/>
    <xf numFmtId="43" fontId="48" fillId="0" borderId="0" xfId="0" applyNumberFormat="1" applyFont="1"/>
    <xf numFmtId="0" fontId="26" fillId="0" borderId="21" xfId="0" applyFont="1" applyFill="1" applyBorder="1"/>
    <xf numFmtId="0" fontId="52" fillId="0" borderId="0" xfId="0" applyFont="1"/>
    <xf numFmtId="0" fontId="53" fillId="0" borderId="0" xfId="0" applyFont="1"/>
    <xf numFmtId="0" fontId="0" fillId="0" borderId="0" xfId="0" applyBorder="1"/>
    <xf numFmtId="0" fontId="55" fillId="0" borderId="4" xfId="0" applyFont="1" applyFill="1" applyBorder="1" applyAlignment="1">
      <alignment vertical="top"/>
    </xf>
    <xf numFmtId="10" fontId="43" fillId="0" borderId="10" xfId="0" applyNumberFormat="1" applyFont="1" applyFill="1" applyBorder="1" applyAlignment="1">
      <alignment vertical="top"/>
    </xf>
    <xf numFmtId="0" fontId="28" fillId="0" borderId="0" xfId="0" applyNumberFormat="1" applyFont="1" applyFill="1" applyBorder="1" applyAlignment="1"/>
    <xf numFmtId="3" fontId="58" fillId="0" borderId="0" xfId="0" applyNumberFormat="1" applyFont="1" applyFill="1" applyAlignment="1">
      <alignment vertical="top"/>
    </xf>
    <xf numFmtId="0" fontId="29" fillId="0" borderId="28" xfId="0" applyFont="1" applyBorder="1" applyAlignment="1">
      <alignment horizontal="left"/>
    </xf>
    <xf numFmtId="0" fontId="29" fillId="0" borderId="28" xfId="0" applyFont="1" applyBorder="1" applyAlignment="1">
      <alignment horizontal="centerContinuous"/>
    </xf>
    <xf numFmtId="42" fontId="29" fillId="0" borderId="28" xfId="0" applyNumberFormat="1" applyFont="1" applyFill="1" applyBorder="1" applyAlignment="1">
      <alignment horizontal="left"/>
    </xf>
    <xf numFmtId="42" fontId="7" fillId="0" borderId="0" xfId="0" applyNumberFormat="1" applyFont="1" applyFill="1"/>
    <xf numFmtId="42" fontId="7" fillId="0" borderId="0" xfId="0" applyNumberFormat="1" applyFont="1" applyFill="1" applyBorder="1"/>
    <xf numFmtId="0" fontId="19" fillId="0" borderId="9" xfId="0" applyFont="1" applyFill="1" applyBorder="1" applyAlignment="1">
      <alignment vertical="top"/>
    </xf>
    <xf numFmtId="3" fontId="14" fillId="0" borderId="9" xfId="0" applyNumberFormat="1" applyFont="1" applyFill="1" applyBorder="1" applyAlignment="1">
      <alignment vertical="top"/>
    </xf>
    <xf numFmtId="42" fontId="7" fillId="0" borderId="15" xfId="0" applyNumberFormat="1" applyFont="1" applyBorder="1"/>
    <xf numFmtId="0" fontId="59" fillId="0" borderId="0" xfId="0" applyFont="1" applyFill="1"/>
    <xf numFmtId="0" fontId="60" fillId="0" borderId="0" xfId="0" applyFont="1" applyFill="1"/>
    <xf numFmtId="0" fontId="61" fillId="0" borderId="19" xfId="0" applyFont="1" applyFill="1" applyBorder="1" applyAlignment="1">
      <alignment horizontal="centerContinuous"/>
    </xf>
    <xf numFmtId="0" fontId="61" fillId="0" borderId="30" xfId="0" applyFont="1" applyFill="1" applyBorder="1" applyAlignment="1">
      <alignment horizontal="centerContinuous"/>
    </xf>
    <xf numFmtId="0" fontId="61" fillId="0" borderId="0" xfId="0" applyFont="1" applyFill="1" applyAlignment="1">
      <alignment horizontal="centerContinuous"/>
    </xf>
    <xf numFmtId="0" fontId="60" fillId="0" borderId="0" xfId="0" applyFont="1" applyFill="1" applyAlignment="1">
      <alignment horizontal="centerContinuous"/>
    </xf>
    <xf numFmtId="0" fontId="62" fillId="0" borderId="0" xfId="0" applyNumberFormat="1" applyFont="1" applyFill="1" applyAlignment="1">
      <alignment horizontal="center"/>
    </xf>
    <xf numFmtId="0" fontId="62" fillId="0" borderId="0" xfId="0" applyFont="1" applyFill="1" applyAlignment="1">
      <alignment horizontal="center"/>
    </xf>
    <xf numFmtId="0" fontId="63" fillId="0" borderId="0" xfId="0" applyFont="1" applyFill="1"/>
    <xf numFmtId="0" fontId="62" fillId="0" borderId="1" xfId="0" applyNumberFormat="1" applyFont="1" applyFill="1" applyBorder="1" applyAlignment="1">
      <alignment horizontal="center"/>
    </xf>
    <xf numFmtId="0" fontId="62" fillId="0" borderId="1" xfId="0" applyFont="1" applyFill="1" applyBorder="1" applyAlignment="1">
      <alignment horizontal="center"/>
    </xf>
    <xf numFmtId="0" fontId="63" fillId="0" borderId="1" xfId="0" applyFont="1" applyFill="1" applyBorder="1"/>
    <xf numFmtId="0" fontId="60" fillId="0" borderId="0" xfId="0" applyNumberFormat="1" applyFont="1" applyFill="1" applyAlignment="1">
      <alignment horizontal="center"/>
    </xf>
    <xf numFmtId="0" fontId="60" fillId="0" borderId="0" xfId="0" applyNumberFormat="1" applyFont="1" applyFill="1" applyAlignment="1"/>
    <xf numFmtId="10" fontId="60" fillId="0" borderId="0" xfId="0" applyNumberFormat="1" applyFont="1" applyFill="1"/>
    <xf numFmtId="0" fontId="60" fillId="0" borderId="0" xfId="0" applyNumberFormat="1" applyFont="1" applyFill="1" applyAlignment="1">
      <alignment horizontal="left"/>
    </xf>
    <xf numFmtId="166" fontId="60" fillId="0" borderId="0" xfId="0" applyNumberFormat="1" applyFont="1" applyFill="1" applyAlignment="1"/>
    <xf numFmtId="10" fontId="60" fillId="0" borderId="15" xfId="0" applyNumberFormat="1" applyFont="1" applyFill="1" applyBorder="1"/>
    <xf numFmtId="0" fontId="60" fillId="0" borderId="15" xfId="0" applyFont="1" applyFill="1" applyBorder="1"/>
    <xf numFmtId="10" fontId="60" fillId="8" borderId="15" xfId="0" applyNumberFormat="1" applyFont="1" applyFill="1" applyBorder="1"/>
    <xf numFmtId="164" fontId="60" fillId="0" borderId="0" xfId="0" applyNumberFormat="1" applyFont="1" applyFill="1" applyAlignment="1"/>
    <xf numFmtId="166" fontId="60" fillId="0" borderId="1" xfId="0" applyNumberFormat="1" applyFont="1" applyFill="1" applyBorder="1" applyAlignment="1"/>
    <xf numFmtId="166" fontId="60" fillId="0" borderId="0" xfId="0" applyNumberFormat="1" applyFont="1" applyFill="1" applyBorder="1" applyAlignment="1"/>
    <xf numFmtId="166" fontId="60" fillId="8" borderId="0" xfId="0" applyNumberFormat="1" applyFont="1" applyFill="1" applyAlignment="1"/>
    <xf numFmtId="9" fontId="60" fillId="0" borderId="0" xfId="0" applyNumberFormat="1" applyFont="1" applyFill="1" applyAlignment="1"/>
    <xf numFmtId="166" fontId="61" fillId="0" borderId="29" xfId="0" applyNumberFormat="1" applyFont="1" applyFill="1" applyBorder="1" applyAlignment="1" applyProtection="1">
      <protection locked="0"/>
    </xf>
    <xf numFmtId="173" fontId="60" fillId="0" borderId="0" xfId="0" applyNumberFormat="1" applyFont="1" applyFill="1"/>
    <xf numFmtId="43" fontId="12" fillId="0" borderId="0" xfId="0" applyNumberFormat="1" applyFont="1"/>
    <xf numFmtId="42" fontId="7" fillId="0" borderId="0" xfId="0" applyNumberFormat="1" applyFont="1" applyBorder="1"/>
    <xf numFmtId="42" fontId="7" fillId="0" borderId="15" xfId="0" applyNumberFormat="1" applyFont="1" applyFill="1" applyBorder="1"/>
    <xf numFmtId="182" fontId="12" fillId="0" borderId="0" xfId="0" applyNumberFormat="1" applyFont="1" applyBorder="1"/>
    <xf numFmtId="182" fontId="14" fillId="0" borderId="0" xfId="0" applyNumberFormat="1" applyFont="1" applyFill="1"/>
    <xf numFmtId="173" fontId="48" fillId="0" borderId="0" xfId="0" applyNumberFormat="1" applyFont="1" applyFill="1"/>
    <xf numFmtId="0" fontId="64" fillId="0" borderId="0" xfId="0" applyFont="1" applyAlignment="1">
      <alignment horizontal="right"/>
    </xf>
    <xf numFmtId="179" fontId="64" fillId="0" borderId="0" xfId="0" applyNumberFormat="1" applyFont="1"/>
    <xf numFmtId="3" fontId="34" fillId="0" borderId="0" xfId="0" applyNumberFormat="1" applyFont="1" applyFill="1"/>
    <xf numFmtId="3" fontId="15" fillId="0" borderId="31" xfId="0" applyNumberFormat="1" applyFont="1" applyFill="1" applyBorder="1" applyAlignment="1">
      <alignment vertical="top"/>
    </xf>
    <xf numFmtId="0" fontId="44" fillId="3" borderId="0" xfId="0" applyFont="1" applyFill="1" applyBorder="1" applyAlignment="1">
      <alignment horizontal="left" vertical="top"/>
    </xf>
    <xf numFmtId="3" fontId="44" fillId="3" borderId="26" xfId="0" applyNumberFormat="1" applyFont="1" applyFill="1" applyBorder="1" applyAlignment="1">
      <alignment horizontal="centerContinuous" vertical="top"/>
    </xf>
    <xf numFmtId="0" fontId="19" fillId="0" borderId="26" xfId="0" applyFont="1" applyFill="1" applyBorder="1" applyAlignment="1">
      <alignment horizontal="center" vertical="top"/>
    </xf>
    <xf numFmtId="0" fontId="19" fillId="0" borderId="32" xfId="0" applyFont="1" applyFill="1" applyBorder="1" applyAlignment="1">
      <alignment horizontal="center" vertical="top"/>
    </xf>
    <xf numFmtId="0" fontId="15" fillId="0" borderId="26" xfId="0" applyFont="1" applyFill="1" applyBorder="1" applyAlignment="1">
      <alignment vertical="top"/>
    </xf>
    <xf numFmtId="10" fontId="20" fillId="0" borderId="26" xfId="0" applyNumberFormat="1" applyFont="1" applyFill="1" applyBorder="1" applyAlignment="1">
      <alignment vertical="top"/>
    </xf>
    <xf numFmtId="10" fontId="20" fillId="0" borderId="32" xfId="0" applyNumberFormat="1" applyFont="1" applyFill="1" applyBorder="1" applyAlignment="1">
      <alignment vertical="top"/>
    </xf>
    <xf numFmtId="44" fontId="15" fillId="0" borderId="0" xfId="0" applyNumberFormat="1" applyFont="1" applyFill="1" applyAlignment="1">
      <alignment vertical="top"/>
    </xf>
    <xf numFmtId="10" fontId="43" fillId="0" borderId="33" xfId="0" applyNumberFormat="1" applyFont="1" applyFill="1" applyBorder="1" applyAlignment="1">
      <alignment vertical="top"/>
    </xf>
    <xf numFmtId="10" fontId="20" fillId="0" borderId="34" xfId="0" applyNumberFormat="1" applyFont="1" applyFill="1" applyBorder="1" applyAlignment="1">
      <alignment vertical="top"/>
    </xf>
    <xf numFmtId="3" fontId="20" fillId="0" borderId="0" xfId="0" applyNumberFormat="1" applyFont="1" applyFill="1" applyBorder="1" applyAlignment="1">
      <alignment vertical="top"/>
    </xf>
    <xf numFmtId="42" fontId="20" fillId="0" borderId="0" xfId="0" applyNumberFormat="1" applyFont="1" applyFill="1" applyBorder="1" applyAlignment="1">
      <alignment vertical="top"/>
    </xf>
    <xf numFmtId="0" fontId="19" fillId="0" borderId="0" xfId="0" applyFont="1" applyFill="1" applyAlignment="1">
      <alignment horizontal="center" vertical="top"/>
    </xf>
    <xf numFmtId="0" fontId="32" fillId="0" borderId="0" xfId="0" applyNumberFormat="1" applyFont="1" applyFill="1" applyAlignment="1">
      <alignment horizontal="center"/>
    </xf>
    <xf numFmtId="0" fontId="0" fillId="0" borderId="0" xfId="0" applyFont="1"/>
    <xf numFmtId="41" fontId="23" fillId="0" borderId="0" xfId="0" applyNumberFormat="1" applyFont="1"/>
    <xf numFmtId="0" fontId="54" fillId="0" borderId="0" xfId="0" applyFont="1" applyBorder="1" applyAlignment="1">
      <alignment vertical="center"/>
    </xf>
    <xf numFmtId="0" fontId="5" fillId="0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42" fontId="5" fillId="0" borderId="0" xfId="0" applyNumberFormat="1" applyFont="1" applyFill="1" applyAlignment="1">
      <alignment vertical="top"/>
    </xf>
    <xf numFmtId="42" fontId="5" fillId="2" borderId="0" xfId="0" applyNumberFormat="1" applyFont="1" applyFill="1" applyAlignment="1">
      <alignment vertical="top"/>
    </xf>
    <xf numFmtId="0" fontId="5" fillId="0" borderId="0" xfId="0" applyFont="1" applyFill="1"/>
    <xf numFmtId="164" fontId="5" fillId="2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vertical="top"/>
    </xf>
    <xf numFmtId="0" fontId="44" fillId="7" borderId="2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24" fillId="0" borderId="14" xfId="0" applyFont="1" applyBorder="1"/>
    <xf numFmtId="0" fontId="24" fillId="0" borderId="19" xfId="0" applyFont="1" applyBorder="1" applyAlignment="1">
      <alignment horizontal="center"/>
    </xf>
    <xf numFmtId="0" fontId="24" fillId="0" borderId="14" xfId="0" applyFont="1" applyFill="1" applyBorder="1" applyAlignment="1">
      <alignment wrapText="1"/>
    </xf>
    <xf numFmtId="0" fontId="24" fillId="0" borderId="14" xfId="0" applyFont="1" applyFill="1" applyBorder="1"/>
    <xf numFmtId="0" fontId="46" fillId="0" borderId="14" xfId="0" applyFont="1" applyBorder="1" applyAlignment="1">
      <alignment vertical="center"/>
    </xf>
    <xf numFmtId="0" fontId="46" fillId="0" borderId="19" xfId="0" applyFont="1" applyBorder="1" applyAlignment="1">
      <alignment vertical="center"/>
    </xf>
    <xf numFmtId="165" fontId="23" fillId="0" borderId="14" xfId="0" applyNumberFormat="1" applyFont="1" applyFill="1" applyBorder="1"/>
    <xf numFmtId="10" fontId="56" fillId="0" borderId="14" xfId="0" applyNumberFormat="1" applyFont="1" applyFill="1" applyBorder="1"/>
    <xf numFmtId="44" fontId="56" fillId="0" borderId="14" xfId="0" applyNumberFormat="1" applyFont="1" applyFill="1" applyBorder="1"/>
    <xf numFmtId="41" fontId="56" fillId="0" borderId="14" xfId="0" applyNumberFormat="1" applyFont="1" applyFill="1" applyBorder="1"/>
    <xf numFmtId="43" fontId="56" fillId="0" borderId="14" xfId="0" applyNumberFormat="1" applyFont="1" applyFill="1" applyBorder="1"/>
    <xf numFmtId="0" fontId="47" fillId="0" borderId="25" xfId="0" applyFont="1" applyBorder="1" applyAlignment="1">
      <alignment vertical="center"/>
    </xf>
    <xf numFmtId="0" fontId="47" fillId="0" borderId="21" xfId="0" applyFont="1" applyBorder="1" applyAlignment="1">
      <alignment vertical="center"/>
    </xf>
    <xf numFmtId="165" fontId="57" fillId="0" borderId="25" xfId="0" applyNumberFormat="1" applyFont="1" applyFill="1" applyBorder="1"/>
    <xf numFmtId="0" fontId="56" fillId="0" borderId="14" xfId="0" applyFont="1" applyFill="1" applyBorder="1"/>
    <xf numFmtId="0" fontId="56" fillId="0" borderId="0" xfId="0" applyFont="1" applyFill="1"/>
    <xf numFmtId="10" fontId="56" fillId="0" borderId="0" xfId="0" applyNumberFormat="1" applyFont="1" applyFill="1" applyBorder="1"/>
    <xf numFmtId="0" fontId="5" fillId="0" borderId="14" xfId="0" applyFont="1" applyFill="1" applyBorder="1"/>
    <xf numFmtId="0" fontId="44" fillId="7" borderId="14" xfId="0" applyFont="1" applyFill="1" applyBorder="1" applyAlignment="1">
      <alignment horizontal="center" vertical="center"/>
    </xf>
    <xf numFmtId="0" fontId="57" fillId="0" borderId="14" xfId="0" applyFont="1" applyFill="1" applyBorder="1"/>
    <xf numFmtId="44" fontId="23" fillId="0" borderId="14" xfId="0" applyNumberFormat="1" applyFont="1" applyFill="1" applyBorder="1"/>
    <xf numFmtId="0" fontId="56" fillId="0" borderId="14" xfId="0" applyFont="1" applyFill="1" applyBorder="1" applyAlignment="1">
      <alignment horizontal="center"/>
    </xf>
    <xf numFmtId="3" fontId="56" fillId="0" borderId="14" xfId="0" applyNumberFormat="1" applyFont="1" applyFill="1" applyBorder="1"/>
    <xf numFmtId="0" fontId="46" fillId="0" borderId="26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41" fontId="23" fillId="0" borderId="14" xfId="0" applyNumberFormat="1" applyFont="1" applyFill="1" applyBorder="1"/>
    <xf numFmtId="0" fontId="56" fillId="0" borderId="14" xfId="0" applyFont="1" applyFill="1" applyBorder="1" applyAlignment="1">
      <alignment horizontal="center" wrapText="1"/>
    </xf>
    <xf numFmtId="0" fontId="47" fillId="0" borderId="14" xfId="0" applyFont="1" applyFill="1" applyBorder="1" applyAlignment="1">
      <alignment vertical="center"/>
    </xf>
    <xf numFmtId="0" fontId="24" fillId="0" borderId="19" xfId="0" applyFont="1" applyBorder="1"/>
    <xf numFmtId="165" fontId="57" fillId="0" borderId="14" xfId="0" applyNumberFormat="1" applyFont="1" applyFill="1" applyBorder="1"/>
    <xf numFmtId="0" fontId="5" fillId="0" borderId="14" xfId="0" applyFont="1" applyBorder="1"/>
    <xf numFmtId="10" fontId="23" fillId="0" borderId="14" xfId="0" applyNumberFormat="1" applyFont="1" applyFill="1" applyBorder="1"/>
    <xf numFmtId="44" fontId="56" fillId="0" borderId="0" xfId="0" applyNumberFormat="1" applyFont="1" applyFill="1"/>
    <xf numFmtId="42" fontId="56" fillId="0" borderId="14" xfId="0" applyNumberFormat="1" applyFont="1" applyFill="1" applyBorder="1"/>
    <xf numFmtId="0" fontId="5" fillId="6" borderId="27" xfId="0" applyFont="1" applyFill="1" applyBorder="1" applyAlignment="1">
      <alignment wrapText="1"/>
    </xf>
    <xf numFmtId="0" fontId="5" fillId="6" borderId="27" xfId="0" applyFont="1" applyFill="1" applyBorder="1"/>
    <xf numFmtId="0" fontId="56" fillId="0" borderId="27" xfId="0" applyFont="1" applyFill="1" applyBorder="1"/>
    <xf numFmtId="165" fontId="56" fillId="0" borderId="27" xfId="0" applyNumberFormat="1" applyFont="1" applyFill="1" applyBorder="1"/>
    <xf numFmtId="0" fontId="0" fillId="0" borderId="0" xfId="0" applyFill="1"/>
    <xf numFmtId="0" fontId="5" fillId="0" borderId="0" xfId="0" applyFont="1"/>
    <xf numFmtId="0" fontId="5" fillId="0" borderId="0" xfId="0" applyFont="1" applyFill="1" applyAlignment="1">
      <alignment horizontal="centerContinuous"/>
    </xf>
    <xf numFmtId="0" fontId="5" fillId="0" borderId="16" xfId="0" applyFont="1" applyFill="1" applyBorder="1"/>
    <xf numFmtId="0" fontId="5" fillId="0" borderId="13" xfId="0" applyFont="1" applyFill="1" applyBorder="1" applyAlignment="1">
      <alignment horizontal="centerContinuous"/>
    </xf>
    <xf numFmtId="0" fontId="5" fillId="0" borderId="17" xfId="0" applyFont="1" applyFill="1" applyBorder="1" applyAlignment="1">
      <alignment horizontal="centerContinuous"/>
    </xf>
    <xf numFmtId="43" fontId="5" fillId="0" borderId="0" xfId="0" applyNumberFormat="1" applyFont="1" applyFill="1"/>
    <xf numFmtId="43" fontId="5" fillId="0" borderId="0" xfId="0" applyNumberFormat="1" applyFont="1"/>
    <xf numFmtId="0" fontId="5" fillId="0" borderId="14" xfId="0" applyFont="1" applyFill="1" applyBorder="1"/>
    <xf numFmtId="168" fontId="5" fillId="0" borderId="14" xfId="0" applyNumberFormat="1" applyFont="1" applyFill="1" applyBorder="1"/>
    <xf numFmtId="10" fontId="5" fillId="0" borderId="0" xfId="0" applyNumberFormat="1" applyFont="1" applyFill="1"/>
    <xf numFmtId="0" fontId="5" fillId="0" borderId="14" xfId="0" applyFont="1" applyFill="1" applyBorder="1" applyAlignment="1">
      <alignment horizontal="center"/>
    </xf>
    <xf numFmtId="175" fontId="5" fillId="0" borderId="0" xfId="0" applyNumberFormat="1" applyFont="1" applyFill="1"/>
    <xf numFmtId="43" fontId="5" fillId="0" borderId="0" xfId="0" applyNumberFormat="1" applyFont="1" applyFill="1" applyAlignment="1">
      <alignment wrapText="1"/>
    </xf>
    <xf numFmtId="0" fontId="28" fillId="0" borderId="3" xfId="0" applyFont="1" applyFill="1" applyBorder="1" applyAlignment="1">
      <alignment horizontal="centerContinuous"/>
    </xf>
    <xf numFmtId="0" fontId="18" fillId="0" borderId="4" xfId="0" applyFont="1" applyFill="1" applyBorder="1" applyAlignment="1">
      <alignment horizontal="centerContinuous"/>
    </xf>
    <xf numFmtId="0" fontId="18" fillId="0" borderId="5" xfId="0" applyFont="1" applyFill="1" applyBorder="1" applyAlignment="1">
      <alignment horizontal="centerContinuous"/>
    </xf>
    <xf numFmtId="0" fontId="37" fillId="0" borderId="6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43" fontId="37" fillId="0" borderId="0" xfId="0" applyNumberFormat="1" applyFont="1" applyFill="1" applyBorder="1" applyAlignment="1">
      <alignment horizontal="center" wrapText="1"/>
    </xf>
    <xf numFmtId="0" fontId="37" fillId="0" borderId="7" xfId="0" applyFont="1" applyFill="1" applyBorder="1" applyAlignment="1">
      <alignment horizontal="center" wrapText="1"/>
    </xf>
    <xf numFmtId="180" fontId="5" fillId="0" borderId="0" xfId="0" applyNumberFormat="1" applyFont="1" applyFill="1"/>
    <xf numFmtId="43" fontId="37" fillId="0" borderId="0" xfId="0" applyNumberFormat="1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/>
    </xf>
    <xf numFmtId="181" fontId="5" fillId="0" borderId="0" xfId="0" applyNumberFormat="1" applyFont="1" applyFill="1"/>
    <xf numFmtId="0" fontId="38" fillId="0" borderId="6" xfId="0" applyFont="1" applyFill="1" applyBorder="1"/>
    <xf numFmtId="0" fontId="38" fillId="0" borderId="0" xfId="0" applyFont="1" applyFill="1" applyBorder="1"/>
    <xf numFmtId="0" fontId="38" fillId="0" borderId="7" xfId="0" applyFont="1" applyFill="1" applyBorder="1"/>
    <xf numFmtId="0" fontId="38" fillId="0" borderId="6" xfId="0" applyFont="1" applyFill="1" applyBorder="1" applyAlignment="1">
      <alignment horizontal="left"/>
    </xf>
    <xf numFmtId="10" fontId="38" fillId="0" borderId="0" xfId="0" applyNumberFormat="1" applyFont="1" applyFill="1" applyBorder="1"/>
    <xf numFmtId="10" fontId="38" fillId="0" borderId="7" xfId="0" applyNumberFormat="1" applyFont="1" applyFill="1" applyBorder="1"/>
    <xf numFmtId="0" fontId="38" fillId="0" borderId="11" xfId="0" applyFont="1" applyFill="1" applyBorder="1" applyAlignment="1">
      <alignment horizontal="left"/>
    </xf>
    <xf numFmtId="0" fontId="38" fillId="0" borderId="2" xfId="0" applyFont="1" applyFill="1" applyBorder="1"/>
    <xf numFmtId="10" fontId="38" fillId="0" borderId="2" xfId="0" applyNumberFormat="1" applyFont="1" applyFill="1" applyBorder="1"/>
    <xf numFmtId="10" fontId="38" fillId="0" borderId="12" xfId="0" applyNumberFormat="1" applyFont="1" applyFill="1" applyBorder="1"/>
    <xf numFmtId="0" fontId="24" fillId="0" borderId="13" xfId="0" applyFont="1" applyFill="1" applyBorder="1" applyAlignment="1">
      <alignment horizontal="centerContinuous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 vertical="center" wrapText="1"/>
    </xf>
    <xf numFmtId="165" fontId="14" fillId="0" borderId="0" xfId="0" applyNumberFormat="1" applyFont="1" applyFill="1" applyBorder="1"/>
    <xf numFmtId="173" fontId="5" fillId="0" borderId="0" xfId="0" applyNumberFormat="1" applyFont="1" applyFill="1"/>
    <xf numFmtId="168" fontId="14" fillId="0" borderId="0" xfId="0" applyNumberFormat="1" applyFont="1" applyFill="1" applyBorder="1"/>
    <xf numFmtId="0" fontId="5" fillId="0" borderId="0" xfId="0" applyFont="1" applyFill="1" applyBorder="1"/>
    <xf numFmtId="44" fontId="5" fillId="0" borderId="0" xfId="0" applyNumberFormat="1" applyFont="1" applyFill="1" applyBorder="1"/>
    <xf numFmtId="43" fontId="5" fillId="0" borderId="0" xfId="0" applyNumberFormat="1" applyFont="1" applyFill="1" applyBorder="1"/>
    <xf numFmtId="0" fontId="5" fillId="0" borderId="0" xfId="0" applyFont="1" applyBorder="1"/>
    <xf numFmtId="42" fontId="5" fillId="0" borderId="0" xfId="0" applyNumberFormat="1" applyFont="1" applyFill="1"/>
    <xf numFmtId="44" fontId="5" fillId="0" borderId="0" xfId="0" applyNumberFormat="1" applyFont="1" applyFill="1"/>
    <xf numFmtId="10" fontId="5" fillId="0" borderId="0" xfId="0" applyNumberFormat="1" applyFont="1"/>
    <xf numFmtId="42" fontId="5" fillId="0" borderId="0" xfId="0" applyNumberFormat="1" applyFont="1" applyFill="1" applyBorder="1"/>
    <xf numFmtId="42" fontId="5" fillId="0" borderId="1" xfId="0" applyNumberFormat="1" applyFont="1" applyFill="1" applyBorder="1"/>
    <xf numFmtId="42" fontId="5" fillId="0" borderId="9" xfId="0" applyNumberFormat="1" applyFont="1" applyFill="1" applyBorder="1"/>
    <xf numFmtId="169" fontId="5" fillId="0" borderId="0" xfId="0" applyNumberFormat="1" applyFont="1" applyFill="1"/>
    <xf numFmtId="10" fontId="27" fillId="0" borderId="0" xfId="0" applyNumberFormat="1" applyFont="1"/>
    <xf numFmtId="0" fontId="4" fillId="0" borderId="0" xfId="0" applyFont="1"/>
    <xf numFmtId="0" fontId="3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9" fillId="0" borderId="0" xfId="0" applyFont="1" applyFill="1" applyAlignment="1">
      <alignment horizontal="center" vertical="top"/>
    </xf>
    <xf numFmtId="0" fontId="32" fillId="0" borderId="0" xfId="0" applyNumberFormat="1" applyFont="1" applyFill="1" applyAlignment="1" applyProtection="1">
      <alignment horizontal="center"/>
      <protection locked="0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14" fillId="0" borderId="0" xfId="3" applyFont="1" applyAlignment="1">
      <alignment horizontal="center"/>
    </xf>
    <xf numFmtId="0" fontId="1" fillId="0" borderId="0" xfId="3"/>
    <xf numFmtId="0" fontId="1" fillId="0" borderId="0" xfId="3" applyAlignment="1">
      <alignment horizontal="center"/>
    </xf>
    <xf numFmtId="0" fontId="1" fillId="0" borderId="0" xfId="3" applyAlignment="1">
      <alignment horizontal="center"/>
    </xf>
    <xf numFmtId="0" fontId="1" fillId="0" borderId="0" xfId="3" applyBorder="1" applyAlignment="1">
      <alignment horizontal="center"/>
    </xf>
    <xf numFmtId="0" fontId="34" fillId="0" borderId="0" xfId="3" applyFont="1" applyBorder="1" applyAlignment="1">
      <alignment horizontal="center"/>
    </xf>
    <xf numFmtId="0" fontId="1" fillId="0" borderId="1" xfId="3" applyBorder="1" applyAlignment="1">
      <alignment horizontal="center"/>
    </xf>
    <xf numFmtId="0" fontId="34" fillId="0" borderId="1" xfId="3" applyFont="1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42" fontId="1" fillId="0" borderId="0" xfId="3" applyNumberFormat="1" applyBorder="1" applyAlignment="1">
      <alignment horizontal="center"/>
    </xf>
    <xf numFmtId="42" fontId="1" fillId="0" borderId="0" xfId="3" applyNumberFormat="1" applyFont="1" applyBorder="1" applyAlignment="1">
      <alignment horizontal="center"/>
    </xf>
    <xf numFmtId="0" fontId="1" fillId="0" borderId="0" xfId="3" applyAlignment="1">
      <alignment horizontal="left"/>
    </xf>
    <xf numFmtId="42" fontId="35" fillId="0" borderId="0" xfId="3" applyNumberFormat="1" applyFont="1"/>
    <xf numFmtId="176" fontId="1" fillId="0" borderId="0" xfId="3" applyNumberFormat="1"/>
    <xf numFmtId="42" fontId="1" fillId="0" borderId="0" xfId="3" applyNumberFormat="1"/>
    <xf numFmtId="42" fontId="14" fillId="0" borderId="0" xfId="3" applyNumberFormat="1" applyFont="1"/>
    <xf numFmtId="10" fontId="1" fillId="0" borderId="0" xfId="3" applyNumberFormat="1" applyFont="1"/>
    <xf numFmtId="42" fontId="34" fillId="0" borderId="0" xfId="3" applyNumberFormat="1" applyFont="1"/>
    <xf numFmtId="176" fontId="1" fillId="0" borderId="1" xfId="3" applyNumberFormat="1" applyBorder="1"/>
    <xf numFmtId="3" fontId="1" fillId="0" borderId="15" xfId="3" applyNumberFormat="1" applyBorder="1"/>
    <xf numFmtId="42" fontId="1" fillId="0" borderId="15" xfId="3" applyNumberFormat="1" applyBorder="1"/>
    <xf numFmtId="42" fontId="14" fillId="0" borderId="15" xfId="3" applyNumberFormat="1" applyFont="1" applyBorder="1"/>
    <xf numFmtId="10" fontId="1" fillId="0" borderId="15" xfId="3" applyNumberFormat="1" applyFont="1" applyBorder="1"/>
    <xf numFmtId="0" fontId="21" fillId="0" borderId="0" xfId="3" applyFont="1" applyBorder="1" applyAlignment="1">
      <alignment horizontal="left"/>
    </xf>
    <xf numFmtId="3" fontId="21" fillId="0" borderId="0" xfId="3" applyNumberFormat="1" applyFont="1" applyFill="1" applyBorder="1"/>
    <xf numFmtId="42" fontId="21" fillId="0" borderId="0" xfId="3" applyNumberFormat="1" applyFont="1" applyFill="1" applyBorder="1"/>
    <xf numFmtId="171" fontId="21" fillId="0" borderId="0" xfId="3" applyNumberFormat="1" applyFont="1" applyFill="1" applyBorder="1"/>
    <xf numFmtId="171" fontId="21" fillId="0" borderId="0" xfId="3" applyNumberFormat="1" applyFont="1" applyFill="1"/>
    <xf numFmtId="171" fontId="40" fillId="0" borderId="0" xfId="3" applyNumberFormat="1" applyFont="1"/>
    <xf numFmtId="167" fontId="21" fillId="0" borderId="0" xfId="3" applyNumberFormat="1" applyFont="1"/>
    <xf numFmtId="10" fontId="21" fillId="0" borderId="0" xfId="3" applyNumberFormat="1" applyFont="1"/>
    <xf numFmtId="0" fontId="21" fillId="0" borderId="0" xfId="3" applyFont="1"/>
    <xf numFmtId="177" fontId="21" fillId="0" borderId="0" xfId="3" applyNumberFormat="1" applyFont="1" applyFill="1" applyBorder="1"/>
    <xf numFmtId="178" fontId="45" fillId="0" borderId="0" xfId="3" applyNumberFormat="1" applyFont="1" applyFill="1" applyBorder="1"/>
    <xf numFmtId="37" fontId="21" fillId="0" borderId="0" xfId="3" applyNumberFormat="1" applyFont="1"/>
    <xf numFmtId="37" fontId="21" fillId="0" borderId="0" xfId="3" applyNumberFormat="1" applyFont="1" applyFill="1"/>
    <xf numFmtId="0" fontId="21" fillId="0" borderId="0" xfId="3" applyFont="1" applyAlignment="1">
      <alignment horizontal="left"/>
    </xf>
    <xf numFmtId="3" fontId="21" fillId="0" borderId="0" xfId="3" applyNumberFormat="1" applyFont="1" applyBorder="1"/>
    <xf numFmtId="42" fontId="21" fillId="0" borderId="15" xfId="3" applyNumberFormat="1" applyFont="1" applyFill="1" applyBorder="1"/>
    <xf numFmtId="0" fontId="21" fillId="0" borderId="0" xfId="3" applyFont="1" applyFill="1"/>
    <xf numFmtId="3" fontId="1" fillId="0" borderId="0" xfId="3" applyNumberFormat="1"/>
    <xf numFmtId="10" fontId="1" fillId="0" borderId="0" xfId="3" applyNumberFormat="1"/>
    <xf numFmtId="0" fontId="50" fillId="0" borderId="0" xfId="3" applyFont="1" applyBorder="1" applyAlignment="1">
      <alignment horizontal="left"/>
    </xf>
    <xf numFmtId="0" fontId="19" fillId="0" borderId="0" xfId="3" applyFont="1" applyAlignment="1">
      <alignment horizontal="left"/>
    </xf>
    <xf numFmtId="42" fontId="21" fillId="0" borderId="0" xfId="3" applyNumberFormat="1" applyFont="1" applyBorder="1"/>
    <xf numFmtId="42" fontId="21" fillId="0" borderId="0" xfId="3" applyNumberFormat="1" applyFont="1"/>
    <xf numFmtId="173" fontId="21" fillId="0" borderId="0" xfId="3" applyNumberFormat="1" applyFont="1" applyFill="1"/>
    <xf numFmtId="165" fontId="21" fillId="0" borderId="0" xfId="3" applyNumberFormat="1" applyFont="1" applyFill="1"/>
    <xf numFmtId="0" fontId="21" fillId="0" borderId="0" xfId="3" applyFont="1" applyFill="1" applyBorder="1" applyAlignment="1">
      <alignment horizontal="left" vertical="center" textRotation="180"/>
    </xf>
    <xf numFmtId="0" fontId="21" fillId="0" borderId="0" xfId="3" applyFont="1" applyFill="1" applyBorder="1" applyAlignment="1">
      <alignment horizontal="left"/>
    </xf>
    <xf numFmtId="0" fontId="21" fillId="0" borderId="0" xfId="3" applyFont="1" applyFill="1" applyBorder="1"/>
    <xf numFmtId="0" fontId="21" fillId="0" borderId="0" xfId="3" applyFont="1" applyBorder="1"/>
    <xf numFmtId="165" fontId="21" fillId="0" borderId="0" xfId="3" applyNumberFormat="1" applyFont="1" applyFill="1" applyBorder="1"/>
    <xf numFmtId="173" fontId="21" fillId="0" borderId="15" xfId="3" applyNumberFormat="1" applyFont="1" applyFill="1" applyBorder="1"/>
    <xf numFmtId="165" fontId="21" fillId="0" borderId="15" xfId="3" applyNumberFormat="1" applyFont="1" applyFill="1" applyBorder="1"/>
    <xf numFmtId="44" fontId="21" fillId="0" borderId="0" xfId="3" applyNumberFormat="1" applyFont="1"/>
    <xf numFmtId="165" fontId="1" fillId="0" borderId="0" xfId="3" applyNumberFormat="1"/>
    <xf numFmtId="0" fontId="1" fillId="0" borderId="0" xfId="3" applyFill="1"/>
    <xf numFmtId="3" fontId="1" fillId="0" borderId="0" xfId="3" applyNumberFormat="1" applyFill="1"/>
    <xf numFmtId="0" fontId="14" fillId="0" borderId="0" xfId="3" applyFont="1" applyFill="1" applyAlignment="1">
      <alignment horizontal="center"/>
    </xf>
    <xf numFmtId="0" fontId="14" fillId="0" borderId="0" xfId="3" applyFont="1"/>
    <xf numFmtId="0" fontId="14" fillId="0" borderId="1" xfId="3" applyFont="1" applyBorder="1" applyAlignment="1">
      <alignment horizontal="centerContinuous"/>
    </xf>
    <xf numFmtId="0" fontId="14" fillId="0" borderId="0" xfId="3" applyFont="1" applyBorder="1" applyAlignment="1">
      <alignment horizontal="left"/>
    </xf>
    <xf numFmtId="0" fontId="14" fillId="0" borderId="1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42" fillId="0" borderId="0" xfId="3" applyFont="1"/>
    <xf numFmtId="170" fontId="14" fillId="0" borderId="0" xfId="3" applyNumberFormat="1" applyFont="1"/>
    <xf numFmtId="0" fontId="42" fillId="0" borderId="0" xfId="3" applyFont="1" applyBorder="1"/>
    <xf numFmtId="44" fontId="42" fillId="0" borderId="0" xfId="3" applyNumberFormat="1" applyFont="1" applyBorder="1"/>
    <xf numFmtId="44" fontId="14" fillId="0" borderId="0" xfId="3" applyNumberFormat="1" applyFont="1"/>
    <xf numFmtId="170" fontId="14" fillId="0" borderId="0" xfId="3" applyNumberFormat="1" applyFont="1" applyBorder="1"/>
    <xf numFmtId="44" fontId="14" fillId="0" borderId="0" xfId="3" applyNumberFormat="1" applyFont="1" applyBorder="1"/>
    <xf numFmtId="44" fontId="14" fillId="0" borderId="15" xfId="3" applyNumberFormat="1" applyFont="1" applyBorder="1"/>
    <xf numFmtId="44" fontId="42" fillId="0" borderId="0" xfId="3" applyNumberFormat="1" applyFont="1"/>
    <xf numFmtId="0" fontId="14" fillId="0" borderId="0" xfId="3" applyFont="1" applyBorder="1"/>
    <xf numFmtId="171" fontId="35" fillId="0" borderId="0" xfId="3" applyNumberFormat="1" applyFont="1"/>
    <xf numFmtId="171" fontId="42" fillId="0" borderId="0" xfId="3" applyNumberFormat="1" applyFont="1" applyBorder="1"/>
    <xf numFmtId="171" fontId="14" fillId="0" borderId="0" xfId="3" applyNumberFormat="1" applyFont="1"/>
    <xf numFmtId="171" fontId="35" fillId="0" borderId="0" xfId="3" applyNumberFormat="1" applyFont="1" applyFill="1"/>
    <xf numFmtId="171" fontId="1" fillId="0" borderId="0" xfId="3" applyNumberFormat="1" applyFont="1"/>
    <xf numFmtId="171" fontId="14" fillId="0" borderId="15" xfId="3" applyNumberFormat="1" applyFont="1" applyBorder="1"/>
    <xf numFmtId="171" fontId="1" fillId="0" borderId="0" xfId="3" applyNumberFormat="1" applyFont="1" applyFill="1"/>
    <xf numFmtId="170" fontId="14" fillId="0" borderId="15" xfId="3" applyNumberFormat="1" applyFont="1" applyBorder="1"/>
    <xf numFmtId="171" fontId="14" fillId="0" borderId="0" xfId="3" applyNumberFormat="1" applyFont="1" applyBorder="1"/>
    <xf numFmtId="167" fontId="14" fillId="0" borderId="0" xfId="3" applyNumberFormat="1" applyFont="1"/>
    <xf numFmtId="167" fontId="14" fillId="0" borderId="0" xfId="3" applyNumberFormat="1" applyFont="1" applyBorder="1"/>
    <xf numFmtId="10" fontId="14" fillId="0" borderId="0" xfId="3" applyNumberFormat="1" applyFont="1"/>
    <xf numFmtId="0" fontId="14" fillId="0" borderId="0" xfId="3" applyFont="1" applyFill="1" applyAlignment="1"/>
    <xf numFmtId="0" fontId="14" fillId="0" borderId="0" xfId="3" applyFont="1" applyAlignment="1"/>
    <xf numFmtId="0" fontId="1" fillId="0" borderId="0" xfId="3" applyFont="1" applyAlignment="1">
      <alignment horizontal="center"/>
    </xf>
    <xf numFmtId="0" fontId="14" fillId="0" borderId="0" xfId="3" applyFont="1" applyAlignment="1">
      <alignment horizontal="centerContinuous"/>
    </xf>
    <xf numFmtId="0" fontId="1" fillId="0" borderId="0" xfId="3" applyFont="1"/>
    <xf numFmtId="0" fontId="1" fillId="0" borderId="0" xfId="3" applyFont="1" applyAlignment="1">
      <alignment horizontal="center"/>
    </xf>
    <xf numFmtId="0" fontId="1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35" fillId="0" borderId="1" xfId="3" applyFont="1" applyFill="1" applyBorder="1" applyAlignment="1">
      <alignment horizontal="center"/>
    </xf>
    <xf numFmtId="0" fontId="1" fillId="0" borderId="0" xfId="3" applyFont="1" applyAlignment="1">
      <alignment horizontal="left"/>
    </xf>
    <xf numFmtId="176" fontId="34" fillId="0" borderId="0" xfId="3" applyNumberFormat="1" applyFont="1"/>
    <xf numFmtId="176" fontId="35" fillId="0" borderId="0" xfId="3" applyNumberFormat="1" applyFont="1"/>
    <xf numFmtId="42" fontId="1" fillId="0" borderId="0" xfId="3" applyNumberFormat="1" applyFont="1"/>
    <xf numFmtId="167" fontId="1" fillId="0" borderId="0" xfId="3" applyNumberFormat="1" applyFont="1"/>
    <xf numFmtId="176" fontId="34" fillId="0" borderId="1" xfId="3" applyNumberFormat="1" applyFont="1" applyBorder="1"/>
    <xf numFmtId="176" fontId="35" fillId="0" borderId="1" xfId="3" applyNumberFormat="1" applyFont="1" applyBorder="1"/>
    <xf numFmtId="3" fontId="1" fillId="0" borderId="15" xfId="3" applyNumberFormat="1" applyFont="1" applyBorder="1"/>
    <xf numFmtId="176" fontId="1" fillId="0" borderId="0" xfId="3" applyNumberFormat="1" applyFont="1"/>
    <xf numFmtId="42" fontId="1" fillId="0" borderId="15" xfId="3" applyNumberFormat="1" applyFont="1" applyBorder="1"/>
    <xf numFmtId="167" fontId="1" fillId="0" borderId="15" xfId="3" applyNumberFormat="1" applyFont="1" applyBorder="1"/>
    <xf numFmtId="3" fontId="14" fillId="0" borderId="0" xfId="3" applyNumberFormat="1" applyFont="1" applyFill="1" applyBorder="1"/>
    <xf numFmtId="171" fontId="14" fillId="0" borderId="0" xfId="3" applyNumberFormat="1" applyFont="1" applyFill="1"/>
    <xf numFmtId="171" fontId="14" fillId="0" borderId="0" xfId="3" applyNumberFormat="1" applyFont="1" applyFill="1" applyBorder="1"/>
    <xf numFmtId="3" fontId="1" fillId="0" borderId="0" xfId="3" applyNumberFormat="1" applyFont="1"/>
    <xf numFmtId="165" fontId="0" fillId="0" borderId="0" xfId="4" applyNumberFormat="1" applyFont="1"/>
    <xf numFmtId="0" fontId="1" fillId="0" borderId="0" xfId="3" quotePrefix="1" applyFont="1"/>
    <xf numFmtId="3" fontId="34" fillId="0" borderId="0" xfId="3" applyNumberFormat="1" applyFont="1"/>
    <xf numFmtId="3" fontId="43" fillId="0" borderId="0" xfId="3" applyNumberFormat="1" applyFont="1" applyFill="1"/>
    <xf numFmtId="42" fontId="43" fillId="0" borderId="0" xfId="3" applyNumberFormat="1" applyFont="1" applyFill="1" applyBorder="1"/>
    <xf numFmtId="171" fontId="43" fillId="0" borderId="0" xfId="3" applyNumberFormat="1" applyFont="1" applyFill="1"/>
    <xf numFmtId="44" fontId="34" fillId="0" borderId="0" xfId="3" applyNumberFormat="1" applyFont="1"/>
    <xf numFmtId="44" fontId="34" fillId="0" borderId="0" xfId="3" applyNumberFormat="1" applyFont="1" applyBorder="1"/>
    <xf numFmtId="171" fontId="34" fillId="0" borderId="0" xfId="3" applyNumberFormat="1" applyFont="1"/>
    <xf numFmtId="171" fontId="34" fillId="0" borderId="0" xfId="3" applyNumberFormat="1" applyFont="1" applyFill="1"/>
  </cellXfs>
  <cellStyles count="5">
    <cellStyle name="Currency 2" xfId="2"/>
    <cellStyle name="Currency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0000FF"/>
      <color rgb="FF008080"/>
      <color rgb="FFE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2"/>
  <sheetViews>
    <sheetView tabSelected="1" zoomScale="90" zoomScaleNormal="90" workbookViewId="0">
      <selection activeCell="D24" sqref="D24"/>
    </sheetView>
  </sheetViews>
  <sheetFormatPr defaultColWidth="8.7265625" defaultRowHeight="12.5" outlineLevelCol="1" x14ac:dyDescent="0.25"/>
  <cols>
    <col min="1" max="1" width="4.54296875" style="20" customWidth="1"/>
    <col min="2" max="2" width="3" style="20" customWidth="1"/>
    <col min="3" max="3" width="32.54296875" style="20" customWidth="1"/>
    <col min="4" max="4" width="13.7265625" style="20" customWidth="1"/>
    <col min="5" max="5" width="15.26953125" style="20" bestFit="1" customWidth="1"/>
    <col min="6" max="6" width="13.7265625" style="20" bestFit="1" customWidth="1"/>
    <col min="7" max="8" width="13" style="20" bestFit="1" customWidth="1"/>
    <col min="9" max="9" width="12.54296875" style="20" bestFit="1" customWidth="1"/>
    <col min="10" max="10" width="13.81640625" style="20" bestFit="1" customWidth="1"/>
    <col min="11" max="11" width="12" style="20" bestFit="1" customWidth="1"/>
    <col min="12" max="12" width="8.7265625" style="20"/>
    <col min="13" max="13" width="12.1796875" style="20" bestFit="1" customWidth="1" outlineLevel="1"/>
    <col min="14" max="14" width="9.453125" style="20" bestFit="1" customWidth="1"/>
    <col min="15" max="16384" width="8.7265625" style="20"/>
  </cols>
  <sheetData>
    <row r="1" spans="1:14" x14ac:dyDescent="0.25">
      <c r="A1" s="39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4" x14ac:dyDescent="0.25">
      <c r="A2" s="393" t="s">
        <v>398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3" spans="1:14" x14ac:dyDescent="0.25">
      <c r="A3" s="392" t="s">
        <v>152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</row>
    <row r="4" spans="1:14" x14ac:dyDescent="0.25">
      <c r="A4" s="393" t="s">
        <v>304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</row>
    <row r="5" spans="1:14" x14ac:dyDescent="0.25">
      <c r="B5" s="19"/>
      <c r="C5" s="18"/>
      <c r="D5" s="18"/>
      <c r="E5" s="18"/>
      <c r="F5" s="18"/>
      <c r="G5" s="18"/>
      <c r="H5" s="18"/>
      <c r="I5" s="18"/>
      <c r="J5" s="18"/>
      <c r="K5" s="18"/>
    </row>
    <row r="6" spans="1:14" x14ac:dyDescent="0.25">
      <c r="B6" s="17"/>
      <c r="F6" s="16" t="s">
        <v>153</v>
      </c>
      <c r="G6" s="16" t="s">
        <v>153</v>
      </c>
      <c r="I6" s="16" t="s">
        <v>153</v>
      </c>
      <c r="J6" s="16" t="s">
        <v>153</v>
      </c>
    </row>
    <row r="7" spans="1:14" x14ac:dyDescent="0.25">
      <c r="E7" s="16" t="s">
        <v>153</v>
      </c>
      <c r="F7" s="16" t="s">
        <v>120</v>
      </c>
      <c r="G7" s="16" t="s">
        <v>121</v>
      </c>
      <c r="H7" s="16" t="s">
        <v>153</v>
      </c>
      <c r="I7" s="16" t="s">
        <v>122</v>
      </c>
      <c r="J7" s="16" t="s">
        <v>123</v>
      </c>
      <c r="K7" s="16"/>
    </row>
    <row r="8" spans="1:14" x14ac:dyDescent="0.25">
      <c r="A8" s="198" t="s">
        <v>155</v>
      </c>
      <c r="E8" s="16" t="s">
        <v>125</v>
      </c>
      <c r="F8" s="16" t="s">
        <v>126</v>
      </c>
      <c r="G8" s="16" t="s">
        <v>127</v>
      </c>
      <c r="H8" s="16" t="s">
        <v>128</v>
      </c>
      <c r="I8" s="16" t="s">
        <v>129</v>
      </c>
      <c r="J8" s="16" t="s">
        <v>130</v>
      </c>
      <c r="K8" s="16"/>
    </row>
    <row r="9" spans="1:14" x14ac:dyDescent="0.25">
      <c r="A9" s="15" t="s">
        <v>156</v>
      </c>
      <c r="B9" s="14"/>
      <c r="C9" s="14"/>
      <c r="D9" s="15" t="s">
        <v>90</v>
      </c>
      <c r="E9" s="15" t="s">
        <v>132</v>
      </c>
      <c r="F9" s="15" t="s">
        <v>133</v>
      </c>
      <c r="G9" s="15" t="s">
        <v>134</v>
      </c>
      <c r="H9" s="15" t="s">
        <v>135</v>
      </c>
      <c r="I9" s="15" t="s">
        <v>135</v>
      </c>
      <c r="J9" s="15" t="s">
        <v>135</v>
      </c>
      <c r="K9" s="15" t="s">
        <v>136</v>
      </c>
      <c r="M9" s="212" t="s">
        <v>399</v>
      </c>
      <c r="N9" s="212" t="s">
        <v>400</v>
      </c>
    </row>
    <row r="10" spans="1:14" x14ac:dyDescent="0.25">
      <c r="C10" s="23" t="s">
        <v>157</v>
      </c>
      <c r="D10" s="23" t="s">
        <v>158</v>
      </c>
      <c r="E10" s="22" t="s">
        <v>159</v>
      </c>
      <c r="F10" s="21" t="s">
        <v>160</v>
      </c>
      <c r="G10" s="22" t="s">
        <v>161</v>
      </c>
      <c r="H10" s="21" t="s">
        <v>162</v>
      </c>
      <c r="I10" s="21" t="s">
        <v>163</v>
      </c>
      <c r="J10" s="21" t="s">
        <v>164</v>
      </c>
      <c r="K10" s="21" t="s">
        <v>165</v>
      </c>
      <c r="L10" s="21"/>
      <c r="M10" s="212"/>
      <c r="N10" s="212"/>
    </row>
    <row r="11" spans="1:14" s="13" customFormat="1" x14ac:dyDescent="0.25">
      <c r="A11" s="199">
        <v>1</v>
      </c>
      <c r="B11" s="11" t="s">
        <v>303</v>
      </c>
      <c r="C11" s="10"/>
      <c r="D11" s="9"/>
      <c r="E11" s="8"/>
      <c r="F11" s="8"/>
      <c r="G11" s="8"/>
      <c r="H11" s="8"/>
      <c r="I11" s="8"/>
      <c r="J11" s="8"/>
      <c r="K11" s="8"/>
      <c r="M11" s="213"/>
      <c r="N11" s="213"/>
    </row>
    <row r="12" spans="1:14" s="13" customFormat="1" x14ac:dyDescent="0.25">
      <c r="A12" s="199">
        <f>A11+1</f>
        <v>2</v>
      </c>
      <c r="B12" s="20"/>
      <c r="C12" s="20" t="s">
        <v>305</v>
      </c>
      <c r="D12" s="9">
        <f t="shared" ref="D12:D13" si="0">SUM(E12:K12)</f>
        <v>6774758.7683352958</v>
      </c>
      <c r="E12" s="8">
        <f>'CRM 2019 Rev Req Alloc'!F21</f>
        <v>4455861.8916575834</v>
      </c>
      <c r="F12" s="8">
        <f>'CRM 2019 Rev Req Alloc'!G21</f>
        <v>1625217.0059645716</v>
      </c>
      <c r="G12" s="8">
        <f>'CRM 2019 Rev Req Alloc'!H21</f>
        <v>356493.04705808737</v>
      </c>
      <c r="H12" s="8">
        <f>'CRM 2019 Rev Req Alloc'!I21</f>
        <v>173687.18536687439</v>
      </c>
      <c r="I12" s="8">
        <f>'CRM 2019 Rev Req Alloc'!J21</f>
        <v>18708.6110687941</v>
      </c>
      <c r="J12" s="8">
        <f>'CRM 2019 Rev Req Alloc'!K21</f>
        <v>135809.5339409578</v>
      </c>
      <c r="K12" s="8">
        <f>'CRM 2019 Rev Req Alloc'!L21</f>
        <v>8981.493278425658</v>
      </c>
      <c r="M12" s="211">
        <f>D12-'CRM 2019 Rev Req Alloc'!E21</f>
        <v>0</v>
      </c>
      <c r="N12" s="266">
        <f>D12-Summary!B11</f>
        <v>0</v>
      </c>
    </row>
    <row r="13" spans="1:14" s="13" customFormat="1" x14ac:dyDescent="0.25">
      <c r="A13" s="199">
        <f t="shared" ref="A13:A21" si="1">A12+1</f>
        <v>3</v>
      </c>
      <c r="B13" s="2"/>
      <c r="C13" s="2" t="s">
        <v>306</v>
      </c>
      <c r="D13" s="9">
        <f t="shared" si="0"/>
        <v>610829.5383631353</v>
      </c>
      <c r="E13" s="8">
        <f>'CRM 2019 Rev Req Alloc TrueUp'!F21</f>
        <v>401752.14447559812</v>
      </c>
      <c r="F13" s="8">
        <f>'CRM 2019 Rev Req Alloc TrueUp'!G21</f>
        <v>146533.17321716453</v>
      </c>
      <c r="G13" s="8">
        <f>'CRM 2019 Rev Req Alloc TrueUp'!H21</f>
        <v>32142.469587812157</v>
      </c>
      <c r="H13" s="8">
        <f>'CRM 2019 Rev Req Alloc TrueUp'!I21</f>
        <v>15660.139285122932</v>
      </c>
      <c r="I13" s="8">
        <f>'CRM 2019 Rev Req Alloc TrueUp'!J21</f>
        <v>1686.8213466786976</v>
      </c>
      <c r="J13" s="8">
        <f>'CRM 2019 Rev Req Alloc TrueUp'!K21</f>
        <v>12244.995931928681</v>
      </c>
      <c r="K13" s="8">
        <f>'CRM 2019 Rev Req Alloc TrueUp'!L21</f>
        <v>809.79451883017055</v>
      </c>
      <c r="M13" s="211">
        <f>D13-'CRM 2019 Rev Req Alloc TrueUp'!E21</f>
        <v>0</v>
      </c>
      <c r="N13" s="266">
        <f>D13-Summary!B12</f>
        <v>0</v>
      </c>
    </row>
    <row r="14" spans="1:14" x14ac:dyDescent="0.25">
      <c r="A14" s="199">
        <f t="shared" si="1"/>
        <v>4</v>
      </c>
      <c r="B14" s="2"/>
      <c r="C14" s="2" t="s">
        <v>307</v>
      </c>
      <c r="D14" s="9">
        <f t="shared" ref="D14" si="2">SUM(E14:K14)</f>
        <v>10224465.305644771</v>
      </c>
      <c r="E14" s="8">
        <f>'CRM 2020 Rev Req Alloc'!F25</f>
        <v>6637026.6568732746</v>
      </c>
      <c r="F14" s="8">
        <f>'CRM 2020 Rev Req Alloc'!G25</f>
        <v>2754062.8224324486</v>
      </c>
      <c r="G14" s="8">
        <f>'CRM 2020 Rev Req Alloc'!H25</f>
        <v>425582.46534051176</v>
      </c>
      <c r="H14" s="8">
        <f>'CRM 2020 Rev Req Alloc'!I25</f>
        <v>213492.62383537798</v>
      </c>
      <c r="I14" s="8">
        <f>'CRM 2020 Rev Req Alloc'!J25</f>
        <v>23696.25925726807</v>
      </c>
      <c r="J14" s="8">
        <f>'CRM 2020 Rev Req Alloc'!K25</f>
        <v>157835.93441759312</v>
      </c>
      <c r="K14" s="8">
        <f>'CRM 2020 Rev Req Alloc'!L25</f>
        <v>12768.543488297248</v>
      </c>
      <c r="M14" s="214">
        <f>D14-'CRM 2020 Rev Req Alloc'!E25</f>
        <v>0</v>
      </c>
      <c r="N14" s="266">
        <f>D14-Summary!B13</f>
        <v>0</v>
      </c>
    </row>
    <row r="15" spans="1:14" x14ac:dyDescent="0.25">
      <c r="A15" s="199">
        <f t="shared" si="1"/>
        <v>5</v>
      </c>
      <c r="B15" s="3" t="s">
        <v>154</v>
      </c>
      <c r="C15" s="6"/>
      <c r="D15" s="201">
        <f>SUM(D12:D14)</f>
        <v>17610053.612343203</v>
      </c>
      <c r="E15" s="201">
        <f t="shared" ref="E15:K15" si="3">SUM(E12:E14)</f>
        <v>11494640.693006456</v>
      </c>
      <c r="F15" s="201">
        <f t="shared" si="3"/>
        <v>4525813.0016141851</v>
      </c>
      <c r="G15" s="201">
        <f t="shared" si="3"/>
        <v>814217.98198641127</v>
      </c>
      <c r="H15" s="201">
        <f t="shared" si="3"/>
        <v>402839.94848737528</v>
      </c>
      <c r="I15" s="201">
        <f t="shared" si="3"/>
        <v>44091.691672740868</v>
      </c>
      <c r="J15" s="201">
        <f t="shared" si="3"/>
        <v>305890.46429047961</v>
      </c>
      <c r="K15" s="201">
        <f t="shared" si="3"/>
        <v>22559.831285553075</v>
      </c>
      <c r="M15" s="214"/>
      <c r="N15" s="266">
        <f>D15-Summary!B14</f>
        <v>0</v>
      </c>
    </row>
    <row r="16" spans="1:14" x14ac:dyDescent="0.25">
      <c r="A16" s="199">
        <f t="shared" si="1"/>
        <v>6</v>
      </c>
      <c r="E16" s="389"/>
      <c r="F16" s="389"/>
      <c r="G16" s="389"/>
      <c r="H16" s="389"/>
      <c r="I16" s="389"/>
      <c r="J16" s="389"/>
      <c r="K16" s="389"/>
    </row>
    <row r="17" spans="1:14" x14ac:dyDescent="0.25">
      <c r="A17" s="199">
        <f t="shared" si="1"/>
        <v>7</v>
      </c>
      <c r="B17" s="13" t="s">
        <v>353</v>
      </c>
      <c r="C17" s="13"/>
      <c r="D17" s="12">
        <f>SUM(E17:K17)</f>
        <v>1169815178</v>
      </c>
      <c r="E17" s="136">
        <f>SUM('Forecasted Volume'!N8:N10)</f>
        <v>623986455</v>
      </c>
      <c r="F17" s="136">
        <f>SUM('Forecasted Volume'!N11,'Forecasted Volume'!N16)</f>
        <v>231629254</v>
      </c>
      <c r="G17" s="136">
        <f>SUM('Forecasted Volume'!N12,'Forecasted Volume'!N17)</f>
        <v>88434273</v>
      </c>
      <c r="H17" s="136">
        <f>SUM('Forecasted Volume'!N13,'Forecasted Volume'!N18)</f>
        <v>81900067</v>
      </c>
      <c r="I17" s="136">
        <f>SUM('Forecasted Volume'!N14,'Forecasted Volume'!N19)</f>
        <v>5022334</v>
      </c>
      <c r="J17" s="136">
        <f>SUM('Forecasted Volume'!N15,'Forecasted Volume'!N20)</f>
        <v>106476024</v>
      </c>
      <c r="K17" s="136">
        <f>'Forecasted Volume'!N21</f>
        <v>32366771</v>
      </c>
      <c r="L17" s="7"/>
      <c r="M17" s="217">
        <f>D17-'Forecasted Volume'!N22</f>
        <v>0</v>
      </c>
      <c r="N17" s="217"/>
    </row>
    <row r="18" spans="1:14" ht="13" x14ac:dyDescent="0.3">
      <c r="A18" s="199">
        <f t="shared" si="1"/>
        <v>8</v>
      </c>
      <c r="B18" s="114"/>
      <c r="C18" s="6"/>
      <c r="D18" s="6"/>
      <c r="E18" s="6"/>
      <c r="F18" s="6"/>
      <c r="G18" s="6"/>
      <c r="H18" s="6"/>
      <c r="I18" s="6"/>
      <c r="J18" s="6"/>
      <c r="K18" s="6"/>
      <c r="L18" s="7"/>
    </row>
    <row r="19" spans="1:14" x14ac:dyDescent="0.25">
      <c r="A19" s="199">
        <f t="shared" si="1"/>
        <v>9</v>
      </c>
      <c r="B19" s="10" t="s">
        <v>354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4" x14ac:dyDescent="0.25">
      <c r="A20" s="199">
        <f t="shared" si="1"/>
        <v>10</v>
      </c>
      <c r="C20" s="20" t="s">
        <v>137</v>
      </c>
      <c r="D20" s="5"/>
      <c r="E20" s="5">
        <f t="shared" ref="E20:K20" si="4">ROUND(E15/E17,5)</f>
        <v>1.8419999999999999E-2</v>
      </c>
      <c r="F20" s="5">
        <f t="shared" si="4"/>
        <v>1.9539999999999998E-2</v>
      </c>
      <c r="G20" s="5">
        <f t="shared" si="4"/>
        <v>9.2099999999999994E-3</v>
      </c>
      <c r="H20" s="5">
        <f t="shared" si="4"/>
        <v>4.9199999999999999E-3</v>
      </c>
      <c r="I20" s="5">
        <f t="shared" si="4"/>
        <v>8.7799999999999996E-3</v>
      </c>
      <c r="J20" s="5">
        <f t="shared" si="4"/>
        <v>2.8700000000000002E-3</v>
      </c>
      <c r="K20" s="5">
        <f t="shared" si="4"/>
        <v>6.9999999999999999E-4</v>
      </c>
    </row>
    <row r="21" spans="1:14" x14ac:dyDescent="0.25">
      <c r="A21" s="199">
        <f t="shared" si="1"/>
        <v>11</v>
      </c>
      <c r="C21" s="20" t="s">
        <v>138</v>
      </c>
      <c r="D21" s="7"/>
      <c r="E21" s="4">
        <f>ROUND(E20*19,2)</f>
        <v>0.35</v>
      </c>
      <c r="F21" s="7"/>
      <c r="G21" s="7"/>
      <c r="H21" s="7"/>
      <c r="I21" s="7"/>
      <c r="J21" s="7"/>
      <c r="K21" s="7"/>
      <c r="L21" s="7"/>
    </row>
    <row r="22" spans="1:14" x14ac:dyDescent="0.25">
      <c r="A22" s="199"/>
      <c r="C22" s="7"/>
      <c r="D22" s="7"/>
      <c r="E22" s="4"/>
      <c r="F22" s="7"/>
      <c r="G22" s="7"/>
      <c r="H22" s="7"/>
      <c r="I22" s="7"/>
      <c r="J22" s="7"/>
      <c r="K22" s="7"/>
      <c r="L22" s="7"/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5" header="0.3" footer="0.3"/>
  <pageSetup scale="84" orientation="landscape" blackAndWhite="1" horizontalDpi="300" verticalDpi="300" r:id="rId1"/>
  <headerFooter>
    <oddFooter>&amp;L&amp;F
&amp;A&amp;C&amp;P&amp;R&amp;D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45"/>
  <sheetViews>
    <sheetView zoomScale="90" zoomScaleNormal="90" workbookViewId="0">
      <selection activeCell="K33" sqref="K33"/>
    </sheetView>
  </sheetViews>
  <sheetFormatPr defaultColWidth="8.7265625" defaultRowHeight="14.5" outlineLevelCol="1" x14ac:dyDescent="0.35"/>
  <cols>
    <col min="1" max="1" width="3.54296875" style="105" customWidth="1"/>
    <col min="2" max="2" width="2.54296875" style="105" customWidth="1"/>
    <col min="3" max="3" width="31.1796875" style="105" customWidth="1"/>
    <col min="4" max="4" width="9.1796875" style="105" bestFit="1" customWidth="1"/>
    <col min="5" max="5" width="13.7265625" style="105" customWidth="1"/>
    <col min="6" max="12" width="12.81640625" style="105" customWidth="1"/>
    <col min="13" max="13" width="9.1796875" style="105"/>
    <col min="14" max="14" width="9.1796875" style="105" customWidth="1" outlineLevel="1"/>
    <col min="15" max="15" width="9.1796875" customWidth="1"/>
    <col min="16" max="16384" width="8.7265625" style="105"/>
  </cols>
  <sheetData>
    <row r="1" spans="1:14" x14ac:dyDescent="0.35">
      <c r="B1" s="394" t="s">
        <v>0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4" customFormat="1" x14ac:dyDescent="0.35">
      <c r="A2" s="105"/>
      <c r="B2" s="396" t="s">
        <v>398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105"/>
      <c r="N2" s="105"/>
    </row>
    <row r="3" spans="1:14" customFormat="1" x14ac:dyDescent="0.35">
      <c r="A3" s="105"/>
      <c r="B3" s="397" t="s">
        <v>293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105"/>
      <c r="N3" s="105"/>
    </row>
    <row r="4" spans="1:14" customFormat="1" x14ac:dyDescent="0.35">
      <c r="A4" s="105"/>
      <c r="B4" s="106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customFormat="1" x14ac:dyDescent="0.35">
      <c r="A5" s="105"/>
      <c r="B5" s="105"/>
      <c r="C5" s="105"/>
      <c r="D5" s="105"/>
      <c r="E5" s="105"/>
      <c r="F5" s="107"/>
      <c r="G5" s="107" t="s">
        <v>120</v>
      </c>
      <c r="H5" s="107" t="s">
        <v>121</v>
      </c>
      <c r="I5" s="107"/>
      <c r="J5" s="107" t="s">
        <v>122</v>
      </c>
      <c r="K5" s="107" t="s">
        <v>123</v>
      </c>
      <c r="L5" s="107"/>
      <c r="M5" s="105"/>
      <c r="N5" s="105"/>
    </row>
    <row r="6" spans="1:14" customFormat="1" x14ac:dyDescent="0.35">
      <c r="A6" s="105"/>
      <c r="B6" s="105"/>
      <c r="C6" s="105"/>
      <c r="D6" s="107" t="s">
        <v>124</v>
      </c>
      <c r="E6" s="105"/>
      <c r="F6" s="107" t="s">
        <v>139</v>
      </c>
      <c r="G6" s="107" t="s">
        <v>126</v>
      </c>
      <c r="H6" s="107" t="s">
        <v>127</v>
      </c>
      <c r="I6" s="107" t="s">
        <v>128</v>
      </c>
      <c r="J6" s="107" t="s">
        <v>129</v>
      </c>
      <c r="K6" s="107" t="s">
        <v>130</v>
      </c>
      <c r="L6" s="107"/>
      <c r="M6" s="105"/>
      <c r="N6" s="105"/>
    </row>
    <row r="7" spans="1:14" customFormat="1" x14ac:dyDescent="0.35">
      <c r="A7" s="105"/>
      <c r="B7" s="105"/>
      <c r="C7" s="105"/>
      <c r="D7" s="108" t="s">
        <v>131</v>
      </c>
      <c r="E7" s="108" t="s">
        <v>90</v>
      </c>
      <c r="F7" s="108" t="s">
        <v>132</v>
      </c>
      <c r="G7" s="108" t="s">
        <v>133</v>
      </c>
      <c r="H7" s="108" t="s">
        <v>134</v>
      </c>
      <c r="I7" s="108" t="s">
        <v>135</v>
      </c>
      <c r="J7" s="108" t="s">
        <v>135</v>
      </c>
      <c r="K7" s="108" t="s">
        <v>135</v>
      </c>
      <c r="L7" s="108" t="s">
        <v>136</v>
      </c>
      <c r="M7" s="105"/>
      <c r="N7" s="215" t="s">
        <v>104</v>
      </c>
    </row>
    <row r="8" spans="1:14" customFormat="1" x14ac:dyDescent="0.35">
      <c r="A8" s="105"/>
      <c r="B8" s="110" t="s">
        <v>140</v>
      </c>
      <c r="C8" s="105"/>
      <c r="D8" s="105"/>
      <c r="E8" s="116"/>
      <c r="F8" s="116"/>
      <c r="G8" s="116"/>
      <c r="H8" s="116"/>
      <c r="I8" s="116"/>
      <c r="J8" s="116"/>
      <c r="K8" s="116"/>
      <c r="L8" s="116"/>
      <c r="M8" s="105"/>
      <c r="N8" s="216"/>
    </row>
    <row r="9" spans="1:14" customFormat="1" x14ac:dyDescent="0.35">
      <c r="A9" s="105"/>
      <c r="B9" s="105"/>
      <c r="C9" s="202" t="s">
        <v>349</v>
      </c>
      <c r="D9" s="210">
        <v>376</v>
      </c>
      <c r="E9" s="139">
        <f>('2019 CRM+True Up'!$F$29+'2019 CRM+True Up'!$F$35)*'CRM CAP Forecast'!E14</f>
        <v>4975732.4427902112</v>
      </c>
      <c r="F9" s="117">
        <f>$E$9*'Allocation Factors'!E12</f>
        <v>3273395.2124912501</v>
      </c>
      <c r="G9" s="117">
        <f>$E$9*'Allocation Factors'!F12</f>
        <v>1192060.5415968208</v>
      </c>
      <c r="H9" s="117">
        <f>$E$9*'Allocation Factors'!G12</f>
        <v>262257.63887389819</v>
      </c>
      <c r="I9" s="117">
        <f>$E$9*'Allocation Factors'!H12</f>
        <v>127739.27716008911</v>
      </c>
      <c r="J9" s="117">
        <f>$E$9*'Allocation Factors'!I12</f>
        <v>13755.925268358134</v>
      </c>
      <c r="K9" s="117">
        <f>$E$9*'Allocation Factors'!J12</f>
        <v>99926.888359287506</v>
      </c>
      <c r="L9" s="117">
        <f>$E$9*'Allocation Factors'!K12</f>
        <v>6596.9590405068129</v>
      </c>
      <c r="M9" s="105"/>
      <c r="N9" s="216">
        <f t="shared" ref="N9:N16" si="0">SUM(F9:L9)-E9</f>
        <v>0</v>
      </c>
    </row>
    <row r="10" spans="1:14" customFormat="1" x14ac:dyDescent="0.35">
      <c r="A10" s="105"/>
      <c r="B10" s="105"/>
      <c r="C10" s="202" t="s">
        <v>350</v>
      </c>
      <c r="D10" s="210">
        <v>380</v>
      </c>
      <c r="E10" s="139">
        <f>('2019 CRM+True Up'!$F$29+'2019 CRM+True Up'!$F$35)*'CRM CAP Forecast'!E15</f>
        <v>8863.6874174080731</v>
      </c>
      <c r="F10" s="117">
        <f>$E$10*'Allocation Factors'!E17</f>
        <v>5100.8838596876021</v>
      </c>
      <c r="G10" s="117">
        <f>$E$10*'Allocation Factors'!F17</f>
        <v>3604.7724485331082</v>
      </c>
      <c r="H10" s="117">
        <f>$E$10*'Allocation Factors'!G17</f>
        <v>64.040613670231522</v>
      </c>
      <c r="I10" s="117">
        <f>$E$10*'Allocation Factors'!H17</f>
        <v>64.288024078305511</v>
      </c>
      <c r="J10" s="117">
        <f>$E$10*'Allocation Factors'!I17</f>
        <v>10.13291476560433</v>
      </c>
      <c r="K10" s="117">
        <f>$E$10*'Allocation Factors'!J17</f>
        <v>8.2735339828971401</v>
      </c>
      <c r="L10" s="117">
        <f>$E$10*'Allocation Factors'!K17</f>
        <v>11.296022690326099</v>
      </c>
      <c r="M10" s="105"/>
      <c r="N10" s="216">
        <f t="shared" si="0"/>
        <v>0</v>
      </c>
    </row>
    <row r="11" spans="1:14" customFormat="1" x14ac:dyDescent="0.35">
      <c r="A11" s="105"/>
      <c r="B11" s="105"/>
      <c r="C11" s="105" t="s">
        <v>90</v>
      </c>
      <c r="D11" s="200"/>
      <c r="E11" s="118">
        <f>SUM(E9:E10)</f>
        <v>4984596.1302076196</v>
      </c>
      <c r="F11" s="118">
        <f t="shared" ref="F11:L11" si="1">SUM(F9:F10)</f>
        <v>3278496.0963509376</v>
      </c>
      <c r="G11" s="118">
        <f t="shared" si="1"/>
        <v>1195665.314045354</v>
      </c>
      <c r="H11" s="118">
        <f t="shared" si="1"/>
        <v>262321.67948756844</v>
      </c>
      <c r="I11" s="118">
        <f t="shared" si="1"/>
        <v>127803.56518416743</v>
      </c>
      <c r="J11" s="118">
        <f t="shared" si="1"/>
        <v>13766.05818312374</v>
      </c>
      <c r="K11" s="118">
        <f t="shared" si="1"/>
        <v>99935.1618932704</v>
      </c>
      <c r="L11" s="118">
        <f t="shared" si="1"/>
        <v>6608.255063197139</v>
      </c>
      <c r="M11" s="105"/>
      <c r="N11" s="216">
        <f t="shared" si="0"/>
        <v>0</v>
      </c>
    </row>
    <row r="12" spans="1:14" customFormat="1" x14ac:dyDescent="0.35">
      <c r="A12" s="105"/>
      <c r="B12" s="105"/>
      <c r="C12" s="105"/>
      <c r="D12" s="200"/>
      <c r="E12" s="116"/>
      <c r="F12" s="116"/>
      <c r="G12" s="116"/>
      <c r="H12" s="116"/>
      <c r="I12" s="116"/>
      <c r="J12" s="116"/>
      <c r="K12" s="116"/>
      <c r="L12" s="116"/>
      <c r="M12" s="105"/>
      <c r="N12" s="216"/>
    </row>
    <row r="13" spans="1:14" s="110" customFormat="1" x14ac:dyDescent="0.35">
      <c r="B13" s="110" t="s">
        <v>53</v>
      </c>
      <c r="D13" s="210"/>
      <c r="E13" s="112"/>
      <c r="F13" s="112"/>
      <c r="G13" s="112"/>
      <c r="H13" s="112"/>
      <c r="I13" s="112"/>
      <c r="J13" s="112"/>
      <c r="K13" s="112"/>
      <c r="L13" s="112"/>
      <c r="N13" s="216"/>
    </row>
    <row r="14" spans="1:14" s="110" customFormat="1" x14ac:dyDescent="0.35">
      <c r="C14" s="202" t="s">
        <v>349</v>
      </c>
      <c r="D14" s="210">
        <v>376</v>
      </c>
      <c r="E14" s="119">
        <f>'2019 CRM+True Up'!$F$27*'CRM CAP Forecast'!E23</f>
        <v>1478824.9839915903</v>
      </c>
      <c r="F14" s="120">
        <f>$E$14*'Allocation Factors'!E12</f>
        <v>972877.59709121089</v>
      </c>
      <c r="G14" s="120">
        <f>$E$14*'Allocation Factors'!F12</f>
        <v>354289.32958368293</v>
      </c>
      <c r="H14" s="120">
        <f>$E$14*'Allocation Factors'!G12</f>
        <v>77944.936362350301</v>
      </c>
      <c r="I14" s="120">
        <f>$E$14*'Allocation Factors'!H12</f>
        <v>37965.07080582402</v>
      </c>
      <c r="J14" s="120">
        <f>$E$14*'Allocation Factors'!I12</f>
        <v>4088.3641149647169</v>
      </c>
      <c r="K14" s="120">
        <f>$E$14*'Allocation Factors'!J12</f>
        <v>29699.020350737799</v>
      </c>
      <c r="L14" s="120">
        <f>$E$14*'Allocation Factors'!K12</f>
        <v>1960.6656828195514</v>
      </c>
      <c r="N14" s="216">
        <f t="shared" si="0"/>
        <v>0</v>
      </c>
    </row>
    <row r="15" spans="1:14" s="110" customFormat="1" x14ac:dyDescent="0.35">
      <c r="C15" s="202" t="s">
        <v>350</v>
      </c>
      <c r="D15" s="210">
        <v>380</v>
      </c>
      <c r="E15" s="181">
        <f>'2019 CRM+True Up'!$F$27*'CRM CAP Forecast'!E24</f>
        <v>3445.1923915506541</v>
      </c>
      <c r="F15" s="120">
        <f>$E$15*'Allocation Factors'!E17</f>
        <v>1982.6428252721626</v>
      </c>
      <c r="G15" s="120">
        <f>$E$15*'Allocation Factors'!F17</f>
        <v>1401.1250654628004</v>
      </c>
      <c r="H15" s="120">
        <f>$E$15*'Allocation Factors'!G17</f>
        <v>24.891698519692824</v>
      </c>
      <c r="I15" s="120">
        <f>$E$15*'Allocation Factors'!H17</f>
        <v>24.987863514615015</v>
      </c>
      <c r="J15" s="120">
        <f>$E$15*'Allocation Factors'!I17</f>
        <v>3.9385234621574323</v>
      </c>
      <c r="K15" s="120">
        <f>$E$15*'Allocation Factors'!J17</f>
        <v>3.215807934870536</v>
      </c>
      <c r="L15" s="120">
        <f>$E$15*'Allocation Factors'!K17</f>
        <v>4.3906073843559748</v>
      </c>
      <c r="N15" s="216">
        <f t="shared" si="0"/>
        <v>0</v>
      </c>
    </row>
    <row r="16" spans="1:14" s="110" customFormat="1" x14ac:dyDescent="0.35">
      <c r="C16" s="110" t="s">
        <v>90</v>
      </c>
      <c r="E16" s="113">
        <f>SUM(E14:E15)</f>
        <v>1482270.176383141</v>
      </c>
      <c r="F16" s="113">
        <f t="shared" ref="F16:L16" si="2">SUM(F14:F15)</f>
        <v>974860.23991648306</v>
      </c>
      <c r="G16" s="113">
        <f t="shared" si="2"/>
        <v>355690.45464914571</v>
      </c>
      <c r="H16" s="113">
        <f t="shared" si="2"/>
        <v>77969.828060870001</v>
      </c>
      <c r="I16" s="113">
        <f t="shared" si="2"/>
        <v>37990.058669338636</v>
      </c>
      <c r="J16" s="113">
        <f t="shared" si="2"/>
        <v>4092.3026384268742</v>
      </c>
      <c r="K16" s="113">
        <f t="shared" si="2"/>
        <v>29702.236158672669</v>
      </c>
      <c r="L16" s="113">
        <f t="shared" si="2"/>
        <v>1965.0562902039073</v>
      </c>
      <c r="N16" s="216">
        <f t="shared" si="0"/>
        <v>0</v>
      </c>
    </row>
    <row r="17" spans="1:14" s="110" customFormat="1" x14ac:dyDescent="0.35">
      <c r="E17" s="115"/>
      <c r="F17" s="115"/>
      <c r="G17" s="115"/>
      <c r="H17" s="115"/>
      <c r="I17" s="115"/>
      <c r="J17" s="115"/>
      <c r="K17" s="115"/>
      <c r="L17" s="115"/>
      <c r="N17" s="78"/>
    </row>
    <row r="18" spans="1:14" s="110" customFormat="1" x14ac:dyDescent="0.35">
      <c r="E18" s="112"/>
      <c r="F18" s="112"/>
      <c r="G18" s="112"/>
      <c r="H18" s="112"/>
      <c r="I18" s="112"/>
      <c r="J18" s="112"/>
      <c r="K18" s="112"/>
      <c r="L18" s="112"/>
      <c r="N18" s="78"/>
    </row>
    <row r="19" spans="1:14" s="110" customFormat="1" x14ac:dyDescent="0.35">
      <c r="B19" s="110" t="s">
        <v>141</v>
      </c>
      <c r="E19" s="112">
        <f>E11+E16</f>
        <v>6466866.3065907601</v>
      </c>
      <c r="F19" s="112">
        <f t="shared" ref="F19:L19" si="3">F11+F16</f>
        <v>4253356.336267421</v>
      </c>
      <c r="G19" s="112">
        <f t="shared" si="3"/>
        <v>1551355.7686944997</v>
      </c>
      <c r="H19" s="112">
        <f t="shared" si="3"/>
        <v>340291.50754843844</v>
      </c>
      <c r="I19" s="112">
        <f t="shared" si="3"/>
        <v>165793.62385350605</v>
      </c>
      <c r="J19" s="112">
        <f t="shared" si="3"/>
        <v>17858.360821550614</v>
      </c>
      <c r="K19" s="112">
        <f t="shared" si="3"/>
        <v>129637.39805194308</v>
      </c>
      <c r="L19" s="112">
        <f t="shared" si="3"/>
        <v>8573.3113534010463</v>
      </c>
      <c r="N19" s="216">
        <f t="shared" ref="N19" si="4">SUM(F19:L19)-E19</f>
        <v>0</v>
      </c>
    </row>
    <row r="20" spans="1:14" s="110" customFormat="1" x14ac:dyDescent="0.35">
      <c r="B20" s="110" t="s">
        <v>142</v>
      </c>
      <c r="E20" s="1">
        <f>'2019 GRC'!$J$18</f>
        <v>0.95455299999999998</v>
      </c>
      <c r="F20" s="112"/>
      <c r="G20" s="112"/>
      <c r="H20" s="112"/>
      <c r="I20" s="112"/>
      <c r="J20" s="112"/>
      <c r="K20" s="112"/>
      <c r="L20" s="112"/>
      <c r="N20" s="78"/>
    </row>
    <row r="21" spans="1:14" s="110" customFormat="1" x14ac:dyDescent="0.35">
      <c r="B21" s="111" t="s">
        <v>143</v>
      </c>
      <c r="C21" s="111"/>
      <c r="D21" s="111"/>
      <c r="E21" s="121">
        <f>E19/$E$20</f>
        <v>6774758.768335294</v>
      </c>
      <c r="F21" s="121">
        <f t="shared" ref="F21:L21" si="5">F19/$E$20</f>
        <v>4455861.8916575834</v>
      </c>
      <c r="G21" s="121">
        <f t="shared" si="5"/>
        <v>1625217.0059645716</v>
      </c>
      <c r="H21" s="121">
        <f t="shared" si="5"/>
        <v>356493.04705808737</v>
      </c>
      <c r="I21" s="121">
        <f t="shared" si="5"/>
        <v>173687.18536687439</v>
      </c>
      <c r="J21" s="121">
        <f t="shared" si="5"/>
        <v>18708.6110687941</v>
      </c>
      <c r="K21" s="121">
        <f t="shared" si="5"/>
        <v>135809.5339409578</v>
      </c>
      <c r="L21" s="121">
        <f t="shared" si="5"/>
        <v>8981.493278425658</v>
      </c>
      <c r="N21" s="216">
        <f t="shared" ref="N21" si="6">SUM(F21:L21)-E21</f>
        <v>0</v>
      </c>
    </row>
    <row r="22" spans="1:14" s="110" customFormat="1" x14ac:dyDescent="0.35">
      <c r="F22" s="112"/>
      <c r="G22" s="112"/>
      <c r="H22" s="112"/>
      <c r="I22" s="112"/>
      <c r="J22" s="112"/>
      <c r="K22" s="112"/>
      <c r="L22" s="112"/>
      <c r="N22" s="78"/>
    </row>
    <row r="23" spans="1:14" customFormat="1" x14ac:dyDescent="0.35">
      <c r="A23" s="105"/>
      <c r="B23" s="105" t="s">
        <v>144</v>
      </c>
      <c r="C23" s="105"/>
      <c r="D23" s="105"/>
      <c r="E23" s="122">
        <f>SUM(F23:L23)</f>
        <v>1</v>
      </c>
      <c r="F23" s="122">
        <f>F21/$E21</f>
        <v>0.65771521083288487</v>
      </c>
      <c r="G23" s="122">
        <f t="shared" ref="G23:L23" si="7">G21/$E21</f>
        <v>0.23989297058970011</v>
      </c>
      <c r="H23" s="122">
        <f t="shared" si="7"/>
        <v>5.2620773557917472E-2</v>
      </c>
      <c r="I23" s="122">
        <f t="shared" si="7"/>
        <v>2.5637397774024819E-2</v>
      </c>
      <c r="J23" s="122">
        <f t="shared" si="7"/>
        <v>2.7615169349256719E-3</v>
      </c>
      <c r="K23" s="122">
        <f t="shared" si="7"/>
        <v>2.0046401441734162E-2</v>
      </c>
      <c r="L23" s="122">
        <f t="shared" si="7"/>
        <v>1.3257288688129343E-3</v>
      </c>
      <c r="M23" s="105"/>
      <c r="N23" s="105"/>
    </row>
    <row r="24" spans="1:14" customFormat="1" x14ac:dyDescent="0.35">
      <c r="A24" s="105"/>
      <c r="B24" s="105"/>
      <c r="C24" s="105"/>
      <c r="D24" s="105"/>
      <c r="E24" s="105"/>
      <c r="F24" s="109"/>
      <c r="G24" s="109"/>
      <c r="H24" s="109"/>
      <c r="I24" s="109"/>
      <c r="J24" s="109"/>
      <c r="K24" s="109"/>
      <c r="L24" s="109"/>
      <c r="M24" s="105"/>
      <c r="N24" s="105"/>
    </row>
    <row r="25" spans="1:14" customFormat="1" x14ac:dyDescent="0.3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pans="1:14" customFormat="1" x14ac:dyDescent="0.3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</row>
    <row r="27" spans="1:14" customFormat="1" x14ac:dyDescent="0.3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</row>
    <row r="28" spans="1:14" customFormat="1" x14ac:dyDescent="0.3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  <row r="29" spans="1:14" customFormat="1" x14ac:dyDescent="0.3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  <row r="30" spans="1:14" customFormat="1" x14ac:dyDescent="0.3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customFormat="1" x14ac:dyDescent="0.3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customFormat="1" x14ac:dyDescent="0.3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1:14" customFormat="1" x14ac:dyDescent="0.3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1:14" customFormat="1" x14ac:dyDescent="0.3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</row>
    <row r="35" spans="1:14" customFormat="1" x14ac:dyDescent="0.3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  <row r="36" spans="1:14" customFormat="1" x14ac:dyDescent="0.3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</row>
    <row r="37" spans="1:14" customFormat="1" x14ac:dyDescent="0.3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1:14" customFormat="1" x14ac:dyDescent="0.3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</row>
    <row r="39" spans="1:14" customFormat="1" x14ac:dyDescent="0.3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</row>
    <row r="40" spans="1:14" customFormat="1" x14ac:dyDescent="0.3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1:14" customFormat="1" x14ac:dyDescent="0.3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14" customFormat="1" x14ac:dyDescent="0.3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4" customFormat="1" x14ac:dyDescent="0.3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14" customFormat="1" x14ac:dyDescent="0.3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14" customFormat="1" x14ac:dyDescent="0.3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14" customFormat="1" x14ac:dyDescent="0.3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1:14" customFormat="1" x14ac:dyDescent="0.3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1:14" customFormat="1" x14ac:dyDescent="0.3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1:14" customFormat="1" x14ac:dyDescent="0.3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0" spans="1:14" customFormat="1" x14ac:dyDescent="0.3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</row>
    <row r="51" spans="1:14" customFormat="1" x14ac:dyDescent="0.3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  <row r="52" spans="1:14" customFormat="1" x14ac:dyDescent="0.35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</row>
    <row r="53" spans="1:14" customFormat="1" x14ac:dyDescent="0.3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</row>
    <row r="54" spans="1:14" customFormat="1" x14ac:dyDescent="0.35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</row>
    <row r="55" spans="1:14" customFormat="1" x14ac:dyDescent="0.3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</row>
    <row r="56" spans="1:14" customFormat="1" x14ac:dyDescent="0.3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</row>
    <row r="57" spans="1:14" customFormat="1" x14ac:dyDescent="0.35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</row>
    <row r="58" spans="1:14" customFormat="1" x14ac:dyDescent="0.3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</row>
    <row r="59" spans="1:14" customFormat="1" x14ac:dyDescent="0.35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</row>
    <row r="60" spans="1:14" customFormat="1" x14ac:dyDescent="0.35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</row>
    <row r="61" spans="1:14" customFormat="1" x14ac:dyDescent="0.35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</row>
    <row r="62" spans="1:14" customFormat="1" x14ac:dyDescent="0.35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</row>
    <row r="63" spans="1:14" customFormat="1" x14ac:dyDescent="0.35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</row>
    <row r="64" spans="1:14" customFormat="1" x14ac:dyDescent="0.35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</row>
    <row r="65" spans="1:14" customFormat="1" x14ac:dyDescent="0.35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</row>
    <row r="66" spans="1:14" customFormat="1" x14ac:dyDescent="0.3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</row>
    <row r="67" spans="1:14" customFormat="1" x14ac:dyDescent="0.3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</row>
    <row r="68" spans="1:14" customFormat="1" x14ac:dyDescent="0.3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</row>
    <row r="69" spans="1:14" customFormat="1" x14ac:dyDescent="0.3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</row>
    <row r="70" spans="1:14" customFormat="1" x14ac:dyDescent="0.35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</row>
    <row r="71" spans="1:14" customFormat="1" x14ac:dyDescent="0.35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</row>
    <row r="72" spans="1:14" customFormat="1" x14ac:dyDescent="0.35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</row>
    <row r="73" spans="1:14" customFormat="1" x14ac:dyDescent="0.35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</row>
    <row r="74" spans="1:14" customFormat="1" x14ac:dyDescent="0.35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</row>
    <row r="75" spans="1:14" customFormat="1" x14ac:dyDescent="0.35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</row>
    <row r="76" spans="1:14" customFormat="1" x14ac:dyDescent="0.35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</row>
    <row r="77" spans="1:14" customFormat="1" x14ac:dyDescent="0.35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1:14" customFormat="1" x14ac:dyDescent="0.35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</row>
    <row r="79" spans="1:14" customFormat="1" x14ac:dyDescent="0.35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</row>
    <row r="80" spans="1:14" customFormat="1" x14ac:dyDescent="0.35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1:14" customFormat="1" x14ac:dyDescent="0.35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4" customFormat="1" x14ac:dyDescent="0.35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</row>
    <row r="83" spans="1:14" customFormat="1" x14ac:dyDescent="0.35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</row>
    <row r="84" spans="1:14" customFormat="1" x14ac:dyDescent="0.35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</row>
    <row r="85" spans="1:14" customFormat="1" x14ac:dyDescent="0.35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</row>
    <row r="86" spans="1:14" customFormat="1" x14ac:dyDescent="0.35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</row>
    <row r="87" spans="1:14" customFormat="1" x14ac:dyDescent="0.35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</row>
    <row r="88" spans="1:14" customFormat="1" x14ac:dyDescent="0.35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</row>
    <row r="89" spans="1:14" customFormat="1" x14ac:dyDescent="0.35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</row>
    <row r="90" spans="1:14" customFormat="1" x14ac:dyDescent="0.35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</row>
    <row r="91" spans="1:14" customFormat="1" x14ac:dyDescent="0.35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</row>
    <row r="92" spans="1:14" customFormat="1" x14ac:dyDescent="0.35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</row>
    <row r="93" spans="1:14" customFormat="1" x14ac:dyDescent="0.35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</row>
    <row r="94" spans="1:14" customFormat="1" x14ac:dyDescent="0.35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</row>
    <row r="95" spans="1:14" customFormat="1" x14ac:dyDescent="0.35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</row>
    <row r="96" spans="1:14" customFormat="1" x14ac:dyDescent="0.35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</row>
    <row r="97" spans="1:14" customFormat="1" x14ac:dyDescent="0.35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</row>
    <row r="98" spans="1:14" customFormat="1" x14ac:dyDescent="0.3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</row>
    <row r="99" spans="1:14" customFormat="1" x14ac:dyDescent="0.3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</row>
    <row r="100" spans="1:14" customFormat="1" x14ac:dyDescent="0.3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</row>
    <row r="101" spans="1:14" customFormat="1" x14ac:dyDescent="0.3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</row>
    <row r="102" spans="1:14" customFormat="1" x14ac:dyDescent="0.3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</row>
    <row r="103" spans="1:14" customFormat="1" x14ac:dyDescent="0.3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</row>
    <row r="104" spans="1:14" customFormat="1" x14ac:dyDescent="0.3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</row>
    <row r="105" spans="1:14" customFormat="1" x14ac:dyDescent="0.3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</row>
    <row r="106" spans="1:14" customFormat="1" x14ac:dyDescent="0.3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</row>
    <row r="107" spans="1:14" customFormat="1" x14ac:dyDescent="0.3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</row>
    <row r="108" spans="1:14" customFormat="1" x14ac:dyDescent="0.3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</row>
    <row r="109" spans="1:14" customFormat="1" x14ac:dyDescent="0.3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</row>
    <row r="110" spans="1:14" customFormat="1" x14ac:dyDescent="0.3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</row>
    <row r="111" spans="1:14" customFormat="1" x14ac:dyDescent="0.3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</row>
    <row r="112" spans="1:14" customFormat="1" x14ac:dyDescent="0.3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</row>
    <row r="113" spans="1:14" customFormat="1" x14ac:dyDescent="0.3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</row>
    <row r="114" spans="1:14" customFormat="1" x14ac:dyDescent="0.3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</row>
    <row r="115" spans="1:14" customFormat="1" x14ac:dyDescent="0.3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</row>
    <row r="116" spans="1:14" customFormat="1" x14ac:dyDescent="0.35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</row>
    <row r="117" spans="1:14" customFormat="1" x14ac:dyDescent="0.35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</row>
    <row r="118" spans="1:14" customFormat="1" x14ac:dyDescent="0.35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</row>
    <row r="119" spans="1:14" customFormat="1" x14ac:dyDescent="0.35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</row>
    <row r="120" spans="1:14" customFormat="1" x14ac:dyDescent="0.35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</row>
    <row r="121" spans="1:14" customFormat="1" x14ac:dyDescent="0.35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</row>
    <row r="122" spans="1:14" customFormat="1" x14ac:dyDescent="0.35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</row>
    <row r="123" spans="1:14" customFormat="1" x14ac:dyDescent="0.35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</row>
    <row r="124" spans="1:14" customFormat="1" x14ac:dyDescent="0.35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</row>
    <row r="125" spans="1:14" customFormat="1" x14ac:dyDescent="0.35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</row>
    <row r="126" spans="1:14" customFormat="1" x14ac:dyDescent="0.35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</row>
    <row r="127" spans="1:14" customFormat="1" x14ac:dyDescent="0.35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</row>
    <row r="128" spans="1:14" customFormat="1" x14ac:dyDescent="0.35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</row>
    <row r="129" spans="1:14" customFormat="1" x14ac:dyDescent="0.35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</row>
    <row r="130" spans="1:14" customFormat="1" x14ac:dyDescent="0.35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</row>
    <row r="131" spans="1:14" customFormat="1" x14ac:dyDescent="0.35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</row>
    <row r="132" spans="1:14" customFormat="1" x14ac:dyDescent="0.35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</row>
    <row r="133" spans="1:14" customFormat="1" x14ac:dyDescent="0.35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</row>
    <row r="134" spans="1:14" customFormat="1" x14ac:dyDescent="0.35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</row>
    <row r="135" spans="1:14" customFormat="1" x14ac:dyDescent="0.35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</row>
    <row r="136" spans="1:14" customFormat="1" x14ac:dyDescent="0.35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</row>
    <row r="137" spans="1:14" customFormat="1" x14ac:dyDescent="0.35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</row>
    <row r="138" spans="1:14" customFormat="1" x14ac:dyDescent="0.35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</row>
    <row r="139" spans="1:14" customFormat="1" x14ac:dyDescent="0.35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</row>
    <row r="140" spans="1:14" customFormat="1" x14ac:dyDescent="0.35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</row>
    <row r="141" spans="1:14" customFormat="1" x14ac:dyDescent="0.35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</row>
    <row r="142" spans="1:14" customFormat="1" x14ac:dyDescent="0.35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</row>
    <row r="143" spans="1:14" customFormat="1" x14ac:dyDescent="0.35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</row>
    <row r="144" spans="1:14" customFormat="1" x14ac:dyDescent="0.35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</row>
    <row r="145" spans="1:14" customFormat="1" x14ac:dyDescent="0.35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</row>
  </sheetData>
  <mergeCells count="3">
    <mergeCell ref="B1:L1"/>
    <mergeCell ref="B2:L2"/>
    <mergeCell ref="B3:L3"/>
  </mergeCells>
  <printOptions horizontalCentered="1"/>
  <pageMargins left="0.7" right="0.7" top="0.75" bottom="0.75" header="0.3" footer="0.3"/>
  <pageSetup scale="85" orientation="landscape" blackAndWhite="1" horizontalDpi="300" verticalDpi="300" r:id="rId1"/>
  <headerFooter>
    <oddFooter>&amp;L&amp;F
&amp;A&amp;C&amp;P&amp;R&amp;D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30"/>
  <sheetViews>
    <sheetView zoomScale="90" zoomScaleNormal="90" workbookViewId="0">
      <selection activeCell="C32" sqref="C32"/>
    </sheetView>
  </sheetViews>
  <sheetFormatPr defaultColWidth="9.1796875" defaultRowHeight="14.5" x14ac:dyDescent="0.35"/>
  <cols>
    <col min="1" max="1" width="19.81640625" style="126" customWidth="1"/>
    <col min="2" max="13" width="13.453125" style="126" customWidth="1"/>
    <col min="14" max="14" width="13.81640625" style="126" customWidth="1"/>
    <col min="15" max="15" width="9.1796875" style="126"/>
    <col min="16" max="16" width="11.36328125" style="126" bestFit="1" customWidth="1"/>
    <col min="17" max="16384" width="9.1796875" style="126"/>
  </cols>
  <sheetData>
    <row r="1" spans="1:16" x14ac:dyDescent="0.35">
      <c r="A1" s="399" t="s">
        <v>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6" x14ac:dyDescent="0.35">
      <c r="A2" s="396" t="s">
        <v>402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</row>
    <row r="3" spans="1:16" x14ac:dyDescent="0.35">
      <c r="A3" s="399" t="s">
        <v>166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</row>
    <row r="4" spans="1:16" x14ac:dyDescent="0.35">
      <c r="A4" s="400" t="s">
        <v>308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</row>
    <row r="5" spans="1:16" x14ac:dyDescent="0.3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6" x14ac:dyDescent="0.3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6" x14ac:dyDescent="0.35">
      <c r="A7" s="126" t="s">
        <v>167</v>
      </c>
      <c r="B7" s="128">
        <v>44136</v>
      </c>
      <c r="C7" s="128">
        <f>EDATE(B7,1)</f>
        <v>44166</v>
      </c>
      <c r="D7" s="128">
        <f t="shared" ref="D7:M7" si="0">EDATE(C7,1)</f>
        <v>44197</v>
      </c>
      <c r="E7" s="128">
        <f t="shared" si="0"/>
        <v>44228</v>
      </c>
      <c r="F7" s="128">
        <f t="shared" si="0"/>
        <v>44256</v>
      </c>
      <c r="G7" s="128">
        <f t="shared" si="0"/>
        <v>44287</v>
      </c>
      <c r="H7" s="128">
        <f t="shared" si="0"/>
        <v>44317</v>
      </c>
      <c r="I7" s="128">
        <f t="shared" si="0"/>
        <v>44348</v>
      </c>
      <c r="J7" s="128">
        <f t="shared" si="0"/>
        <v>44378</v>
      </c>
      <c r="K7" s="128">
        <f t="shared" si="0"/>
        <v>44409</v>
      </c>
      <c r="L7" s="128">
        <f t="shared" si="0"/>
        <v>44440</v>
      </c>
      <c r="M7" s="128">
        <f t="shared" si="0"/>
        <v>44470</v>
      </c>
      <c r="N7" s="129" t="s">
        <v>90</v>
      </c>
    </row>
    <row r="8" spans="1:16" x14ac:dyDescent="0.35">
      <c r="A8" s="130">
        <v>16</v>
      </c>
      <c r="B8" s="269">
        <v>753</v>
      </c>
      <c r="C8" s="269">
        <v>863</v>
      </c>
      <c r="D8" s="269">
        <v>822</v>
      </c>
      <c r="E8" s="269">
        <v>601</v>
      </c>
      <c r="F8" s="269">
        <v>742</v>
      </c>
      <c r="G8" s="269">
        <v>664</v>
      </c>
      <c r="H8" s="269">
        <v>619</v>
      </c>
      <c r="I8" s="269">
        <v>605</v>
      </c>
      <c r="J8" s="269">
        <v>793</v>
      </c>
      <c r="K8" s="269">
        <v>843</v>
      </c>
      <c r="L8" s="269">
        <v>891</v>
      </c>
      <c r="M8" s="269">
        <v>857</v>
      </c>
      <c r="N8" s="131">
        <f t="shared" ref="N8:N21" si="1">SUM(B8:M8)</f>
        <v>9053</v>
      </c>
      <c r="P8" s="131"/>
    </row>
    <row r="9" spans="1:16" x14ac:dyDescent="0.35">
      <c r="A9" s="130">
        <v>23</v>
      </c>
      <c r="B9" s="269">
        <v>70022679</v>
      </c>
      <c r="C9" s="269">
        <v>98955410</v>
      </c>
      <c r="D9" s="269">
        <v>98073276</v>
      </c>
      <c r="E9" s="269">
        <v>82627613</v>
      </c>
      <c r="F9" s="269">
        <v>77400416</v>
      </c>
      <c r="G9" s="269">
        <v>54433083</v>
      </c>
      <c r="H9" s="269">
        <v>34938725</v>
      </c>
      <c r="I9" s="269">
        <v>21501725</v>
      </c>
      <c r="J9" s="269">
        <v>15475986</v>
      </c>
      <c r="K9" s="269">
        <v>14257580</v>
      </c>
      <c r="L9" s="269">
        <v>17773002</v>
      </c>
      <c r="M9" s="269">
        <v>38517907</v>
      </c>
      <c r="N9" s="131">
        <f t="shared" si="1"/>
        <v>623977402</v>
      </c>
    </row>
    <row r="10" spans="1:16" x14ac:dyDescent="0.35">
      <c r="A10" s="130">
        <v>53</v>
      </c>
      <c r="B10" s="269">
        <v>0</v>
      </c>
      <c r="C10" s="269">
        <v>0</v>
      </c>
      <c r="D10" s="269">
        <v>0</v>
      </c>
      <c r="E10" s="269">
        <v>0</v>
      </c>
      <c r="F10" s="269">
        <v>0</v>
      </c>
      <c r="G10" s="269">
        <v>0</v>
      </c>
      <c r="H10" s="269">
        <v>0</v>
      </c>
      <c r="I10" s="269">
        <v>0</v>
      </c>
      <c r="J10" s="269">
        <v>0</v>
      </c>
      <c r="K10" s="269">
        <v>0</v>
      </c>
      <c r="L10" s="269">
        <v>0</v>
      </c>
      <c r="M10" s="269">
        <v>0</v>
      </c>
      <c r="N10" s="131">
        <f t="shared" si="1"/>
        <v>0</v>
      </c>
    </row>
    <row r="11" spans="1:16" x14ac:dyDescent="0.35">
      <c r="A11" s="130">
        <v>31</v>
      </c>
      <c r="B11" s="269">
        <v>23705119</v>
      </c>
      <c r="C11" s="269">
        <v>32603492</v>
      </c>
      <c r="D11" s="269">
        <v>33090638</v>
      </c>
      <c r="E11" s="269">
        <v>28247896</v>
      </c>
      <c r="F11" s="269">
        <v>26523006</v>
      </c>
      <c r="G11" s="269">
        <v>19795661</v>
      </c>
      <c r="H11" s="269">
        <v>14608131</v>
      </c>
      <c r="I11" s="269">
        <v>10748127</v>
      </c>
      <c r="J11" s="269">
        <v>8675782</v>
      </c>
      <c r="K11" s="269">
        <v>8864324</v>
      </c>
      <c r="L11" s="269">
        <v>9414380</v>
      </c>
      <c r="M11" s="269">
        <v>15330016</v>
      </c>
      <c r="N11" s="131">
        <f t="shared" si="1"/>
        <v>231606572</v>
      </c>
    </row>
    <row r="12" spans="1:16" x14ac:dyDescent="0.35">
      <c r="A12" s="130">
        <v>41</v>
      </c>
      <c r="B12" s="269">
        <v>6446838</v>
      </c>
      <c r="C12" s="269">
        <v>7757436</v>
      </c>
      <c r="D12" s="269">
        <v>7718344</v>
      </c>
      <c r="E12" s="269">
        <v>6883301</v>
      </c>
      <c r="F12" s="269">
        <v>6768611</v>
      </c>
      <c r="G12" s="269">
        <v>5658680</v>
      </c>
      <c r="H12" s="269">
        <v>4766458</v>
      </c>
      <c r="I12" s="269">
        <v>4032897</v>
      </c>
      <c r="J12" s="269">
        <v>3374428</v>
      </c>
      <c r="K12" s="269">
        <v>3101846</v>
      </c>
      <c r="L12" s="269">
        <v>3328718</v>
      </c>
      <c r="M12" s="269">
        <v>4986495</v>
      </c>
      <c r="N12" s="131">
        <f t="shared" si="1"/>
        <v>64824052</v>
      </c>
    </row>
    <row r="13" spans="1:16" x14ac:dyDescent="0.35">
      <c r="A13" s="130">
        <v>85</v>
      </c>
      <c r="B13" s="269">
        <v>884622</v>
      </c>
      <c r="C13" s="269">
        <v>1063937</v>
      </c>
      <c r="D13" s="269">
        <v>1244988</v>
      </c>
      <c r="E13" s="269">
        <v>1104216</v>
      </c>
      <c r="F13" s="269">
        <v>1104087</v>
      </c>
      <c r="G13" s="269">
        <v>1001429</v>
      </c>
      <c r="H13" s="269">
        <v>780959</v>
      </c>
      <c r="I13" s="269">
        <v>562486</v>
      </c>
      <c r="J13" s="269">
        <v>528197</v>
      </c>
      <c r="K13" s="269">
        <v>522826</v>
      </c>
      <c r="L13" s="269">
        <v>512346</v>
      </c>
      <c r="M13" s="269">
        <v>544180</v>
      </c>
      <c r="N13" s="131">
        <f t="shared" si="1"/>
        <v>9854273</v>
      </c>
    </row>
    <row r="14" spans="1:16" x14ac:dyDescent="0.35">
      <c r="A14" s="130">
        <v>86</v>
      </c>
      <c r="B14" s="269">
        <v>442465</v>
      </c>
      <c r="C14" s="269">
        <v>631776</v>
      </c>
      <c r="D14" s="269">
        <v>648766</v>
      </c>
      <c r="E14" s="269">
        <v>589886</v>
      </c>
      <c r="F14" s="269">
        <v>615365</v>
      </c>
      <c r="G14" s="269">
        <v>570848</v>
      </c>
      <c r="H14" s="269">
        <v>432431</v>
      </c>
      <c r="I14" s="269">
        <v>270483</v>
      </c>
      <c r="J14" s="269">
        <v>149193</v>
      </c>
      <c r="K14" s="269">
        <v>103627</v>
      </c>
      <c r="L14" s="269">
        <v>124933</v>
      </c>
      <c r="M14" s="269">
        <v>242604</v>
      </c>
      <c r="N14" s="131">
        <f t="shared" si="1"/>
        <v>4822377</v>
      </c>
    </row>
    <row r="15" spans="1:16" x14ac:dyDescent="0.35">
      <c r="A15" s="130">
        <v>87</v>
      </c>
      <c r="B15" s="269">
        <v>1398939</v>
      </c>
      <c r="C15" s="269">
        <v>1739612</v>
      </c>
      <c r="D15" s="269">
        <v>1737560</v>
      </c>
      <c r="E15" s="269">
        <v>1469107</v>
      </c>
      <c r="F15" s="269">
        <v>1524538</v>
      </c>
      <c r="G15" s="269">
        <v>1184385</v>
      </c>
      <c r="H15" s="269">
        <v>1152303</v>
      </c>
      <c r="I15" s="269">
        <v>805416</v>
      </c>
      <c r="J15" s="269">
        <v>789650</v>
      </c>
      <c r="K15" s="269">
        <v>774985</v>
      </c>
      <c r="L15" s="269">
        <v>782465</v>
      </c>
      <c r="M15" s="269">
        <v>1062362</v>
      </c>
      <c r="N15" s="131">
        <f t="shared" si="1"/>
        <v>14421322</v>
      </c>
    </row>
    <row r="16" spans="1:16" x14ac:dyDescent="0.35">
      <c r="A16" s="130" t="s">
        <v>168</v>
      </c>
      <c r="B16" s="269">
        <v>2347</v>
      </c>
      <c r="C16" s="269">
        <v>3385</v>
      </c>
      <c r="D16" s="269">
        <v>2775</v>
      </c>
      <c r="E16" s="269">
        <v>2252</v>
      </c>
      <c r="F16" s="269">
        <v>2206</v>
      </c>
      <c r="G16" s="269">
        <v>1715</v>
      </c>
      <c r="H16" s="269">
        <v>1373</v>
      </c>
      <c r="I16" s="269">
        <v>1122</v>
      </c>
      <c r="J16" s="269">
        <v>1027</v>
      </c>
      <c r="K16" s="269">
        <v>1182</v>
      </c>
      <c r="L16" s="269">
        <v>1326</v>
      </c>
      <c r="M16" s="269">
        <v>1972</v>
      </c>
      <c r="N16" s="131">
        <f t="shared" si="1"/>
        <v>22682</v>
      </c>
    </row>
    <row r="17" spans="1:14" x14ac:dyDescent="0.35">
      <c r="A17" s="130" t="s">
        <v>169</v>
      </c>
      <c r="B17" s="269">
        <v>1895654</v>
      </c>
      <c r="C17" s="269">
        <v>2102905</v>
      </c>
      <c r="D17" s="269">
        <v>2204583</v>
      </c>
      <c r="E17" s="269">
        <v>1975055</v>
      </c>
      <c r="F17" s="269">
        <v>2172748</v>
      </c>
      <c r="G17" s="269">
        <v>2019704</v>
      </c>
      <c r="H17" s="269">
        <v>1985887</v>
      </c>
      <c r="I17" s="269">
        <v>1936401</v>
      </c>
      <c r="J17" s="269">
        <v>1771208</v>
      </c>
      <c r="K17" s="269">
        <v>1829959</v>
      </c>
      <c r="L17" s="269">
        <v>1758073</v>
      </c>
      <c r="M17" s="269">
        <v>1958044</v>
      </c>
      <c r="N17" s="131">
        <f t="shared" si="1"/>
        <v>23610221</v>
      </c>
    </row>
    <row r="18" spans="1:14" x14ac:dyDescent="0.35">
      <c r="A18" s="130" t="s">
        <v>170</v>
      </c>
      <c r="B18" s="269">
        <v>6261550</v>
      </c>
      <c r="C18" s="269">
        <v>5901134</v>
      </c>
      <c r="D18" s="269">
        <v>6295933</v>
      </c>
      <c r="E18" s="269">
        <v>5779888</v>
      </c>
      <c r="F18" s="269">
        <v>6198708</v>
      </c>
      <c r="G18" s="269">
        <v>6580181</v>
      </c>
      <c r="H18" s="269">
        <v>6112186</v>
      </c>
      <c r="I18" s="269">
        <v>5822584</v>
      </c>
      <c r="J18" s="269">
        <v>5495243</v>
      </c>
      <c r="K18" s="269">
        <v>5815394</v>
      </c>
      <c r="L18" s="269">
        <v>5680544</v>
      </c>
      <c r="M18" s="269">
        <v>6102449</v>
      </c>
      <c r="N18" s="131">
        <f t="shared" si="1"/>
        <v>72045794</v>
      </c>
    </row>
    <row r="19" spans="1:14" x14ac:dyDescent="0.35">
      <c r="A19" s="130" t="s">
        <v>171</v>
      </c>
      <c r="B19" s="269">
        <v>22564</v>
      </c>
      <c r="C19" s="269">
        <v>24291</v>
      </c>
      <c r="D19" s="269">
        <v>23603</v>
      </c>
      <c r="E19" s="269">
        <v>21616</v>
      </c>
      <c r="F19" s="269">
        <v>21372</v>
      </c>
      <c r="G19" s="269">
        <v>17462</v>
      </c>
      <c r="H19" s="269">
        <v>13997</v>
      </c>
      <c r="I19" s="269">
        <v>15002</v>
      </c>
      <c r="J19" s="269">
        <v>11959</v>
      </c>
      <c r="K19" s="269">
        <v>10855</v>
      </c>
      <c r="L19" s="269">
        <v>6726</v>
      </c>
      <c r="M19" s="269">
        <v>10510</v>
      </c>
      <c r="N19" s="131">
        <f t="shared" si="1"/>
        <v>199957</v>
      </c>
    </row>
    <row r="20" spans="1:14" x14ac:dyDescent="0.35">
      <c r="A20" s="130" t="s">
        <v>172</v>
      </c>
      <c r="B20" s="269">
        <v>7056606</v>
      </c>
      <c r="C20" s="269">
        <v>8255533</v>
      </c>
      <c r="D20" s="269">
        <v>8242237</v>
      </c>
      <c r="E20" s="269">
        <v>7290787</v>
      </c>
      <c r="F20" s="269">
        <v>8236762</v>
      </c>
      <c r="G20" s="269">
        <v>7411757</v>
      </c>
      <c r="H20" s="269">
        <v>7792150</v>
      </c>
      <c r="I20" s="269">
        <v>7329495</v>
      </c>
      <c r="J20" s="269">
        <v>7958506</v>
      </c>
      <c r="K20" s="269">
        <v>7347866</v>
      </c>
      <c r="L20" s="269">
        <v>7297242</v>
      </c>
      <c r="M20" s="269">
        <v>7835761</v>
      </c>
      <c r="N20" s="131">
        <f t="shared" si="1"/>
        <v>92054702</v>
      </c>
    </row>
    <row r="21" spans="1:14" x14ac:dyDescent="0.35">
      <c r="A21" s="130">
        <v>99</v>
      </c>
      <c r="B21" s="269">
        <v>3342945</v>
      </c>
      <c r="C21" s="269">
        <v>3930055</v>
      </c>
      <c r="D21" s="269">
        <v>3861002</v>
      </c>
      <c r="E21" s="269">
        <v>3352326</v>
      </c>
      <c r="F21" s="269">
        <v>3296678</v>
      </c>
      <c r="G21" s="269">
        <v>2730362</v>
      </c>
      <c r="H21" s="269">
        <v>2344167</v>
      </c>
      <c r="I21" s="269">
        <v>1952097</v>
      </c>
      <c r="J21" s="269">
        <v>1714220</v>
      </c>
      <c r="K21" s="269">
        <v>1707447</v>
      </c>
      <c r="L21" s="269">
        <v>1777317</v>
      </c>
      <c r="M21" s="269">
        <v>2358155</v>
      </c>
      <c r="N21" s="131">
        <f t="shared" si="1"/>
        <v>32366771</v>
      </c>
    </row>
    <row r="22" spans="1:14" x14ac:dyDescent="0.35">
      <c r="A22" s="130" t="s">
        <v>90</v>
      </c>
      <c r="B22" s="132">
        <f>SUM(B8:B21)</f>
        <v>121483081</v>
      </c>
      <c r="C22" s="132">
        <f t="shared" ref="C22:M22" si="2">SUM(C8:C21)</f>
        <v>162969829</v>
      </c>
      <c r="D22" s="132">
        <f t="shared" si="2"/>
        <v>163144527</v>
      </c>
      <c r="E22" s="132">
        <f t="shared" si="2"/>
        <v>139344544</v>
      </c>
      <c r="F22" s="132">
        <f t="shared" si="2"/>
        <v>133865239</v>
      </c>
      <c r="G22" s="132">
        <f t="shared" si="2"/>
        <v>101405931</v>
      </c>
      <c r="H22" s="132">
        <f t="shared" si="2"/>
        <v>74929386</v>
      </c>
      <c r="I22" s="132">
        <f t="shared" si="2"/>
        <v>54978440</v>
      </c>
      <c r="J22" s="132">
        <f t="shared" si="2"/>
        <v>45946192</v>
      </c>
      <c r="K22" s="132">
        <f t="shared" si="2"/>
        <v>44338734</v>
      </c>
      <c r="L22" s="132">
        <f t="shared" si="2"/>
        <v>48457963</v>
      </c>
      <c r="M22" s="132">
        <f t="shared" si="2"/>
        <v>78951312</v>
      </c>
      <c r="N22" s="132">
        <f>SUM(N8:N21)</f>
        <v>1169815178</v>
      </c>
    </row>
    <row r="23" spans="1:14" x14ac:dyDescent="0.35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x14ac:dyDescent="0.35">
      <c r="A24" s="130" t="s">
        <v>173</v>
      </c>
      <c r="B24" s="131">
        <f>SUM(B8:B12)</f>
        <v>100175389</v>
      </c>
      <c r="C24" s="131">
        <f t="shared" ref="C24:M24" si="3">SUM(C8:C12)</f>
        <v>139317201</v>
      </c>
      <c r="D24" s="131">
        <f t="shared" si="3"/>
        <v>138883080</v>
      </c>
      <c r="E24" s="131">
        <f t="shared" si="3"/>
        <v>117759411</v>
      </c>
      <c r="F24" s="131">
        <f t="shared" si="3"/>
        <v>110692775</v>
      </c>
      <c r="G24" s="131">
        <f t="shared" si="3"/>
        <v>79888088</v>
      </c>
      <c r="H24" s="131">
        <f t="shared" si="3"/>
        <v>54313933</v>
      </c>
      <c r="I24" s="131">
        <f t="shared" si="3"/>
        <v>36283354</v>
      </c>
      <c r="J24" s="131">
        <f t="shared" si="3"/>
        <v>27526989</v>
      </c>
      <c r="K24" s="131">
        <f t="shared" si="3"/>
        <v>26224593</v>
      </c>
      <c r="L24" s="131">
        <f t="shared" si="3"/>
        <v>30516991</v>
      </c>
      <c r="M24" s="131">
        <f t="shared" si="3"/>
        <v>58835275</v>
      </c>
      <c r="N24" s="131">
        <f>SUM(B24:M24)</f>
        <v>920417079</v>
      </c>
    </row>
    <row r="25" spans="1:14" x14ac:dyDescent="0.35">
      <c r="A25" s="130" t="s">
        <v>174</v>
      </c>
      <c r="B25" s="131">
        <f>SUM(B13:B15)</f>
        <v>2726026</v>
      </c>
      <c r="C25" s="131">
        <f t="shared" ref="C25:M25" si="4">SUM(C13:C15)</f>
        <v>3435325</v>
      </c>
      <c r="D25" s="131">
        <f t="shared" si="4"/>
        <v>3631314</v>
      </c>
      <c r="E25" s="131">
        <f t="shared" si="4"/>
        <v>3163209</v>
      </c>
      <c r="F25" s="131">
        <f t="shared" si="4"/>
        <v>3243990</v>
      </c>
      <c r="G25" s="131">
        <f t="shared" si="4"/>
        <v>2756662</v>
      </c>
      <c r="H25" s="131">
        <f t="shared" si="4"/>
        <v>2365693</v>
      </c>
      <c r="I25" s="131">
        <f t="shared" si="4"/>
        <v>1638385</v>
      </c>
      <c r="J25" s="131">
        <f t="shared" si="4"/>
        <v>1467040</v>
      </c>
      <c r="K25" s="131">
        <f t="shared" si="4"/>
        <v>1401438</v>
      </c>
      <c r="L25" s="131">
        <f t="shared" si="4"/>
        <v>1419744</v>
      </c>
      <c r="M25" s="131">
        <f t="shared" si="4"/>
        <v>1849146</v>
      </c>
      <c r="N25" s="131">
        <f>SUM(B25:M25)</f>
        <v>29097972</v>
      </c>
    </row>
    <row r="26" spans="1:14" x14ac:dyDescent="0.35">
      <c r="A26" s="130" t="s">
        <v>175</v>
      </c>
      <c r="B26" s="133">
        <f>SUM(B16:B21)</f>
        <v>18581666</v>
      </c>
      <c r="C26" s="133">
        <f t="shared" ref="C26:M26" si="5">SUM(C16:C21)</f>
        <v>20217303</v>
      </c>
      <c r="D26" s="133">
        <f t="shared" si="5"/>
        <v>20630133</v>
      </c>
      <c r="E26" s="133">
        <f t="shared" si="5"/>
        <v>18421924</v>
      </c>
      <c r="F26" s="133">
        <f t="shared" si="5"/>
        <v>19928474</v>
      </c>
      <c r="G26" s="133">
        <f t="shared" si="5"/>
        <v>18761181</v>
      </c>
      <c r="H26" s="133">
        <f t="shared" si="5"/>
        <v>18249760</v>
      </c>
      <c r="I26" s="133">
        <f t="shared" si="5"/>
        <v>17056701</v>
      </c>
      <c r="J26" s="133">
        <f t="shared" si="5"/>
        <v>16952163</v>
      </c>
      <c r="K26" s="133">
        <f t="shared" si="5"/>
        <v>16712703</v>
      </c>
      <c r="L26" s="133">
        <f t="shared" si="5"/>
        <v>16521228</v>
      </c>
      <c r="M26" s="133">
        <f t="shared" si="5"/>
        <v>18266891</v>
      </c>
      <c r="N26" s="133">
        <f>SUM(B26:M26)</f>
        <v>220300127</v>
      </c>
    </row>
    <row r="27" spans="1:14" x14ac:dyDescent="0.35">
      <c r="A27" s="130" t="s">
        <v>176</v>
      </c>
      <c r="B27" s="131">
        <f t="shared" ref="B27:M27" si="6">SUM(B24:B26)</f>
        <v>121483081</v>
      </c>
      <c r="C27" s="131">
        <f t="shared" si="6"/>
        <v>162969829</v>
      </c>
      <c r="D27" s="131">
        <f t="shared" si="6"/>
        <v>163144527</v>
      </c>
      <c r="E27" s="131">
        <f t="shared" si="6"/>
        <v>139344544</v>
      </c>
      <c r="F27" s="131">
        <f t="shared" si="6"/>
        <v>133865239</v>
      </c>
      <c r="G27" s="131">
        <f t="shared" si="6"/>
        <v>101405931</v>
      </c>
      <c r="H27" s="131">
        <f t="shared" si="6"/>
        <v>74929386</v>
      </c>
      <c r="I27" s="131">
        <f t="shared" si="6"/>
        <v>54978440</v>
      </c>
      <c r="J27" s="131">
        <f t="shared" si="6"/>
        <v>45946192</v>
      </c>
      <c r="K27" s="131">
        <f t="shared" si="6"/>
        <v>44338734</v>
      </c>
      <c r="L27" s="131">
        <f t="shared" si="6"/>
        <v>48457963</v>
      </c>
      <c r="M27" s="131">
        <f t="shared" si="6"/>
        <v>78951312</v>
      </c>
      <c r="N27" s="131">
        <f>SUM(B27:M27)</f>
        <v>1169815178</v>
      </c>
    </row>
    <row r="28" spans="1:14" x14ac:dyDescent="0.35">
      <c r="A28" s="134" t="s">
        <v>104</v>
      </c>
      <c r="B28" s="135">
        <f>B22-B27</f>
        <v>0</v>
      </c>
      <c r="C28" s="135">
        <f t="shared" ref="C28:N28" si="7">C22-C27</f>
        <v>0</v>
      </c>
      <c r="D28" s="135">
        <f t="shared" si="7"/>
        <v>0</v>
      </c>
      <c r="E28" s="135">
        <f t="shared" si="7"/>
        <v>0</v>
      </c>
      <c r="F28" s="135">
        <f t="shared" si="7"/>
        <v>0</v>
      </c>
      <c r="G28" s="135">
        <f t="shared" si="7"/>
        <v>0</v>
      </c>
      <c r="H28" s="135">
        <f t="shared" si="7"/>
        <v>0</v>
      </c>
      <c r="I28" s="135">
        <f t="shared" si="7"/>
        <v>0</v>
      </c>
      <c r="J28" s="135">
        <f t="shared" si="7"/>
        <v>0</v>
      </c>
      <c r="K28" s="135">
        <f t="shared" si="7"/>
        <v>0</v>
      </c>
      <c r="L28" s="135">
        <f t="shared" si="7"/>
        <v>0</v>
      </c>
      <c r="M28" s="135">
        <f t="shared" si="7"/>
        <v>0</v>
      </c>
      <c r="N28" s="135">
        <f t="shared" si="7"/>
        <v>0</v>
      </c>
    </row>
    <row r="30" spans="1:14" x14ac:dyDescent="0.35">
      <c r="A30" s="390" t="s">
        <v>407</v>
      </c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64" orientation="landscape" blackAndWhite="1" r:id="rId1"/>
  <headerFooter>
    <oddFooter>&amp;L&amp;F 
&amp;A&amp;C&amp;P&amp;R&amp;D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M25"/>
  <sheetViews>
    <sheetView zoomScale="90" zoomScaleNormal="90" workbookViewId="0">
      <selection activeCell="F27" sqref="F27"/>
    </sheetView>
  </sheetViews>
  <sheetFormatPr defaultColWidth="9.1796875" defaultRowHeight="14.5" x14ac:dyDescent="0.35"/>
  <cols>
    <col min="1" max="1" width="2.81640625" style="105" customWidth="1"/>
    <col min="2" max="2" width="7.81640625" style="105" customWidth="1"/>
    <col min="3" max="3" width="27.453125" style="105" customWidth="1"/>
    <col min="4" max="4" width="17.54296875" style="105" bestFit="1" customWidth="1"/>
    <col min="5" max="5" width="17" style="105" bestFit="1" customWidth="1"/>
    <col min="6" max="6" width="16.54296875" style="105" bestFit="1" customWidth="1"/>
    <col min="7" max="7" width="15.54296875" style="105" bestFit="1" customWidth="1"/>
    <col min="8" max="8" width="15.1796875" style="105" bestFit="1" customWidth="1"/>
    <col min="9" max="9" width="14.453125" style="105" bestFit="1" customWidth="1"/>
    <col min="10" max="10" width="14.7265625" style="105" bestFit="1" customWidth="1"/>
    <col min="11" max="11" width="14.453125" style="105" bestFit="1" customWidth="1"/>
    <col min="12" max="16384" width="9.1796875" style="105"/>
  </cols>
  <sheetData>
    <row r="1" spans="2:13" x14ac:dyDescent="0.35">
      <c r="B1" s="399" t="s">
        <v>0</v>
      </c>
      <c r="C1" s="395"/>
      <c r="D1" s="395"/>
      <c r="E1" s="395"/>
      <c r="F1" s="395"/>
      <c r="G1" s="395"/>
      <c r="H1" s="395"/>
      <c r="I1" s="395"/>
      <c r="J1" s="395"/>
      <c r="K1" s="395"/>
    </row>
    <row r="2" spans="2:13" x14ac:dyDescent="0.35">
      <c r="B2" s="396" t="s">
        <v>398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2:13" x14ac:dyDescent="0.35">
      <c r="B3" s="401" t="s">
        <v>309</v>
      </c>
      <c r="C3" s="395"/>
      <c r="D3" s="395"/>
      <c r="E3" s="395"/>
      <c r="F3" s="395"/>
      <c r="G3" s="395"/>
      <c r="H3" s="395"/>
      <c r="I3" s="395"/>
      <c r="J3" s="395"/>
      <c r="K3" s="395"/>
    </row>
    <row r="5" spans="2:13" x14ac:dyDescent="0.35">
      <c r="D5" s="107"/>
      <c r="E5" s="107"/>
      <c r="F5" s="107" t="s">
        <v>120</v>
      </c>
      <c r="G5" s="107" t="s">
        <v>121</v>
      </c>
      <c r="H5" s="107"/>
      <c r="I5" s="107" t="s">
        <v>122</v>
      </c>
      <c r="J5" s="107" t="s">
        <v>123</v>
      </c>
      <c r="K5" s="107"/>
    </row>
    <row r="6" spans="2:13" x14ac:dyDescent="0.35">
      <c r="D6" s="107"/>
      <c r="E6" s="107" t="s">
        <v>139</v>
      </c>
      <c r="F6" s="107" t="s">
        <v>126</v>
      </c>
      <c r="G6" s="107" t="s">
        <v>127</v>
      </c>
      <c r="H6" s="107" t="s">
        <v>128</v>
      </c>
      <c r="I6" s="107" t="s">
        <v>129</v>
      </c>
      <c r="J6" s="107" t="s">
        <v>130</v>
      </c>
      <c r="K6" s="107"/>
    </row>
    <row r="7" spans="2:13" x14ac:dyDescent="0.35">
      <c r="B7" s="108" t="s">
        <v>145</v>
      </c>
      <c r="C7" s="108" t="s">
        <v>146</v>
      </c>
      <c r="D7" s="108" t="s">
        <v>90</v>
      </c>
      <c r="E7" s="108" t="s">
        <v>132</v>
      </c>
      <c r="F7" s="108" t="s">
        <v>133</v>
      </c>
      <c r="G7" s="108" t="s">
        <v>134</v>
      </c>
      <c r="H7" s="108" t="s">
        <v>135</v>
      </c>
      <c r="I7" s="108" t="s">
        <v>135</v>
      </c>
      <c r="J7" s="108" t="s">
        <v>135</v>
      </c>
      <c r="K7" s="108" t="s">
        <v>136</v>
      </c>
    </row>
    <row r="8" spans="2:13" x14ac:dyDescent="0.35">
      <c r="B8" s="123"/>
      <c r="C8" s="107"/>
      <c r="D8" s="107"/>
      <c r="E8" s="107"/>
      <c r="F8" s="107"/>
      <c r="G8" s="107"/>
      <c r="H8" s="107"/>
      <c r="I8" s="107"/>
      <c r="J8" s="107"/>
      <c r="K8" s="107"/>
    </row>
    <row r="9" spans="2:13" x14ac:dyDescent="0.35">
      <c r="B9" s="124">
        <v>376</v>
      </c>
      <c r="C9" s="105" t="s">
        <v>83</v>
      </c>
      <c r="D9" s="109">
        <f>SUM(E9:K9)</f>
        <v>1986075583.1600001</v>
      </c>
      <c r="E9" s="125">
        <v>1306583579.4651508</v>
      </c>
      <c r="F9" s="125">
        <v>475813834.95498216</v>
      </c>
      <c r="G9" s="125">
        <v>104680767.91777025</v>
      </c>
      <c r="H9" s="125">
        <v>50987439.999063767</v>
      </c>
      <c r="I9" s="125">
        <v>5490710.6869957671</v>
      </c>
      <c r="J9" s="125">
        <v>39886058.053444222</v>
      </c>
      <c r="K9" s="125">
        <v>2633192.0825931793</v>
      </c>
    </row>
    <row r="10" spans="2:13" x14ac:dyDescent="0.35">
      <c r="B10" s="124">
        <v>376</v>
      </c>
      <c r="C10" s="105" t="s">
        <v>150</v>
      </c>
      <c r="D10" s="109">
        <f>SUM(E10:K10)</f>
        <v>-724714305.39474654</v>
      </c>
      <c r="E10" s="125">
        <v>-476769272.66064942</v>
      </c>
      <c r="F10" s="125">
        <v>-173623348.38634926</v>
      </c>
      <c r="G10" s="125">
        <v>-38197765.811616585</v>
      </c>
      <c r="H10" s="125">
        <v>-18605196.839480493</v>
      </c>
      <c r="I10" s="125">
        <v>-2003547.4054408534</v>
      </c>
      <c r="J10" s="125">
        <v>-14554328.698379485</v>
      </c>
      <c r="K10" s="125">
        <v>-960845.59283045493</v>
      </c>
      <c r="M10" s="267" t="s">
        <v>401</v>
      </c>
    </row>
    <row r="11" spans="2:13" x14ac:dyDescent="0.35">
      <c r="B11" s="124">
        <v>376</v>
      </c>
      <c r="C11" s="105" t="s">
        <v>151</v>
      </c>
      <c r="D11" s="118">
        <f>SUM(E11:K11)</f>
        <v>1261361277.7652538</v>
      </c>
      <c r="E11" s="118">
        <f t="shared" ref="E11:K11" si="0">SUM(E9:E10)</f>
        <v>829814306.80450141</v>
      </c>
      <c r="F11" s="118">
        <f t="shared" si="0"/>
        <v>302190486.5686329</v>
      </c>
      <c r="G11" s="118">
        <f t="shared" si="0"/>
        <v>66483002.106153667</v>
      </c>
      <c r="H11" s="118">
        <f t="shared" si="0"/>
        <v>32382243.159583274</v>
      </c>
      <c r="I11" s="118">
        <f t="shared" si="0"/>
        <v>3487163.2815549136</v>
      </c>
      <c r="J11" s="118">
        <f t="shared" si="0"/>
        <v>25331729.355064735</v>
      </c>
      <c r="K11" s="118">
        <f t="shared" si="0"/>
        <v>1672346.4897627244</v>
      </c>
      <c r="M11" s="268">
        <f>SUM(D9:D10)-D11</f>
        <v>0</v>
      </c>
    </row>
    <row r="12" spans="2:13" x14ac:dyDescent="0.35">
      <c r="B12" s="124"/>
      <c r="C12" s="105" t="s">
        <v>149</v>
      </c>
      <c r="D12" s="122">
        <f>SUM(E12:K12)</f>
        <v>1</v>
      </c>
      <c r="E12" s="122">
        <f t="shared" ref="E12:K12" si="1">E11/$D11</f>
        <v>0.65787203193257882</v>
      </c>
      <c r="F12" s="122">
        <f t="shared" si="1"/>
        <v>0.23957488777840238</v>
      </c>
      <c r="G12" s="122">
        <f t="shared" si="1"/>
        <v>5.2707343469383494E-2</v>
      </c>
      <c r="H12" s="122">
        <f t="shared" si="1"/>
        <v>2.5672456995790058E-2</v>
      </c>
      <c r="I12" s="122">
        <f t="shared" si="1"/>
        <v>2.7646030863838628E-3</v>
      </c>
      <c r="J12" s="122">
        <f t="shared" si="1"/>
        <v>2.0082850014188487E-2</v>
      </c>
      <c r="K12" s="122">
        <f t="shared" si="1"/>
        <v>1.3258267232728205E-3</v>
      </c>
    </row>
    <row r="14" spans="2:13" x14ac:dyDescent="0.35">
      <c r="B14" s="124">
        <v>380</v>
      </c>
      <c r="C14" s="105" t="s">
        <v>84</v>
      </c>
      <c r="D14" s="109">
        <f>SUM(E14:K14)</f>
        <v>1176419999.9999998</v>
      </c>
      <c r="E14" s="125">
        <v>677007379.39249671</v>
      </c>
      <c r="F14" s="125">
        <v>478438171.8577565</v>
      </c>
      <c r="G14" s="125">
        <v>8499697.1560583673</v>
      </c>
      <c r="H14" s="125">
        <v>8532534.3420465346</v>
      </c>
      <c r="I14" s="125">
        <v>1344876.3507996157</v>
      </c>
      <c r="J14" s="125">
        <v>1098092.7451304488</v>
      </c>
      <c r="K14" s="125">
        <v>1499248.1557116287</v>
      </c>
    </row>
    <row r="15" spans="2:13" x14ac:dyDescent="0.35">
      <c r="B15" s="124">
        <v>380</v>
      </c>
      <c r="C15" s="105" t="s">
        <v>147</v>
      </c>
      <c r="D15" s="109">
        <f>SUM(E15:K15)</f>
        <v>-574607566.79999995</v>
      </c>
      <c r="E15" s="125">
        <v>-330675747.58875829</v>
      </c>
      <c r="F15" s="125">
        <v>-233687113.27198255</v>
      </c>
      <c r="G15" s="125">
        <v>-4151570.2736944109</v>
      </c>
      <c r="H15" s="125">
        <v>-4167609.1845776159</v>
      </c>
      <c r="I15" s="125">
        <v>-656887.95462490479</v>
      </c>
      <c r="J15" s="125">
        <v>-536349.60337306384</v>
      </c>
      <c r="K15" s="125">
        <v>-732288.92298910813</v>
      </c>
      <c r="M15" s="267" t="s">
        <v>401</v>
      </c>
    </row>
    <row r="16" spans="2:13" x14ac:dyDescent="0.35">
      <c r="B16" s="124">
        <v>380</v>
      </c>
      <c r="C16" s="105" t="s">
        <v>148</v>
      </c>
      <c r="D16" s="118">
        <f t="shared" ref="D16:D17" si="2">SUM(E16:K16)</f>
        <v>601812433.19999969</v>
      </c>
      <c r="E16" s="118">
        <f t="shared" ref="E16:K16" si="3">SUM(E14:E15)</f>
        <v>346331631.80373842</v>
      </c>
      <c r="F16" s="118">
        <f t="shared" si="3"/>
        <v>244751058.58577394</v>
      </c>
      <c r="G16" s="118">
        <f t="shared" si="3"/>
        <v>4348126.8823639564</v>
      </c>
      <c r="H16" s="118">
        <f t="shared" si="3"/>
        <v>4364925.1574689187</v>
      </c>
      <c r="I16" s="118">
        <f t="shared" si="3"/>
        <v>687988.39617471094</v>
      </c>
      <c r="J16" s="118">
        <f t="shared" si="3"/>
        <v>561743.14175738499</v>
      </c>
      <c r="K16" s="118">
        <f t="shared" si="3"/>
        <v>766959.2327225206</v>
      </c>
      <c r="M16" s="268">
        <f>SUM(D14:D15)-D16</f>
        <v>0</v>
      </c>
    </row>
    <row r="17" spans="2:11" x14ac:dyDescent="0.35">
      <c r="B17" s="124"/>
      <c r="C17" s="105" t="s">
        <v>149</v>
      </c>
      <c r="D17" s="122">
        <f t="shared" si="2"/>
        <v>1.0000000000000002</v>
      </c>
      <c r="E17" s="122">
        <f t="shared" ref="E17:K17" si="4">E16/$D16</f>
        <v>0.5754810181674036</v>
      </c>
      <c r="F17" s="122">
        <f t="shared" si="4"/>
        <v>0.40668993374624429</v>
      </c>
      <c r="G17" s="122">
        <f t="shared" si="4"/>
        <v>7.2250532599397923E-3</v>
      </c>
      <c r="H17" s="122">
        <f t="shared" si="4"/>
        <v>7.2529660682804928E-3</v>
      </c>
      <c r="I17" s="122">
        <f t="shared" si="4"/>
        <v>1.1431940555240614E-3</v>
      </c>
      <c r="J17" s="122">
        <f t="shared" si="4"/>
        <v>9.3341897037660816E-4</v>
      </c>
      <c r="K17" s="122">
        <f t="shared" si="4"/>
        <v>1.2744157322313709E-3</v>
      </c>
    </row>
    <row r="18" spans="2:11" x14ac:dyDescent="0.35">
      <c r="B18" s="124"/>
      <c r="E18" s="261"/>
      <c r="F18" s="261"/>
      <c r="G18" s="261"/>
      <c r="H18" s="261"/>
      <c r="I18" s="261"/>
      <c r="J18" s="261"/>
      <c r="K18" s="261"/>
    </row>
    <row r="19" spans="2:11" x14ac:dyDescent="0.35">
      <c r="B19" s="124">
        <v>874</v>
      </c>
      <c r="C19" s="202" t="s">
        <v>310</v>
      </c>
      <c r="D19" s="109">
        <f>SUM(E19:K19)</f>
        <v>18158259.387260605</v>
      </c>
      <c r="E19" s="182">
        <v>11389283.621756714</v>
      </c>
      <c r="F19" s="182">
        <v>5479076.5725610275</v>
      </c>
      <c r="G19" s="182">
        <v>649853.94867423992</v>
      </c>
      <c r="H19" s="182">
        <v>341748.81968658749</v>
      </c>
      <c r="I19" s="182">
        <v>39248.232679730892</v>
      </c>
      <c r="J19" s="182">
        <v>235320.75267707065</v>
      </c>
      <c r="K19" s="182">
        <v>23727.439225231425</v>
      </c>
    </row>
    <row r="20" spans="2:11" x14ac:dyDescent="0.35">
      <c r="C20" s="202" t="s">
        <v>149</v>
      </c>
      <c r="D20" s="122">
        <f>SUM(E20:K20)</f>
        <v>0.99999999999999967</v>
      </c>
      <c r="E20" s="122">
        <f>E19/$D19</f>
        <v>0.62722331358187111</v>
      </c>
      <c r="F20" s="122">
        <f t="shared" ref="F20:K20" si="5">F19/$D19</f>
        <v>0.30174018641924538</v>
      </c>
      <c r="G20" s="122">
        <f t="shared" si="5"/>
        <v>3.5788339334449741E-2</v>
      </c>
      <c r="H20" s="122">
        <f t="shared" si="5"/>
        <v>1.8820571531561567E-2</v>
      </c>
      <c r="I20" s="122">
        <f t="shared" si="5"/>
        <v>2.1614534654828483E-3</v>
      </c>
      <c r="J20" s="122">
        <f t="shared" si="5"/>
        <v>1.2959433371800272E-2</v>
      </c>
      <c r="K20" s="122">
        <f t="shared" si="5"/>
        <v>1.3067022955888614E-3</v>
      </c>
    </row>
    <row r="22" spans="2:11" x14ac:dyDescent="0.35">
      <c r="B22" s="124">
        <v>878</v>
      </c>
      <c r="C22" s="105" t="s">
        <v>311</v>
      </c>
      <c r="D22" s="109">
        <f>SUM(E22:K22)</f>
        <v>2973291.5607245164</v>
      </c>
      <c r="E22" s="182">
        <v>2354360.0167112835</v>
      </c>
      <c r="F22" s="182">
        <v>606772.57417975529</v>
      </c>
      <c r="G22" s="182">
        <v>12028.212115445152</v>
      </c>
      <c r="H22" s="182">
        <v>68.268365354355169</v>
      </c>
      <c r="I22" s="182">
        <v>39.733230892989994</v>
      </c>
      <c r="J22" s="182">
        <v>0</v>
      </c>
      <c r="K22" s="182">
        <v>22.756121784785059</v>
      </c>
    </row>
    <row r="23" spans="2:11" x14ac:dyDescent="0.35">
      <c r="D23" s="122">
        <f>SUM(E23:K23)</f>
        <v>0.99999999999999978</v>
      </c>
      <c r="E23" s="122">
        <f>E22/$D22</f>
        <v>0.79183624230164129</v>
      </c>
      <c r="F23" s="122">
        <f t="shared" ref="F23:K23" si="6">F22/$D22</f>
        <v>0.20407436061598347</v>
      </c>
      <c r="G23" s="122">
        <f t="shared" si="6"/>
        <v>4.0454196535351476E-3</v>
      </c>
      <c r="H23" s="122">
        <f t="shared" si="6"/>
        <v>2.2960535137603488E-5</v>
      </c>
      <c r="I23" s="122">
        <f t="shared" si="6"/>
        <v>1.3363381989793159E-5</v>
      </c>
      <c r="J23" s="122">
        <f t="shared" si="6"/>
        <v>0</v>
      </c>
      <c r="K23" s="122">
        <f t="shared" si="6"/>
        <v>7.6535117125344954E-6</v>
      </c>
    </row>
    <row r="25" spans="2:11" x14ac:dyDescent="0.35">
      <c r="B25" s="391" t="s">
        <v>408</v>
      </c>
    </row>
  </sheetData>
  <mergeCells count="3">
    <mergeCell ref="B1:K1"/>
    <mergeCell ref="B3:K3"/>
    <mergeCell ref="B2:L2"/>
  </mergeCells>
  <printOptions horizontalCentered="1"/>
  <pageMargins left="0.7" right="0.7" top="0.75" bottom="0.75" header="0.3" footer="0.3"/>
  <pageSetup scale="77" orientation="landscape" blackAndWhite="1" horizontalDpi="300" verticalDpi="300" r:id="rId1"/>
  <headerFooter>
    <oddFooter>&amp;L&amp;F
&amp;A&amp;C&amp;P&amp;R&amp;D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V69"/>
  <sheetViews>
    <sheetView zoomScale="70" zoomScaleNormal="70" workbookViewId="0">
      <pane xSplit="4" ySplit="26" topLeftCell="E29" activePane="bottomRight" state="frozen"/>
      <selection activeCell="B2" sqref="B2:L2"/>
      <selection pane="topRight" activeCell="B2" sqref="B2:L2"/>
      <selection pane="bottomLeft" activeCell="B2" sqref="B2:L2"/>
      <selection pane="bottomRight" activeCell="E29" sqref="E29"/>
    </sheetView>
  </sheetViews>
  <sheetFormatPr defaultColWidth="10.36328125" defaultRowHeight="14.5" outlineLevelRow="1" outlineLevelCol="1" x14ac:dyDescent="0.25"/>
  <cols>
    <col min="1" max="1" width="5.6328125" style="57" customWidth="1"/>
    <col min="2" max="2" width="7.453125" style="57" customWidth="1"/>
    <col min="3" max="3" width="26.453125" style="57" customWidth="1"/>
    <col min="4" max="4" width="15.54296875" style="26" customWidth="1"/>
    <col min="5" max="5" width="13.54296875" style="79" customWidth="1"/>
    <col min="6" max="6" width="13.453125" style="79" customWidth="1"/>
    <col min="7" max="7" width="14.54296875" style="79" bestFit="1" customWidth="1"/>
    <col min="8" max="8" width="12.54296875" style="79" customWidth="1"/>
    <col min="9" max="25" width="12.90625" style="79" bestFit="1" customWidth="1"/>
    <col min="26" max="38" width="12.36328125" style="79" bestFit="1" customWidth="1"/>
    <col min="39" max="39" width="17" style="79" customWidth="1" outlineLevel="1"/>
    <col min="40" max="40" width="13" style="79" customWidth="1" outlineLevel="1"/>
    <col min="41" max="41" width="14.36328125" style="79" customWidth="1" outlineLevel="1"/>
    <col min="42" max="42" width="12.6328125" style="26" bestFit="1" customWidth="1"/>
    <col min="43" max="43" width="12.36328125" style="26" customWidth="1"/>
    <col min="44" max="45" width="14" style="26" customWidth="1"/>
    <col min="46" max="46" width="14.36328125" style="26" bestFit="1" customWidth="1"/>
    <col min="47" max="47" width="16.54296875" style="26" customWidth="1"/>
    <col min="48" max="48" width="15" style="26" bestFit="1" customWidth="1"/>
    <col min="49" max="16384" width="10.36328125" style="26"/>
  </cols>
  <sheetData>
    <row r="1" spans="1:41" ht="17.25" customHeight="1" x14ac:dyDescent="0.35">
      <c r="A1" s="24" t="s">
        <v>0</v>
      </c>
      <c r="B1" s="25"/>
      <c r="C1" s="25"/>
      <c r="E1" s="402"/>
      <c r="F1" s="402"/>
      <c r="G1" s="26"/>
      <c r="H1" s="27"/>
      <c r="I1" s="28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1" ht="12.75" customHeight="1" x14ac:dyDescent="0.35">
      <c r="A2" s="29" t="s">
        <v>1</v>
      </c>
      <c r="B2" s="25"/>
      <c r="C2" s="25"/>
      <c r="E2" s="26"/>
      <c r="F2" s="28"/>
      <c r="G2" s="28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1" x14ac:dyDescent="0.35">
      <c r="A3" s="29" t="s">
        <v>2</v>
      </c>
      <c r="B3" s="25"/>
      <c r="C3" s="283" t="s">
        <v>316</v>
      </c>
      <c r="D3" s="288" t="s">
        <v>3</v>
      </c>
      <c r="E3" s="26"/>
      <c r="F3" s="28"/>
      <c r="G3" s="28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ht="7.5" customHeight="1" thickBot="1" x14ac:dyDescent="0.3">
      <c r="A4" s="25"/>
      <c r="B4" s="25"/>
      <c r="C4" s="25"/>
      <c r="E4" s="26"/>
      <c r="F4" s="28"/>
      <c r="G4" s="28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x14ac:dyDescent="0.25">
      <c r="A5" s="30" t="s">
        <v>4</v>
      </c>
      <c r="B5" s="31"/>
      <c r="C5" s="31"/>
      <c r="D5" s="222" t="s">
        <v>371</v>
      </c>
      <c r="E5" s="32"/>
      <c r="F5" s="33"/>
      <c r="G5" s="34"/>
      <c r="H5" s="26"/>
      <c r="I5" s="26"/>
      <c r="J5" s="26"/>
      <c r="K5" s="26"/>
      <c r="L5" s="26"/>
      <c r="M5" s="26"/>
      <c r="N5" s="45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:41" x14ac:dyDescent="0.25">
      <c r="A6" s="35"/>
      <c r="B6" s="36"/>
      <c r="C6" s="36"/>
      <c r="D6" s="172" t="s">
        <v>290</v>
      </c>
      <c r="E6" s="172"/>
      <c r="F6" s="173"/>
      <c r="G6" s="34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41" x14ac:dyDescent="0.25">
      <c r="A7" s="35"/>
      <c r="B7" s="36"/>
      <c r="C7" s="36"/>
      <c r="D7" s="39"/>
      <c r="E7" s="39"/>
      <c r="F7" s="40" t="s">
        <v>5</v>
      </c>
      <c r="G7" s="41"/>
      <c r="H7" s="26"/>
      <c r="I7" s="26"/>
      <c r="J7" s="26"/>
      <c r="K7" s="26"/>
      <c r="L7" s="26"/>
      <c r="M7" s="174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x14ac:dyDescent="0.25">
      <c r="A8" s="35" t="s">
        <v>6</v>
      </c>
      <c r="B8" s="36"/>
      <c r="C8" s="36"/>
      <c r="D8" s="42" t="s">
        <v>7</v>
      </c>
      <c r="E8" s="42" t="s">
        <v>8</v>
      </c>
      <c r="F8" s="43" t="s">
        <v>8</v>
      </c>
      <c r="G8" s="41"/>
      <c r="H8" s="26"/>
      <c r="I8" s="26"/>
      <c r="J8" s="26"/>
      <c r="K8" s="26"/>
      <c r="L8" s="26"/>
      <c r="M8" s="164"/>
      <c r="N8" s="4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</row>
    <row r="9" spans="1:41" x14ac:dyDescent="0.25">
      <c r="A9" s="35"/>
      <c r="B9" s="36"/>
      <c r="C9" s="36"/>
      <c r="D9" s="37"/>
      <c r="E9" s="37"/>
      <c r="F9" s="44"/>
      <c r="G9" s="37"/>
      <c r="H9" s="26"/>
      <c r="I9" s="26"/>
      <c r="J9" s="26"/>
      <c r="K9" s="26"/>
      <c r="L9" s="26"/>
      <c r="M9" s="164"/>
      <c r="N9" s="45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</row>
    <row r="10" spans="1:41" x14ac:dyDescent="0.25">
      <c r="A10" s="35"/>
      <c r="B10" s="36"/>
      <c r="C10" s="36"/>
      <c r="D10" s="46"/>
      <c r="E10" s="46"/>
      <c r="F10" s="47"/>
      <c r="G10" s="45"/>
      <c r="H10" s="26"/>
      <c r="I10" s="26"/>
      <c r="J10" s="26"/>
      <c r="K10" s="26"/>
      <c r="L10" s="26"/>
      <c r="M10" s="164"/>
      <c r="N10" s="4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41" x14ac:dyDescent="0.25">
      <c r="A11" s="35" t="s">
        <v>178</v>
      </c>
      <c r="B11" s="36"/>
      <c r="C11" s="36"/>
      <c r="D11" s="46">
        <f>'2019 GRC'!C12</f>
        <v>0.51500000000000001</v>
      </c>
      <c r="E11" s="46">
        <f>'2019 GRC'!D12</f>
        <v>5.4951456310679617E-2</v>
      </c>
      <c r="F11" s="47">
        <f>'2019 GRC'!E12</f>
        <v>2.8299999999999999E-2</v>
      </c>
      <c r="G11" s="45"/>
      <c r="H11" s="26"/>
      <c r="I11" s="26"/>
      <c r="J11" s="26"/>
      <c r="K11" s="26"/>
      <c r="L11" s="26"/>
      <c r="M11" s="164"/>
      <c r="N11" s="4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41" x14ac:dyDescent="0.25">
      <c r="A12" s="35" t="s">
        <v>9</v>
      </c>
      <c r="B12" s="36"/>
      <c r="C12" s="36"/>
      <c r="D12" s="48">
        <f>'2019 GRC'!C13</f>
        <v>0.48499999999999999</v>
      </c>
      <c r="E12" s="48">
        <f>'2019 GRC'!D13</f>
        <v>9.4E-2</v>
      </c>
      <c r="F12" s="49">
        <f>'2019 GRC'!E13</f>
        <v>4.5600000000000002E-2</v>
      </c>
      <c r="G12" s="45"/>
      <c r="H12" s="26"/>
      <c r="I12" s="26"/>
      <c r="J12" s="26"/>
      <c r="K12" s="26"/>
      <c r="L12" s="26"/>
      <c r="M12" s="164"/>
      <c r="N12" s="4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</row>
    <row r="13" spans="1:41" ht="15" thickBot="1" x14ac:dyDescent="0.3">
      <c r="A13" s="35" t="s">
        <v>10</v>
      </c>
      <c r="B13" s="36"/>
      <c r="C13" s="36"/>
      <c r="D13" s="50">
        <f>D10+D11+D12</f>
        <v>1</v>
      </c>
      <c r="E13" s="51"/>
      <c r="F13" s="223">
        <f>F10+F11+F12</f>
        <v>7.3899999999999993E-2</v>
      </c>
      <c r="G13" s="51"/>
      <c r="H13" s="26"/>
      <c r="I13" s="26"/>
      <c r="J13" s="26"/>
      <c r="K13" s="26"/>
      <c r="L13" s="26"/>
      <c r="M13" s="164"/>
      <c r="N13" s="45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ht="15" thickTop="1" x14ac:dyDescent="0.25">
      <c r="A14" s="35"/>
      <c r="B14" s="36"/>
      <c r="C14" s="36"/>
      <c r="D14" s="37"/>
      <c r="E14" s="37"/>
      <c r="F14" s="44"/>
      <c r="G14" s="37"/>
      <c r="H14" s="26"/>
      <c r="I14" s="26"/>
      <c r="J14" s="26"/>
      <c r="K14" s="26"/>
      <c r="L14" s="26"/>
      <c r="M14" s="164"/>
      <c r="N14" s="45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x14ac:dyDescent="0.25">
      <c r="A15" s="35" t="s">
        <v>11</v>
      </c>
      <c r="B15" s="36"/>
      <c r="C15" s="36"/>
      <c r="D15" s="37"/>
      <c r="E15" s="37"/>
      <c r="F15" s="47">
        <f>'2019 GRC'!I19</f>
        <v>0.21</v>
      </c>
      <c r="G15" s="51"/>
      <c r="H15" s="26"/>
      <c r="I15" s="26"/>
      <c r="J15" s="26"/>
      <c r="K15" s="26"/>
      <c r="L15" s="26"/>
      <c r="M15" s="164"/>
      <c r="N15" s="45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x14ac:dyDescent="0.25">
      <c r="A16" s="35" t="s">
        <v>12</v>
      </c>
      <c r="B16" s="36"/>
      <c r="C16" s="36"/>
      <c r="D16" s="37"/>
      <c r="E16" s="37"/>
      <c r="F16" s="47">
        <f>'2019 GRC'!J16</f>
        <v>4.5447000000000001E-2</v>
      </c>
      <c r="G16" s="51"/>
      <c r="H16" s="26"/>
      <c r="I16" s="26"/>
      <c r="J16" s="26"/>
      <c r="K16" s="26"/>
      <c r="L16" s="26"/>
      <c r="M16" s="164"/>
      <c r="N16" s="4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8" x14ac:dyDescent="0.25">
      <c r="A17" s="35" t="s">
        <v>13</v>
      </c>
      <c r="B17" s="36"/>
      <c r="C17" s="36"/>
      <c r="D17" s="37"/>
      <c r="E17" s="37"/>
      <c r="F17" s="47">
        <f>'2020 C&amp;OM'!G7</f>
        <v>2.5031624297803957E-2</v>
      </c>
      <c r="H17" s="26"/>
      <c r="I17" s="26"/>
      <c r="J17" s="26"/>
      <c r="K17" s="26"/>
      <c r="L17" s="26"/>
      <c r="M17" s="164"/>
      <c r="N17" s="4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</row>
    <row r="18" spans="1:48" x14ac:dyDescent="0.25">
      <c r="A18" s="35" t="s">
        <v>14</v>
      </c>
      <c r="B18" s="36"/>
      <c r="C18" s="36"/>
      <c r="D18" s="37"/>
      <c r="E18" s="37"/>
      <c r="F18" s="53">
        <v>2</v>
      </c>
      <c r="G18" s="28"/>
      <c r="H18" s="26"/>
      <c r="I18" s="26"/>
      <c r="J18" s="26"/>
      <c r="K18" s="26"/>
      <c r="L18" s="26"/>
      <c r="M18" s="164"/>
      <c r="N18" s="4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</row>
    <row r="19" spans="1:48" x14ac:dyDescent="0.25">
      <c r="A19" s="35"/>
      <c r="B19" s="36"/>
      <c r="C19" s="36"/>
      <c r="D19" s="37"/>
      <c r="E19" s="37"/>
      <c r="F19" s="38"/>
      <c r="G19" s="28"/>
      <c r="H19" s="26"/>
      <c r="I19" s="26"/>
      <c r="J19" s="26"/>
      <c r="K19" s="26"/>
      <c r="L19" s="26"/>
      <c r="M19" s="164"/>
      <c r="N19" s="4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</row>
    <row r="20" spans="1:48" x14ac:dyDescent="0.25">
      <c r="A20" s="35" t="s">
        <v>15</v>
      </c>
      <c r="B20" s="36"/>
      <c r="C20" s="36"/>
      <c r="D20" s="37"/>
      <c r="E20" s="37"/>
      <c r="F20" s="38"/>
      <c r="G20" s="28"/>
      <c r="H20" s="26"/>
      <c r="I20" s="26"/>
      <c r="J20" s="26"/>
      <c r="K20" s="26"/>
      <c r="L20" s="26"/>
      <c r="N20" s="17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</row>
    <row r="21" spans="1:48" x14ac:dyDescent="0.25">
      <c r="A21" s="35" t="s">
        <v>16</v>
      </c>
      <c r="B21" s="36"/>
      <c r="C21" s="36"/>
      <c r="D21" s="37"/>
      <c r="E21" s="37"/>
      <c r="F21" s="3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spans="1:48" ht="15" thickBot="1" x14ac:dyDescent="0.3">
      <c r="A22" s="54" t="s">
        <v>17</v>
      </c>
      <c r="B22" s="55"/>
      <c r="C22" s="55"/>
      <c r="D22" s="55"/>
      <c r="E22" s="56"/>
      <c r="F22" s="80">
        <f>'2020 C&amp;OM'!F6</f>
        <v>50736637.950000018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</row>
    <row r="23" spans="1:48" ht="6" customHeight="1" x14ac:dyDescent="0.25"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</row>
    <row r="24" spans="1:48" ht="6" customHeight="1" x14ac:dyDescent="0.25">
      <c r="B24" s="26"/>
      <c r="C24" s="26"/>
      <c r="D24" s="164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</row>
    <row r="25" spans="1:48" x14ac:dyDescent="0.25">
      <c r="A25" s="25"/>
      <c r="B25" s="25"/>
      <c r="C25" s="25"/>
      <c r="D25" s="288"/>
      <c r="E25" s="59" t="s">
        <v>18</v>
      </c>
      <c r="F25" s="153" t="s">
        <v>19</v>
      </c>
      <c r="G25" s="60" t="s">
        <v>20</v>
      </c>
      <c r="H25" s="60" t="s">
        <v>21</v>
      </c>
      <c r="I25" s="60" t="s">
        <v>22</v>
      </c>
      <c r="J25" s="60" t="s">
        <v>23</v>
      </c>
      <c r="K25" s="60" t="s">
        <v>24</v>
      </c>
      <c r="L25" s="60" t="s">
        <v>25</v>
      </c>
      <c r="M25" s="60" t="s">
        <v>26</v>
      </c>
      <c r="N25" s="60" t="s">
        <v>27</v>
      </c>
      <c r="O25" s="60" t="s">
        <v>28</v>
      </c>
      <c r="P25" s="60" t="s">
        <v>29</v>
      </c>
      <c r="Q25" s="60" t="s">
        <v>30</v>
      </c>
      <c r="R25" s="60" t="s">
        <v>31</v>
      </c>
      <c r="S25" s="60" t="s">
        <v>32</v>
      </c>
      <c r="T25" s="60" t="s">
        <v>33</v>
      </c>
      <c r="U25" s="60" t="s">
        <v>34</v>
      </c>
      <c r="V25" s="60" t="s">
        <v>35</v>
      </c>
      <c r="W25" s="60" t="s">
        <v>36</v>
      </c>
      <c r="X25" s="60" t="s">
        <v>37</v>
      </c>
      <c r="Y25" s="60" t="s">
        <v>38</v>
      </c>
      <c r="Z25" s="60" t="s">
        <v>39</v>
      </c>
      <c r="AA25" s="60" t="s">
        <v>40</v>
      </c>
      <c r="AB25" s="60" t="s">
        <v>41</v>
      </c>
      <c r="AC25" s="60" t="s">
        <v>42</v>
      </c>
      <c r="AD25" s="60" t="s">
        <v>43</v>
      </c>
      <c r="AE25" s="60" t="s">
        <v>44</v>
      </c>
      <c r="AF25" s="60" t="s">
        <v>45</v>
      </c>
      <c r="AG25" s="60" t="s">
        <v>46</v>
      </c>
      <c r="AH25" s="60" t="s">
        <v>47</v>
      </c>
      <c r="AI25" s="60" t="s">
        <v>48</v>
      </c>
      <c r="AJ25" s="60" t="s">
        <v>49</v>
      </c>
      <c r="AK25" s="60" t="s">
        <v>50</v>
      </c>
      <c r="AL25" s="60" t="s">
        <v>51</v>
      </c>
      <c r="AM25" s="60" t="s">
        <v>52</v>
      </c>
      <c r="AN25" s="60" t="s">
        <v>74</v>
      </c>
      <c r="AO25" s="60" t="s">
        <v>75</v>
      </c>
      <c r="AP25" s="60" t="s">
        <v>179</v>
      </c>
      <c r="AQ25" s="60" t="s">
        <v>180</v>
      </c>
      <c r="AR25" s="60" t="s">
        <v>181</v>
      </c>
      <c r="AS25" s="26" t="s">
        <v>182</v>
      </c>
    </row>
    <row r="26" spans="1:48" x14ac:dyDescent="0.25">
      <c r="A26" s="25"/>
      <c r="B26" s="25"/>
      <c r="C26" s="25"/>
      <c r="D26" s="288"/>
      <c r="E26" s="137">
        <v>2020</v>
      </c>
      <c r="F26" s="137">
        <v>2021</v>
      </c>
      <c r="G26" s="137">
        <v>2022</v>
      </c>
      <c r="H26" s="137">
        <v>2023</v>
      </c>
      <c r="I26" s="137">
        <v>2024</v>
      </c>
      <c r="J26" s="137">
        <v>2025</v>
      </c>
      <c r="K26" s="137">
        <v>2026</v>
      </c>
      <c r="L26" s="137">
        <v>2027</v>
      </c>
      <c r="M26" s="137">
        <v>2028</v>
      </c>
      <c r="N26" s="137">
        <v>2029</v>
      </c>
      <c r="O26" s="137">
        <v>2030</v>
      </c>
      <c r="P26" s="137">
        <v>2031</v>
      </c>
      <c r="Q26" s="137">
        <v>2032</v>
      </c>
      <c r="R26" s="137">
        <v>2033</v>
      </c>
      <c r="S26" s="137">
        <v>2034</v>
      </c>
      <c r="T26" s="137">
        <v>2035</v>
      </c>
      <c r="U26" s="137">
        <v>2036</v>
      </c>
      <c r="V26" s="137">
        <v>2037</v>
      </c>
      <c r="W26" s="137">
        <v>2038</v>
      </c>
      <c r="X26" s="137">
        <v>2039</v>
      </c>
      <c r="Y26" s="137">
        <v>2040</v>
      </c>
      <c r="Z26" s="137">
        <v>2041</v>
      </c>
      <c r="AA26" s="137">
        <v>2042</v>
      </c>
      <c r="AB26" s="137">
        <v>2043</v>
      </c>
      <c r="AC26" s="137">
        <v>2044</v>
      </c>
      <c r="AD26" s="137">
        <v>2045</v>
      </c>
      <c r="AE26" s="137">
        <v>2046</v>
      </c>
      <c r="AF26" s="137">
        <v>2047</v>
      </c>
      <c r="AG26" s="137">
        <v>2048</v>
      </c>
      <c r="AH26" s="137">
        <v>2049</v>
      </c>
      <c r="AI26" s="137">
        <v>2050</v>
      </c>
      <c r="AJ26" s="137">
        <v>2051</v>
      </c>
      <c r="AK26" s="137">
        <v>2052</v>
      </c>
      <c r="AL26" s="137">
        <v>2053</v>
      </c>
      <c r="AM26" s="137">
        <v>2054</v>
      </c>
      <c r="AN26" s="137">
        <v>2055</v>
      </c>
      <c r="AO26" s="137">
        <v>2056</v>
      </c>
      <c r="AP26" s="137">
        <v>2057</v>
      </c>
      <c r="AQ26" s="137">
        <v>2058</v>
      </c>
      <c r="AR26" s="137">
        <v>2059</v>
      </c>
      <c r="AS26" s="137">
        <v>2060</v>
      </c>
    </row>
    <row r="27" spans="1:48" x14ac:dyDescent="0.25">
      <c r="A27" s="283">
        <v>1</v>
      </c>
      <c r="B27" s="203" t="s">
        <v>317</v>
      </c>
      <c r="C27" s="203"/>
      <c r="D27" s="289"/>
      <c r="E27" s="204">
        <f>$F22*$F17</f>
        <v>1270020.4592981029</v>
      </c>
      <c r="F27" s="160">
        <f>$F22*$F17</f>
        <v>1270020.4592981029</v>
      </c>
      <c r="G27" s="160">
        <f t="shared" ref="G27:AR27" si="0">$F22*$F17</f>
        <v>1270020.4592981029</v>
      </c>
      <c r="H27" s="160">
        <f t="shared" si="0"/>
        <v>1270020.4592981029</v>
      </c>
      <c r="I27" s="160">
        <f t="shared" si="0"/>
        <v>1270020.4592981029</v>
      </c>
      <c r="J27" s="160">
        <f t="shared" si="0"/>
        <v>1270020.4592981029</v>
      </c>
      <c r="K27" s="160">
        <f t="shared" si="0"/>
        <v>1270020.4592981029</v>
      </c>
      <c r="L27" s="160">
        <f t="shared" si="0"/>
        <v>1270020.4592981029</v>
      </c>
      <c r="M27" s="160">
        <f t="shared" si="0"/>
        <v>1270020.4592981029</v>
      </c>
      <c r="N27" s="160">
        <f t="shared" si="0"/>
        <v>1270020.4592981029</v>
      </c>
      <c r="O27" s="160">
        <f t="shared" si="0"/>
        <v>1270020.4592981029</v>
      </c>
      <c r="P27" s="160">
        <f t="shared" si="0"/>
        <v>1270020.4592981029</v>
      </c>
      <c r="Q27" s="160">
        <f t="shared" si="0"/>
        <v>1270020.4592981029</v>
      </c>
      <c r="R27" s="160">
        <f t="shared" si="0"/>
        <v>1270020.4592981029</v>
      </c>
      <c r="S27" s="160">
        <f t="shared" si="0"/>
        <v>1270020.4592981029</v>
      </c>
      <c r="T27" s="160">
        <f t="shared" si="0"/>
        <v>1270020.4592981029</v>
      </c>
      <c r="U27" s="160">
        <f t="shared" si="0"/>
        <v>1270020.4592981029</v>
      </c>
      <c r="V27" s="160">
        <f t="shared" si="0"/>
        <v>1270020.4592981029</v>
      </c>
      <c r="W27" s="160">
        <f t="shared" si="0"/>
        <v>1270020.4592981029</v>
      </c>
      <c r="X27" s="160">
        <f t="shared" si="0"/>
        <v>1270020.4592981029</v>
      </c>
      <c r="Y27" s="160">
        <f t="shared" si="0"/>
        <v>1270020.4592981029</v>
      </c>
      <c r="Z27" s="160">
        <f t="shared" si="0"/>
        <v>1270020.4592981029</v>
      </c>
      <c r="AA27" s="160">
        <f t="shared" si="0"/>
        <v>1270020.4592981029</v>
      </c>
      <c r="AB27" s="160">
        <f t="shared" si="0"/>
        <v>1270020.4592981029</v>
      </c>
      <c r="AC27" s="160">
        <f t="shared" si="0"/>
        <v>1270020.4592981029</v>
      </c>
      <c r="AD27" s="160">
        <f t="shared" si="0"/>
        <v>1270020.4592981029</v>
      </c>
      <c r="AE27" s="160">
        <f t="shared" si="0"/>
        <v>1270020.4592981029</v>
      </c>
      <c r="AF27" s="160">
        <f t="shared" si="0"/>
        <v>1270020.4592981029</v>
      </c>
      <c r="AG27" s="160">
        <f t="shared" si="0"/>
        <v>1270020.4592981029</v>
      </c>
      <c r="AH27" s="160">
        <f t="shared" si="0"/>
        <v>1270020.4592981029</v>
      </c>
      <c r="AI27" s="160">
        <f t="shared" si="0"/>
        <v>1270020.4592981029</v>
      </c>
      <c r="AJ27" s="160">
        <f t="shared" si="0"/>
        <v>1270020.4592981029</v>
      </c>
      <c r="AK27" s="160">
        <f t="shared" si="0"/>
        <v>1270020.4592981029</v>
      </c>
      <c r="AL27" s="160">
        <f t="shared" si="0"/>
        <v>1270020.4592981029</v>
      </c>
      <c r="AM27" s="160">
        <f t="shared" si="0"/>
        <v>1270020.4592981029</v>
      </c>
      <c r="AN27" s="160">
        <f t="shared" si="0"/>
        <v>1270020.4592981029</v>
      </c>
      <c r="AO27" s="160">
        <f t="shared" si="0"/>
        <v>1270020.4592981029</v>
      </c>
      <c r="AP27" s="160">
        <f t="shared" si="0"/>
        <v>1270020.4592981029</v>
      </c>
      <c r="AQ27" s="160">
        <f t="shared" si="0"/>
        <v>1270020.4592981029</v>
      </c>
      <c r="AR27" s="160">
        <f t="shared" si="0"/>
        <v>1270020.4592981029</v>
      </c>
      <c r="AS27" s="160">
        <f>'CRM CAP Forecast'!G24</f>
        <v>0</v>
      </c>
      <c r="AT27" s="160"/>
      <c r="AU27" s="163">
        <f>SUM(D27:AT27)</f>
        <v>50800818.37192414</v>
      </c>
      <c r="AV27" s="45">
        <f>F22</f>
        <v>50736637.950000018</v>
      </c>
    </row>
    <row r="28" spans="1:48" x14ac:dyDescent="0.25">
      <c r="A28" s="25"/>
      <c r="B28" s="205"/>
      <c r="C28" s="205"/>
      <c r="D28" s="289"/>
      <c r="E28" s="204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62"/>
      <c r="AN28" s="160"/>
      <c r="AO28" s="160"/>
      <c r="AP28" s="290"/>
    </row>
    <row r="29" spans="1:48" x14ac:dyDescent="0.25">
      <c r="A29" s="283">
        <f>A27+1</f>
        <v>2</v>
      </c>
      <c r="B29" s="25" t="s">
        <v>54</v>
      </c>
      <c r="C29" s="203"/>
      <c r="D29" s="289"/>
      <c r="E29" s="204">
        <f>E53</f>
        <v>606502.67964464822</v>
      </c>
      <c r="F29" s="160">
        <f t="shared" ref="F29:AT29" si="1">F53</f>
        <v>587257.67300401558</v>
      </c>
      <c r="G29" s="160">
        <f t="shared" si="1"/>
        <v>566122.54037701723</v>
      </c>
      <c r="H29" s="160">
        <f t="shared" si="1"/>
        <v>545660.28485210065</v>
      </c>
      <c r="I29" s="160">
        <f t="shared" si="1"/>
        <v>525820.537509916</v>
      </c>
      <c r="J29" s="160">
        <f t="shared" si="1"/>
        <v>506556.80396337132</v>
      </c>
      <c r="K29" s="160">
        <f t="shared" si="1"/>
        <v>487825.81860225601</v>
      </c>
      <c r="L29" s="160">
        <f t="shared" si="1"/>
        <v>469587.54459324101</v>
      </c>
      <c r="M29" s="160">
        <f t="shared" si="1"/>
        <v>451624.36237452034</v>
      </c>
      <c r="N29" s="160">
        <f t="shared" si="1"/>
        <v>433700.57123375265</v>
      </c>
      <c r="O29" s="160">
        <f t="shared" si="1"/>
        <v>415776.78009298496</v>
      </c>
      <c r="P29" s="160">
        <f t="shared" si="1"/>
        <v>397852.98895221739</v>
      </c>
      <c r="Q29" s="160">
        <f t="shared" si="1"/>
        <v>379929.19781144965</v>
      </c>
      <c r="R29" s="160">
        <f t="shared" si="1"/>
        <v>362005.4066706819</v>
      </c>
      <c r="S29" s="160">
        <f t="shared" si="1"/>
        <v>344081.61552991427</v>
      </c>
      <c r="T29" s="160">
        <f t="shared" si="1"/>
        <v>326157.82438914658</v>
      </c>
      <c r="U29" s="160">
        <f t="shared" si="1"/>
        <v>308234.0332483789</v>
      </c>
      <c r="V29" s="160">
        <f t="shared" si="1"/>
        <v>290310.24210761121</v>
      </c>
      <c r="W29" s="160">
        <f t="shared" si="1"/>
        <v>272386.45096684346</v>
      </c>
      <c r="X29" s="160">
        <f t="shared" si="1"/>
        <v>254462.6598260758</v>
      </c>
      <c r="Y29" s="160">
        <f t="shared" si="1"/>
        <v>237979.54892978442</v>
      </c>
      <c r="Z29" s="160">
        <f t="shared" si="1"/>
        <v>224377.15276706949</v>
      </c>
      <c r="AA29" s="160">
        <f t="shared" si="1"/>
        <v>212215.43684883081</v>
      </c>
      <c r="AB29" s="160">
        <f t="shared" si="1"/>
        <v>200053.72093059216</v>
      </c>
      <c r="AC29" s="160">
        <f t="shared" si="1"/>
        <v>187892.00501235353</v>
      </c>
      <c r="AD29" s="160">
        <f t="shared" si="1"/>
        <v>175730.28909411485</v>
      </c>
      <c r="AE29" s="160">
        <f t="shared" si="1"/>
        <v>163568.57317587626</v>
      </c>
      <c r="AF29" s="160">
        <f t="shared" si="1"/>
        <v>151406.85725763757</v>
      </c>
      <c r="AG29" s="160">
        <f t="shared" si="1"/>
        <v>139245.14133939895</v>
      </c>
      <c r="AH29" s="160">
        <f t="shared" si="1"/>
        <v>127083.4254211603</v>
      </c>
      <c r="AI29" s="160">
        <f t="shared" si="1"/>
        <v>114921.70950292167</v>
      </c>
      <c r="AJ29" s="160">
        <f t="shared" si="1"/>
        <v>102759.993584683</v>
      </c>
      <c r="AK29" s="160">
        <f t="shared" si="1"/>
        <v>90598.277666444352</v>
      </c>
      <c r="AL29" s="160">
        <f t="shared" si="1"/>
        <v>78436.561748205699</v>
      </c>
      <c r="AM29" s="160">
        <f t="shared" si="1"/>
        <v>66274.84582996706</v>
      </c>
      <c r="AN29" s="160">
        <f t="shared" si="1"/>
        <v>54113.129911728407</v>
      </c>
      <c r="AO29" s="160">
        <f t="shared" si="1"/>
        <v>41951.413993489768</v>
      </c>
      <c r="AP29" s="160">
        <f t="shared" si="1"/>
        <v>29789.698075251123</v>
      </c>
      <c r="AQ29" s="160">
        <f t="shared" si="1"/>
        <v>17627.982157012477</v>
      </c>
      <c r="AR29" s="160">
        <f t="shared" si="1"/>
        <v>5466.2662387738283</v>
      </c>
      <c r="AS29" s="160">
        <f t="shared" si="1"/>
        <v>-614.59172034549465</v>
      </c>
      <c r="AT29" s="160">
        <f t="shared" si="1"/>
        <v>-614.59172034549465</v>
      </c>
      <c r="AU29" s="163">
        <f>SUM(D29:AT29)</f>
        <v>10952118.861794746</v>
      </c>
    </row>
    <row r="30" spans="1:48" x14ac:dyDescent="0.25">
      <c r="A30" s="25"/>
      <c r="B30" s="25"/>
      <c r="C30" s="25"/>
      <c r="D30" s="288"/>
      <c r="E30" s="61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</row>
    <row r="31" spans="1:48" x14ac:dyDescent="0.25">
      <c r="A31" s="25"/>
      <c r="B31" s="25" t="s">
        <v>55</v>
      </c>
      <c r="C31" s="25"/>
      <c r="D31" s="288"/>
      <c r="E31" s="61">
        <f>+E30/0.79</f>
        <v>0</v>
      </c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</row>
    <row r="32" spans="1:48" x14ac:dyDescent="0.25">
      <c r="A32" s="283">
        <f>A29+1</f>
        <v>3</v>
      </c>
      <c r="B32" s="25"/>
      <c r="C32" s="25"/>
      <c r="D32" s="288"/>
      <c r="E32" s="61">
        <f>E49*$F10</f>
        <v>0</v>
      </c>
      <c r="F32" s="160">
        <f t="shared" ref="F32:AT32" si="2">F49*$F10</f>
        <v>0</v>
      </c>
      <c r="G32" s="160">
        <f t="shared" si="2"/>
        <v>0</v>
      </c>
      <c r="H32" s="160">
        <f t="shared" si="2"/>
        <v>0</v>
      </c>
      <c r="I32" s="160">
        <f t="shared" si="2"/>
        <v>0</v>
      </c>
      <c r="J32" s="160">
        <f t="shared" si="2"/>
        <v>0</v>
      </c>
      <c r="K32" s="160">
        <f t="shared" si="2"/>
        <v>0</v>
      </c>
      <c r="L32" s="160">
        <f t="shared" si="2"/>
        <v>0</v>
      </c>
      <c r="M32" s="160">
        <f t="shared" si="2"/>
        <v>0</v>
      </c>
      <c r="N32" s="160">
        <f t="shared" si="2"/>
        <v>0</v>
      </c>
      <c r="O32" s="160">
        <f t="shared" si="2"/>
        <v>0</v>
      </c>
      <c r="P32" s="160">
        <f t="shared" si="2"/>
        <v>0</v>
      </c>
      <c r="Q32" s="160">
        <f t="shared" si="2"/>
        <v>0</v>
      </c>
      <c r="R32" s="160">
        <f t="shared" si="2"/>
        <v>0</v>
      </c>
      <c r="S32" s="160">
        <f t="shared" si="2"/>
        <v>0</v>
      </c>
      <c r="T32" s="160">
        <f t="shared" si="2"/>
        <v>0</v>
      </c>
      <c r="U32" s="160">
        <f t="shared" si="2"/>
        <v>0</v>
      </c>
      <c r="V32" s="160">
        <f t="shared" si="2"/>
        <v>0</v>
      </c>
      <c r="W32" s="160">
        <f t="shared" si="2"/>
        <v>0</v>
      </c>
      <c r="X32" s="160">
        <f t="shared" si="2"/>
        <v>0</v>
      </c>
      <c r="Y32" s="160">
        <f t="shared" si="2"/>
        <v>0</v>
      </c>
      <c r="Z32" s="160">
        <f t="shared" si="2"/>
        <v>0</v>
      </c>
      <c r="AA32" s="160">
        <f t="shared" si="2"/>
        <v>0</v>
      </c>
      <c r="AB32" s="160">
        <f t="shared" si="2"/>
        <v>0</v>
      </c>
      <c r="AC32" s="160">
        <f t="shared" si="2"/>
        <v>0</v>
      </c>
      <c r="AD32" s="160">
        <f t="shared" si="2"/>
        <v>0</v>
      </c>
      <c r="AE32" s="160">
        <f t="shared" si="2"/>
        <v>0</v>
      </c>
      <c r="AF32" s="160">
        <f t="shared" si="2"/>
        <v>0</v>
      </c>
      <c r="AG32" s="160">
        <f t="shared" si="2"/>
        <v>0</v>
      </c>
      <c r="AH32" s="160">
        <f t="shared" si="2"/>
        <v>0</v>
      </c>
      <c r="AI32" s="160">
        <f t="shared" si="2"/>
        <v>0</v>
      </c>
      <c r="AJ32" s="160">
        <f t="shared" si="2"/>
        <v>0</v>
      </c>
      <c r="AK32" s="160">
        <f t="shared" si="2"/>
        <v>0</v>
      </c>
      <c r="AL32" s="160">
        <f t="shared" si="2"/>
        <v>0</v>
      </c>
      <c r="AM32" s="160">
        <f t="shared" si="2"/>
        <v>0</v>
      </c>
      <c r="AN32" s="160">
        <f t="shared" si="2"/>
        <v>0</v>
      </c>
      <c r="AO32" s="160">
        <f t="shared" si="2"/>
        <v>0</v>
      </c>
      <c r="AP32" s="160">
        <f t="shared" si="2"/>
        <v>0</v>
      </c>
      <c r="AQ32" s="160">
        <f t="shared" si="2"/>
        <v>0</v>
      </c>
      <c r="AR32" s="160">
        <f t="shared" si="2"/>
        <v>0</v>
      </c>
      <c r="AS32" s="160">
        <f t="shared" si="2"/>
        <v>0</v>
      </c>
      <c r="AT32" s="160">
        <f t="shared" si="2"/>
        <v>0</v>
      </c>
      <c r="AU32" s="163">
        <f t="shared" ref="AU32:AU42" si="3">SUM(D32:AT32)</f>
        <v>0</v>
      </c>
    </row>
    <row r="33" spans="1:47" x14ac:dyDescent="0.25">
      <c r="A33" s="283">
        <f>A32+1</f>
        <v>4</v>
      </c>
      <c r="B33" s="36"/>
      <c r="C33" s="36" t="s">
        <v>178</v>
      </c>
      <c r="D33" s="288"/>
      <c r="E33" s="61">
        <f>E49*$F11</f>
        <v>1415996.2832931706</v>
      </c>
      <c r="F33" s="160">
        <f t="shared" ref="F33:AT33" si="4">F49*$F11</f>
        <v>1371065.1415362132</v>
      </c>
      <c r="G33" s="160">
        <f t="shared" si="4"/>
        <v>1321721.1398505613</v>
      </c>
      <c r="H33" s="160">
        <f t="shared" si="4"/>
        <v>1273948.0982078544</v>
      </c>
      <c r="I33" s="160">
        <f t="shared" si="4"/>
        <v>1227628.4207507509</v>
      </c>
      <c r="J33" s="160">
        <f t="shared" si="4"/>
        <v>1182653.5574570899</v>
      </c>
      <c r="K33" s="160">
        <f t="shared" si="4"/>
        <v>1138922.4965006933</v>
      </c>
      <c r="L33" s="160">
        <f t="shared" si="4"/>
        <v>1096341.7642513667</v>
      </c>
      <c r="M33" s="160">
        <f t="shared" si="4"/>
        <v>1054403.286299828</v>
      </c>
      <c r="N33" s="160">
        <f t="shared" si="4"/>
        <v>1012556.7743392866</v>
      </c>
      <c r="O33" s="160">
        <f t="shared" si="4"/>
        <v>970710.26237874536</v>
      </c>
      <c r="P33" s="160">
        <f t="shared" si="4"/>
        <v>928863.75041820412</v>
      </c>
      <c r="Q33" s="160">
        <f t="shared" si="4"/>
        <v>887017.23845766287</v>
      </c>
      <c r="R33" s="160">
        <f t="shared" si="4"/>
        <v>845170.7264971215</v>
      </c>
      <c r="S33" s="160">
        <f t="shared" si="4"/>
        <v>803324.21453658037</v>
      </c>
      <c r="T33" s="160">
        <f t="shared" si="4"/>
        <v>761477.70257603901</v>
      </c>
      <c r="U33" s="160">
        <f t="shared" si="4"/>
        <v>719631.19061549776</v>
      </c>
      <c r="V33" s="160">
        <f t="shared" si="4"/>
        <v>677784.67865495651</v>
      </c>
      <c r="W33" s="160">
        <f t="shared" si="4"/>
        <v>635938.16669441515</v>
      </c>
      <c r="X33" s="160">
        <f t="shared" si="4"/>
        <v>594091.6547338739</v>
      </c>
      <c r="Y33" s="160">
        <f t="shared" si="4"/>
        <v>555608.68582113518</v>
      </c>
      <c r="Z33" s="160">
        <f t="shared" si="4"/>
        <v>523851.29536480492</v>
      </c>
      <c r="AA33" s="160">
        <f t="shared" si="4"/>
        <v>495457.44795627717</v>
      </c>
      <c r="AB33" s="160">
        <f t="shared" si="4"/>
        <v>467063.60054774943</v>
      </c>
      <c r="AC33" s="160">
        <f t="shared" si="4"/>
        <v>438669.75313922175</v>
      </c>
      <c r="AD33" s="160">
        <f t="shared" si="4"/>
        <v>410275.90573069395</v>
      </c>
      <c r="AE33" s="160">
        <f t="shared" si="4"/>
        <v>381882.05832216638</v>
      </c>
      <c r="AF33" s="160">
        <f t="shared" si="4"/>
        <v>353488.21091363864</v>
      </c>
      <c r="AG33" s="160">
        <f t="shared" si="4"/>
        <v>325094.36350511096</v>
      </c>
      <c r="AH33" s="160">
        <f t="shared" si="4"/>
        <v>296700.51609658322</v>
      </c>
      <c r="AI33" s="160">
        <f t="shared" si="4"/>
        <v>268306.66868805548</v>
      </c>
      <c r="AJ33" s="160">
        <f t="shared" si="4"/>
        <v>239912.82127952774</v>
      </c>
      <c r="AK33" s="160">
        <f t="shared" si="4"/>
        <v>211518.97387100005</v>
      </c>
      <c r="AL33" s="160">
        <f t="shared" si="4"/>
        <v>183125.12646247234</v>
      </c>
      <c r="AM33" s="160">
        <f t="shared" si="4"/>
        <v>154731.2790539446</v>
      </c>
      <c r="AN33" s="160">
        <f t="shared" si="4"/>
        <v>126337.43164541689</v>
      </c>
      <c r="AO33" s="160">
        <f t="shared" si="4"/>
        <v>97943.584236889175</v>
      </c>
      <c r="AP33" s="160">
        <f t="shared" si="4"/>
        <v>69549.736828361463</v>
      </c>
      <c r="AQ33" s="160">
        <f t="shared" si="4"/>
        <v>41155.889419833744</v>
      </c>
      <c r="AR33" s="160">
        <f t="shared" si="4"/>
        <v>12762.042011306025</v>
      </c>
      <c r="AS33" s="160">
        <f t="shared" si="4"/>
        <v>-1434.8816929578347</v>
      </c>
      <c r="AT33" s="160">
        <f t="shared" si="4"/>
        <v>-1434.8816929578347</v>
      </c>
      <c r="AU33" s="163">
        <f t="shared" si="3"/>
        <v>25569812.175558187</v>
      </c>
    </row>
    <row r="34" spans="1:47" x14ac:dyDescent="0.25">
      <c r="A34" s="283">
        <f>A33+1</f>
        <v>5</v>
      </c>
      <c r="B34" s="25"/>
      <c r="C34" s="25" t="s">
        <v>9</v>
      </c>
      <c r="D34" s="288"/>
      <c r="E34" s="63">
        <f>E49*$F12</f>
        <v>2281605.3186632008</v>
      </c>
      <c r="F34" s="158">
        <f t="shared" ref="F34:AT34" si="5">F49*$F12</f>
        <v>2209207.4365389161</v>
      </c>
      <c r="G34" s="158">
        <f t="shared" si="5"/>
        <v>2129699.0804659221</v>
      </c>
      <c r="H34" s="158">
        <f t="shared" si="5"/>
        <v>2052722.0239674265</v>
      </c>
      <c r="I34" s="158">
        <f t="shared" si="5"/>
        <v>1978086.7839658747</v>
      </c>
      <c r="J34" s="158">
        <f t="shared" si="5"/>
        <v>1905618.4530050636</v>
      </c>
      <c r="K34" s="158">
        <f t="shared" si="5"/>
        <v>1835154.2699799158</v>
      </c>
      <c r="L34" s="158">
        <f t="shared" si="5"/>
        <v>1766543.6201364782</v>
      </c>
      <c r="M34" s="158">
        <f t="shared" si="5"/>
        <v>1698967.8394089101</v>
      </c>
      <c r="N34" s="158">
        <f t="shared" si="5"/>
        <v>1631540.2441650697</v>
      </c>
      <c r="O34" s="158">
        <f t="shared" si="5"/>
        <v>1564112.6489212294</v>
      </c>
      <c r="P34" s="158">
        <f t="shared" si="5"/>
        <v>1496685.0536773892</v>
      </c>
      <c r="Q34" s="158">
        <f t="shared" si="5"/>
        <v>1429257.4584335487</v>
      </c>
      <c r="R34" s="158">
        <f t="shared" si="5"/>
        <v>1361829.8631897082</v>
      </c>
      <c r="S34" s="158">
        <f t="shared" si="5"/>
        <v>1294402.2679458682</v>
      </c>
      <c r="T34" s="158">
        <f t="shared" si="5"/>
        <v>1226974.6727020277</v>
      </c>
      <c r="U34" s="158">
        <f t="shared" si="5"/>
        <v>1159547.0774581872</v>
      </c>
      <c r="V34" s="158">
        <f t="shared" si="5"/>
        <v>1092119.482214347</v>
      </c>
      <c r="W34" s="158">
        <f t="shared" si="5"/>
        <v>1024691.8869705065</v>
      </c>
      <c r="X34" s="158">
        <f t="shared" si="5"/>
        <v>957264.29172666615</v>
      </c>
      <c r="Y34" s="158">
        <f t="shared" si="5"/>
        <v>895256.39835490333</v>
      </c>
      <c r="Z34" s="158">
        <f t="shared" si="5"/>
        <v>844085.47945707093</v>
      </c>
      <c r="AA34" s="158">
        <f t="shared" si="5"/>
        <v>798334.26243131596</v>
      </c>
      <c r="AB34" s="158">
        <f t="shared" si="5"/>
        <v>752583.04540556099</v>
      </c>
      <c r="AC34" s="158">
        <f t="shared" si="5"/>
        <v>706831.82837980613</v>
      </c>
      <c r="AD34" s="158">
        <f t="shared" si="5"/>
        <v>661080.61135405116</v>
      </c>
      <c r="AE34" s="158">
        <f t="shared" si="5"/>
        <v>615329.39432829642</v>
      </c>
      <c r="AF34" s="158">
        <f t="shared" si="5"/>
        <v>569578.17730254144</v>
      </c>
      <c r="AG34" s="158">
        <f t="shared" si="5"/>
        <v>523826.96027678659</v>
      </c>
      <c r="AH34" s="158">
        <f t="shared" si="5"/>
        <v>478075.74325103161</v>
      </c>
      <c r="AI34" s="158">
        <f t="shared" si="5"/>
        <v>432324.52622527676</v>
      </c>
      <c r="AJ34" s="158">
        <f t="shared" si="5"/>
        <v>386573.30919952178</v>
      </c>
      <c r="AK34" s="158">
        <f t="shared" si="5"/>
        <v>340822.09217376687</v>
      </c>
      <c r="AL34" s="158">
        <f t="shared" si="5"/>
        <v>295070.87514801195</v>
      </c>
      <c r="AM34" s="158">
        <f t="shared" si="5"/>
        <v>249319.65812225704</v>
      </c>
      <c r="AN34" s="158">
        <f t="shared" si="5"/>
        <v>203568.44109650212</v>
      </c>
      <c r="AO34" s="158">
        <f t="shared" si="5"/>
        <v>157817.22407074724</v>
      </c>
      <c r="AP34" s="158">
        <f t="shared" si="5"/>
        <v>112066.00704499234</v>
      </c>
      <c r="AQ34" s="158">
        <f t="shared" si="5"/>
        <v>66314.790019237407</v>
      </c>
      <c r="AR34" s="158">
        <f t="shared" si="5"/>
        <v>20563.572993482499</v>
      </c>
      <c r="AS34" s="158">
        <f t="shared" si="5"/>
        <v>-2312.0355193949563</v>
      </c>
      <c r="AT34" s="158">
        <f t="shared" si="5"/>
        <v>-2312.0355193949563</v>
      </c>
      <c r="AU34" s="163">
        <f t="shared" si="3"/>
        <v>41200828.099132642</v>
      </c>
    </row>
    <row r="35" spans="1:47" x14ac:dyDescent="0.25">
      <c r="A35" s="283">
        <f>A34+1</f>
        <v>6</v>
      </c>
      <c r="B35" s="25"/>
      <c r="C35" s="25" t="s">
        <v>58</v>
      </c>
      <c r="D35" s="288"/>
      <c r="E35" s="61">
        <f>E32+E33+E34</f>
        <v>3697601.6019563712</v>
      </c>
      <c r="F35" s="160">
        <f>F32+F33+F34</f>
        <v>3580272.5780751295</v>
      </c>
      <c r="G35" s="160">
        <f>G32+G33+G34</f>
        <v>3451420.2203164836</v>
      </c>
      <c r="H35" s="160">
        <f t="shared" ref="H35:AT35" si="6">H32+H33+H34</f>
        <v>3326670.1221752809</v>
      </c>
      <c r="I35" s="160">
        <f t="shared" si="6"/>
        <v>3205715.2047166256</v>
      </c>
      <c r="J35" s="160">
        <f t="shared" si="6"/>
        <v>3088272.0104621537</v>
      </c>
      <c r="K35" s="160">
        <f t="shared" si="6"/>
        <v>2974076.7664806088</v>
      </c>
      <c r="L35" s="160">
        <f t="shared" si="6"/>
        <v>2862885.3843878452</v>
      </c>
      <c r="M35" s="160">
        <f t="shared" si="6"/>
        <v>2753371.1257087383</v>
      </c>
      <c r="N35" s="160">
        <f t="shared" si="6"/>
        <v>2644097.018504356</v>
      </c>
      <c r="O35" s="160">
        <f t="shared" si="6"/>
        <v>2534822.9112999747</v>
      </c>
      <c r="P35" s="160">
        <f t="shared" si="6"/>
        <v>2425548.8040955933</v>
      </c>
      <c r="Q35" s="160">
        <f t="shared" si="6"/>
        <v>2316274.6968912114</v>
      </c>
      <c r="R35" s="160">
        <f t="shared" si="6"/>
        <v>2207000.5896868296</v>
      </c>
      <c r="S35" s="160">
        <f t="shared" si="6"/>
        <v>2097726.4824824487</v>
      </c>
      <c r="T35" s="160">
        <f t="shared" si="6"/>
        <v>1988452.3752780668</v>
      </c>
      <c r="U35" s="160">
        <f t="shared" si="6"/>
        <v>1879178.268073685</v>
      </c>
      <c r="V35" s="160">
        <f t="shared" si="6"/>
        <v>1769904.1608693036</v>
      </c>
      <c r="W35" s="160">
        <f t="shared" si="6"/>
        <v>1660630.0536649218</v>
      </c>
      <c r="X35" s="160">
        <f t="shared" si="6"/>
        <v>1551355.9464605399</v>
      </c>
      <c r="Y35" s="160">
        <f t="shared" si="6"/>
        <v>1450865.0841760384</v>
      </c>
      <c r="Z35" s="160">
        <f t="shared" si="6"/>
        <v>1367936.7748218758</v>
      </c>
      <c r="AA35" s="160">
        <f t="shared" si="6"/>
        <v>1293791.7103875931</v>
      </c>
      <c r="AB35" s="160">
        <f t="shared" si="6"/>
        <v>1219646.6459533104</v>
      </c>
      <c r="AC35" s="160">
        <f t="shared" si="6"/>
        <v>1145501.5815190279</v>
      </c>
      <c r="AD35" s="160">
        <f t="shared" si="6"/>
        <v>1071356.5170847452</v>
      </c>
      <c r="AE35" s="160">
        <f t="shared" si="6"/>
        <v>997211.45265046274</v>
      </c>
      <c r="AF35" s="160">
        <f t="shared" si="6"/>
        <v>923066.38821618003</v>
      </c>
      <c r="AG35" s="160">
        <f t="shared" si="6"/>
        <v>848921.32378189755</v>
      </c>
      <c r="AH35" s="160">
        <f t="shared" si="6"/>
        <v>774776.25934761483</v>
      </c>
      <c r="AI35" s="160">
        <f t="shared" si="6"/>
        <v>700631.19491333223</v>
      </c>
      <c r="AJ35" s="160">
        <f t="shared" si="6"/>
        <v>626486.13047904952</v>
      </c>
      <c r="AK35" s="160">
        <f t="shared" si="6"/>
        <v>552341.06604476692</v>
      </c>
      <c r="AL35" s="160">
        <f t="shared" si="6"/>
        <v>478196.00161048432</v>
      </c>
      <c r="AM35" s="160">
        <f t="shared" si="6"/>
        <v>404050.93717620161</v>
      </c>
      <c r="AN35" s="160">
        <f t="shared" si="6"/>
        <v>329905.87274191901</v>
      </c>
      <c r="AO35" s="160">
        <f t="shared" si="6"/>
        <v>255760.80830763641</v>
      </c>
      <c r="AP35" s="160">
        <f t="shared" si="6"/>
        <v>181615.74387335381</v>
      </c>
      <c r="AQ35" s="160">
        <f t="shared" si="6"/>
        <v>107470.67943907116</v>
      </c>
      <c r="AR35" s="160">
        <f t="shared" si="6"/>
        <v>33325.615004788524</v>
      </c>
      <c r="AS35" s="160">
        <f t="shared" si="6"/>
        <v>-3746.917212352791</v>
      </c>
      <c r="AT35" s="160">
        <f t="shared" si="6"/>
        <v>-3746.917212352791</v>
      </c>
      <c r="AU35" s="163">
        <f t="shared" si="3"/>
        <v>66770640.274690852</v>
      </c>
    </row>
    <row r="36" spans="1:47" x14ac:dyDescent="0.25">
      <c r="A36" s="25"/>
      <c r="B36" s="25"/>
      <c r="C36" s="25"/>
      <c r="D36" s="288"/>
      <c r="E36" s="61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3">
        <f t="shared" si="3"/>
        <v>0</v>
      </c>
    </row>
    <row r="37" spans="1:47" x14ac:dyDescent="0.25">
      <c r="A37" s="283">
        <f>A35+1</f>
        <v>7</v>
      </c>
      <c r="B37" s="25" t="s">
        <v>59</v>
      </c>
      <c r="C37" s="25"/>
      <c r="D37" s="288"/>
      <c r="E37" s="64">
        <f>E27+E29+E35</f>
        <v>5574124.7408991223</v>
      </c>
      <c r="F37" s="157">
        <f>F27+F29+F35</f>
        <v>5437550.710377248</v>
      </c>
      <c r="G37" s="157">
        <f t="shared" ref="G37:AT37" si="7">G27+G29+G35</f>
        <v>5287563.2199916039</v>
      </c>
      <c r="H37" s="157">
        <f t="shared" si="7"/>
        <v>5142350.8663254846</v>
      </c>
      <c r="I37" s="157">
        <f t="shared" si="7"/>
        <v>5001556.2015246451</v>
      </c>
      <c r="J37" s="157">
        <f t="shared" si="7"/>
        <v>4864849.2737236284</v>
      </c>
      <c r="K37" s="157">
        <f t="shared" si="7"/>
        <v>4731923.0443809675</v>
      </c>
      <c r="L37" s="157">
        <f t="shared" si="7"/>
        <v>4602493.3882791894</v>
      </c>
      <c r="M37" s="157">
        <f t="shared" si="7"/>
        <v>4475015.9473813614</v>
      </c>
      <c r="N37" s="157">
        <f t="shared" si="7"/>
        <v>4347818.0490362113</v>
      </c>
      <c r="O37" s="157">
        <f t="shared" si="7"/>
        <v>4220620.1506910622</v>
      </c>
      <c r="P37" s="157">
        <f t="shared" si="7"/>
        <v>4093422.2523459136</v>
      </c>
      <c r="Q37" s="157">
        <f t="shared" si="7"/>
        <v>3966224.354000764</v>
      </c>
      <c r="R37" s="157">
        <f t="shared" si="7"/>
        <v>3839026.4556556144</v>
      </c>
      <c r="S37" s="157">
        <f t="shared" si="7"/>
        <v>3711828.5573104657</v>
      </c>
      <c r="T37" s="157">
        <f t="shared" si="7"/>
        <v>3584630.6589653166</v>
      </c>
      <c r="U37" s="157">
        <f t="shared" si="7"/>
        <v>3457432.7606201665</v>
      </c>
      <c r="V37" s="157">
        <f t="shared" si="7"/>
        <v>3330234.8622750174</v>
      </c>
      <c r="W37" s="157">
        <f t="shared" si="7"/>
        <v>3203036.9639298683</v>
      </c>
      <c r="X37" s="157">
        <f t="shared" si="7"/>
        <v>3075839.0655847187</v>
      </c>
      <c r="Y37" s="157">
        <f t="shared" si="7"/>
        <v>2958865.092403926</v>
      </c>
      <c r="Z37" s="157">
        <f t="shared" si="7"/>
        <v>2862334.3868870484</v>
      </c>
      <c r="AA37" s="157">
        <f t="shared" si="7"/>
        <v>2776027.6065345267</v>
      </c>
      <c r="AB37" s="157">
        <f t="shared" si="7"/>
        <v>2689720.8261820055</v>
      </c>
      <c r="AC37" s="157">
        <f t="shared" si="7"/>
        <v>2603414.0458294842</v>
      </c>
      <c r="AD37" s="157">
        <f t="shared" si="7"/>
        <v>2517107.265476963</v>
      </c>
      <c r="AE37" s="157">
        <f t="shared" si="7"/>
        <v>2430800.4851244418</v>
      </c>
      <c r="AF37" s="157">
        <f t="shared" si="7"/>
        <v>2344493.7047719206</v>
      </c>
      <c r="AG37" s="157">
        <f t="shared" si="7"/>
        <v>2258186.9244193994</v>
      </c>
      <c r="AH37" s="157">
        <f t="shared" si="7"/>
        <v>2171880.1440668781</v>
      </c>
      <c r="AI37" s="157">
        <f t="shared" si="7"/>
        <v>2085573.3637143569</v>
      </c>
      <c r="AJ37" s="157">
        <f t="shared" si="7"/>
        <v>1999266.5833618352</v>
      </c>
      <c r="AK37" s="157">
        <f t="shared" si="7"/>
        <v>1912959.8030093142</v>
      </c>
      <c r="AL37" s="157">
        <f t="shared" si="7"/>
        <v>1826653.0226567928</v>
      </c>
      <c r="AM37" s="157">
        <f t="shared" si="7"/>
        <v>1740346.2423042716</v>
      </c>
      <c r="AN37" s="157">
        <f t="shared" si="7"/>
        <v>1654039.4619517503</v>
      </c>
      <c r="AO37" s="157">
        <f t="shared" si="7"/>
        <v>1567732.6815992291</v>
      </c>
      <c r="AP37" s="157">
        <f t="shared" si="7"/>
        <v>1481425.9012467079</v>
      </c>
      <c r="AQ37" s="157">
        <f t="shared" si="7"/>
        <v>1395119.1208941864</v>
      </c>
      <c r="AR37" s="157">
        <f t="shared" si="7"/>
        <v>1308812.3405416654</v>
      </c>
      <c r="AS37" s="157">
        <f t="shared" si="7"/>
        <v>-4361.5089326982852</v>
      </c>
      <c r="AT37" s="157">
        <f t="shared" si="7"/>
        <v>-4361.5089326982852</v>
      </c>
      <c r="AU37" s="163">
        <f t="shared" si="3"/>
        <v>128523577.50840969</v>
      </c>
    </row>
    <row r="38" spans="1:47" x14ac:dyDescent="0.25">
      <c r="A38" s="283">
        <f>A37+1</f>
        <v>8</v>
      </c>
      <c r="B38" s="25" t="s">
        <v>60</v>
      </c>
      <c r="C38" s="25"/>
      <c r="D38" s="288"/>
      <c r="E38" s="63">
        <f>E37/(1-$F16)-E37</f>
        <v>265388.35151075199</v>
      </c>
      <c r="F38" s="158">
        <f t="shared" ref="F38:AT38" si="8">F37/(1-$F16)-F37</f>
        <v>258885.95723287761</v>
      </c>
      <c r="G38" s="158">
        <f t="shared" si="8"/>
        <v>251744.93784940057</v>
      </c>
      <c r="H38" s="158">
        <f t="shared" si="8"/>
        <v>244831.26638530754</v>
      </c>
      <c r="I38" s="158">
        <f t="shared" si="8"/>
        <v>238127.92447427288</v>
      </c>
      <c r="J38" s="158">
        <f t="shared" si="8"/>
        <v>231619.20285507198</v>
      </c>
      <c r="K38" s="158">
        <f t="shared" si="8"/>
        <v>225290.4831873998</v>
      </c>
      <c r="L38" s="158">
        <f t="shared" si="8"/>
        <v>219128.23805186804</v>
      </c>
      <c r="M38" s="158">
        <f t="shared" si="8"/>
        <v>213058.93937857915</v>
      </c>
      <c r="N38" s="158">
        <f t="shared" si="8"/>
        <v>207002.94994049426</v>
      </c>
      <c r="O38" s="158">
        <f t="shared" si="8"/>
        <v>200946.96050240938</v>
      </c>
      <c r="P38" s="158">
        <f t="shared" si="8"/>
        <v>194890.97106432496</v>
      </c>
      <c r="Q38" s="158">
        <f t="shared" si="8"/>
        <v>188834.98162624054</v>
      </c>
      <c r="R38" s="158">
        <f t="shared" si="8"/>
        <v>182778.99218815612</v>
      </c>
      <c r="S38" s="158">
        <f t="shared" si="8"/>
        <v>176723.00275007123</v>
      </c>
      <c r="T38" s="158">
        <f t="shared" si="8"/>
        <v>170667.01331198681</v>
      </c>
      <c r="U38" s="158">
        <f t="shared" si="8"/>
        <v>164611.02387390193</v>
      </c>
      <c r="V38" s="158">
        <f t="shared" si="8"/>
        <v>158555.03443581751</v>
      </c>
      <c r="W38" s="158">
        <f t="shared" si="8"/>
        <v>152499.04499773262</v>
      </c>
      <c r="X38" s="158">
        <f t="shared" si="8"/>
        <v>146443.0555596482</v>
      </c>
      <c r="Y38" s="158">
        <f t="shared" si="8"/>
        <v>140873.83503533201</v>
      </c>
      <c r="Z38" s="158">
        <f t="shared" si="8"/>
        <v>136277.9341543694</v>
      </c>
      <c r="AA38" s="158">
        <f t="shared" si="8"/>
        <v>132168.80218717502</v>
      </c>
      <c r="AB38" s="158">
        <f t="shared" si="8"/>
        <v>128059.67021998111</v>
      </c>
      <c r="AC38" s="158">
        <f t="shared" si="8"/>
        <v>123950.5382527872</v>
      </c>
      <c r="AD38" s="158">
        <f t="shared" si="8"/>
        <v>119841.40628559282</v>
      </c>
      <c r="AE38" s="158">
        <f t="shared" si="8"/>
        <v>115732.27431839891</v>
      </c>
      <c r="AF38" s="158">
        <f t="shared" si="8"/>
        <v>111623.14235120453</v>
      </c>
      <c r="AG38" s="158">
        <f t="shared" si="8"/>
        <v>107514.01038401062</v>
      </c>
      <c r="AH38" s="158">
        <f t="shared" si="8"/>
        <v>103404.8784168167</v>
      </c>
      <c r="AI38" s="158">
        <f t="shared" si="8"/>
        <v>99295.746449622326</v>
      </c>
      <c r="AJ38" s="158">
        <f t="shared" si="8"/>
        <v>95186.61448242818</v>
      </c>
      <c r="AK38" s="158">
        <f t="shared" si="8"/>
        <v>91077.482515234267</v>
      </c>
      <c r="AL38" s="158">
        <f t="shared" si="8"/>
        <v>86968.350548040122</v>
      </c>
      <c r="AM38" s="158">
        <f t="shared" si="8"/>
        <v>82859.218580845976</v>
      </c>
      <c r="AN38" s="158">
        <f t="shared" si="8"/>
        <v>78750.086613651831</v>
      </c>
      <c r="AO38" s="158">
        <f t="shared" si="8"/>
        <v>74640.954646457685</v>
      </c>
      <c r="AP38" s="158">
        <f t="shared" si="8"/>
        <v>70531.82267926354</v>
      </c>
      <c r="AQ38" s="158">
        <f t="shared" si="8"/>
        <v>66422.690712069627</v>
      </c>
      <c r="AR38" s="158">
        <f t="shared" si="8"/>
        <v>62313.558744875481</v>
      </c>
      <c r="AS38" s="158">
        <f t="shared" si="8"/>
        <v>-207.65478340578193</v>
      </c>
      <c r="AT38" s="158">
        <f t="shared" si="8"/>
        <v>-207.65478340578193</v>
      </c>
      <c r="AU38" s="163">
        <f t="shared" si="3"/>
        <v>6119106.0391876604</v>
      </c>
    </row>
    <row r="39" spans="1:47" x14ac:dyDescent="0.25">
      <c r="A39" s="283">
        <f>A38+1</f>
        <v>9</v>
      </c>
      <c r="B39" s="25"/>
      <c r="C39" s="25" t="s">
        <v>61</v>
      </c>
      <c r="D39" s="288"/>
      <c r="E39" s="64">
        <f>SUM(E37:E38)</f>
        <v>5839513.0924098743</v>
      </c>
      <c r="F39" s="157">
        <f t="shared" ref="F39:AT39" si="9">SUM(F37:F38)</f>
        <v>5696436.6676101256</v>
      </c>
      <c r="G39" s="157">
        <f t="shared" si="9"/>
        <v>5539308.1578410044</v>
      </c>
      <c r="H39" s="157">
        <f t="shared" si="9"/>
        <v>5387182.1327107921</v>
      </c>
      <c r="I39" s="157">
        <f t="shared" si="9"/>
        <v>5239684.125998918</v>
      </c>
      <c r="J39" s="157">
        <f t="shared" si="9"/>
        <v>5096468.4765787004</v>
      </c>
      <c r="K39" s="157">
        <f t="shared" si="9"/>
        <v>4957213.5275683673</v>
      </c>
      <c r="L39" s="157">
        <f t="shared" si="9"/>
        <v>4821621.6263310574</v>
      </c>
      <c r="M39" s="157">
        <f t="shared" si="9"/>
        <v>4688074.8867599405</v>
      </c>
      <c r="N39" s="157">
        <f t="shared" si="9"/>
        <v>4554820.9989767056</v>
      </c>
      <c r="O39" s="157">
        <f t="shared" si="9"/>
        <v>4421567.1111934716</v>
      </c>
      <c r="P39" s="157">
        <f t="shared" si="9"/>
        <v>4288313.2234102385</v>
      </c>
      <c r="Q39" s="157">
        <f t="shared" si="9"/>
        <v>4155059.3356270045</v>
      </c>
      <c r="R39" s="157">
        <f t="shared" si="9"/>
        <v>4021805.4478437705</v>
      </c>
      <c r="S39" s="157">
        <f t="shared" si="9"/>
        <v>3888551.560060537</v>
      </c>
      <c r="T39" s="157">
        <f t="shared" si="9"/>
        <v>3755297.6722773034</v>
      </c>
      <c r="U39" s="157">
        <f t="shared" si="9"/>
        <v>3622043.7844940685</v>
      </c>
      <c r="V39" s="157">
        <f t="shared" si="9"/>
        <v>3488789.8967108349</v>
      </c>
      <c r="W39" s="157">
        <f t="shared" si="9"/>
        <v>3355536.0089276009</v>
      </c>
      <c r="X39" s="157">
        <f t="shared" si="9"/>
        <v>3222282.1211443669</v>
      </c>
      <c r="Y39" s="157">
        <f t="shared" si="9"/>
        <v>3099738.927439258</v>
      </c>
      <c r="Z39" s="157">
        <f t="shared" si="9"/>
        <v>2998612.3210414178</v>
      </c>
      <c r="AA39" s="157">
        <f t="shared" si="9"/>
        <v>2908196.4087217017</v>
      </c>
      <c r="AB39" s="157">
        <f t="shared" si="9"/>
        <v>2817780.4964019866</v>
      </c>
      <c r="AC39" s="157">
        <f t="shared" si="9"/>
        <v>2727364.5840822714</v>
      </c>
      <c r="AD39" s="157">
        <f t="shared" si="9"/>
        <v>2636948.6717625558</v>
      </c>
      <c r="AE39" s="157">
        <f t="shared" si="9"/>
        <v>2546532.7594428407</v>
      </c>
      <c r="AF39" s="157">
        <f t="shared" si="9"/>
        <v>2456116.8471231251</v>
      </c>
      <c r="AG39" s="157">
        <f t="shared" si="9"/>
        <v>2365700.93480341</v>
      </c>
      <c r="AH39" s="157">
        <f t="shared" si="9"/>
        <v>2275285.0224836948</v>
      </c>
      <c r="AI39" s="157">
        <f t="shared" si="9"/>
        <v>2184869.1101639792</v>
      </c>
      <c r="AJ39" s="157">
        <f t="shared" si="9"/>
        <v>2094453.1978442634</v>
      </c>
      <c r="AK39" s="157">
        <f t="shared" si="9"/>
        <v>2004037.2855245485</v>
      </c>
      <c r="AL39" s="157">
        <f t="shared" si="9"/>
        <v>1913621.3732048329</v>
      </c>
      <c r="AM39" s="157">
        <f t="shared" si="9"/>
        <v>1823205.4608851175</v>
      </c>
      <c r="AN39" s="157">
        <f t="shared" si="9"/>
        <v>1732789.5485654022</v>
      </c>
      <c r="AO39" s="157">
        <f t="shared" si="9"/>
        <v>1642373.6362456868</v>
      </c>
      <c r="AP39" s="157">
        <f t="shared" si="9"/>
        <v>1551957.7239259714</v>
      </c>
      <c r="AQ39" s="157">
        <f t="shared" si="9"/>
        <v>1461541.8116062561</v>
      </c>
      <c r="AR39" s="157">
        <f t="shared" si="9"/>
        <v>1371125.8992865409</v>
      </c>
      <c r="AS39" s="157">
        <f t="shared" si="9"/>
        <v>-4569.1637161040671</v>
      </c>
      <c r="AT39" s="157">
        <f t="shared" si="9"/>
        <v>-4569.1637161040671</v>
      </c>
      <c r="AU39" s="163">
        <f t="shared" si="3"/>
        <v>134642683.54759735</v>
      </c>
    </row>
    <row r="40" spans="1:47" x14ac:dyDescent="0.25">
      <c r="A40" s="283">
        <f t="shared" ref="A40:A66" si="10">A39+1</f>
        <v>10</v>
      </c>
      <c r="B40" s="25"/>
      <c r="C40" s="25"/>
      <c r="D40" s="288"/>
      <c r="E40" s="64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63">
        <f t="shared" si="3"/>
        <v>0</v>
      </c>
    </row>
    <row r="41" spans="1:47" x14ac:dyDescent="0.25">
      <c r="A41" s="283">
        <f t="shared" si="10"/>
        <v>11</v>
      </c>
      <c r="B41" s="25"/>
      <c r="C41" s="25"/>
      <c r="D41" s="288"/>
      <c r="E41" s="61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3">
        <f t="shared" si="3"/>
        <v>0</v>
      </c>
    </row>
    <row r="42" spans="1:47" x14ac:dyDescent="0.25">
      <c r="A42" s="283">
        <f t="shared" si="10"/>
        <v>12</v>
      </c>
      <c r="B42" s="203" t="s">
        <v>318</v>
      </c>
      <c r="C42" s="203"/>
      <c r="D42" s="289"/>
      <c r="E42" s="206">
        <f>E39</f>
        <v>5839513.0924098743</v>
      </c>
      <c r="F42" s="158">
        <f>F39</f>
        <v>5696436.6676101256</v>
      </c>
      <c r="G42" s="158">
        <f t="shared" ref="G42:AT42" si="11">G39</f>
        <v>5539308.1578410044</v>
      </c>
      <c r="H42" s="158">
        <f t="shared" si="11"/>
        <v>5387182.1327107921</v>
      </c>
      <c r="I42" s="158">
        <f t="shared" si="11"/>
        <v>5239684.125998918</v>
      </c>
      <c r="J42" s="158">
        <f t="shared" si="11"/>
        <v>5096468.4765787004</v>
      </c>
      <c r="K42" s="158">
        <f t="shared" si="11"/>
        <v>4957213.5275683673</v>
      </c>
      <c r="L42" s="158">
        <f t="shared" si="11"/>
        <v>4821621.6263310574</v>
      </c>
      <c r="M42" s="158">
        <f t="shared" si="11"/>
        <v>4688074.8867599405</v>
      </c>
      <c r="N42" s="158">
        <f t="shared" si="11"/>
        <v>4554820.9989767056</v>
      </c>
      <c r="O42" s="158">
        <f t="shared" si="11"/>
        <v>4421567.1111934716</v>
      </c>
      <c r="P42" s="158">
        <f t="shared" si="11"/>
        <v>4288313.2234102385</v>
      </c>
      <c r="Q42" s="158">
        <f t="shared" si="11"/>
        <v>4155059.3356270045</v>
      </c>
      <c r="R42" s="158">
        <f t="shared" si="11"/>
        <v>4021805.4478437705</v>
      </c>
      <c r="S42" s="158">
        <f t="shared" si="11"/>
        <v>3888551.560060537</v>
      </c>
      <c r="T42" s="158">
        <f t="shared" si="11"/>
        <v>3755297.6722773034</v>
      </c>
      <c r="U42" s="158">
        <f t="shared" si="11"/>
        <v>3622043.7844940685</v>
      </c>
      <c r="V42" s="158">
        <f t="shared" si="11"/>
        <v>3488789.8967108349</v>
      </c>
      <c r="W42" s="158">
        <f t="shared" si="11"/>
        <v>3355536.0089276009</v>
      </c>
      <c r="X42" s="158">
        <f t="shared" si="11"/>
        <v>3222282.1211443669</v>
      </c>
      <c r="Y42" s="158">
        <f t="shared" si="11"/>
        <v>3099738.927439258</v>
      </c>
      <c r="Z42" s="158">
        <f t="shared" si="11"/>
        <v>2998612.3210414178</v>
      </c>
      <c r="AA42" s="158">
        <f t="shared" si="11"/>
        <v>2908196.4087217017</v>
      </c>
      <c r="AB42" s="158">
        <f t="shared" si="11"/>
        <v>2817780.4964019866</v>
      </c>
      <c r="AC42" s="158">
        <f t="shared" si="11"/>
        <v>2727364.5840822714</v>
      </c>
      <c r="AD42" s="158">
        <f t="shared" si="11"/>
        <v>2636948.6717625558</v>
      </c>
      <c r="AE42" s="158">
        <f t="shared" si="11"/>
        <v>2546532.7594428407</v>
      </c>
      <c r="AF42" s="158">
        <f t="shared" si="11"/>
        <v>2456116.8471231251</v>
      </c>
      <c r="AG42" s="158">
        <f t="shared" si="11"/>
        <v>2365700.93480341</v>
      </c>
      <c r="AH42" s="158">
        <f t="shared" si="11"/>
        <v>2275285.0224836948</v>
      </c>
      <c r="AI42" s="158">
        <f t="shared" si="11"/>
        <v>2184869.1101639792</v>
      </c>
      <c r="AJ42" s="158">
        <f t="shared" si="11"/>
        <v>2094453.1978442634</v>
      </c>
      <c r="AK42" s="158">
        <f t="shared" si="11"/>
        <v>2004037.2855245485</v>
      </c>
      <c r="AL42" s="158">
        <f t="shared" si="11"/>
        <v>1913621.3732048329</v>
      </c>
      <c r="AM42" s="158">
        <f t="shared" si="11"/>
        <v>1823205.4608851175</v>
      </c>
      <c r="AN42" s="158">
        <f t="shared" si="11"/>
        <v>1732789.5485654022</v>
      </c>
      <c r="AO42" s="158">
        <f t="shared" si="11"/>
        <v>1642373.6362456868</v>
      </c>
      <c r="AP42" s="158">
        <f t="shared" si="11"/>
        <v>1551957.7239259714</v>
      </c>
      <c r="AQ42" s="158">
        <f t="shared" si="11"/>
        <v>1461541.8116062561</v>
      </c>
      <c r="AR42" s="158">
        <f t="shared" si="11"/>
        <v>1371125.8992865409</v>
      </c>
      <c r="AS42" s="158">
        <f t="shared" si="11"/>
        <v>-4569.1637161040671</v>
      </c>
      <c r="AT42" s="158">
        <f t="shared" si="11"/>
        <v>-4569.1637161040671</v>
      </c>
      <c r="AU42" s="163">
        <f t="shared" si="3"/>
        <v>134642683.54759735</v>
      </c>
    </row>
    <row r="43" spans="1:47" x14ac:dyDescent="0.25">
      <c r="A43" s="283">
        <f t="shared" si="10"/>
        <v>13</v>
      </c>
      <c r="B43" s="25"/>
      <c r="C43" s="25"/>
      <c r="D43" s="288"/>
      <c r="E43" s="138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</row>
    <row r="44" spans="1:47" outlineLevel="1" x14ac:dyDescent="0.25">
      <c r="A44" s="283">
        <f t="shared" si="10"/>
        <v>14</v>
      </c>
      <c r="B44" s="25"/>
      <c r="C44" s="25"/>
      <c r="D44" s="288"/>
      <c r="E44" s="66"/>
      <c r="F44" s="288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</row>
    <row r="45" spans="1:47" outlineLevel="1" x14ac:dyDescent="0.25">
      <c r="A45" s="283">
        <f t="shared" si="10"/>
        <v>15</v>
      </c>
      <c r="B45" s="25" t="s">
        <v>63</v>
      </c>
      <c r="C45" s="288"/>
      <c r="D45" s="288"/>
      <c r="E45" s="68">
        <f>+E42/$F$22</f>
        <v>0.11509460083193929</v>
      </c>
      <c r="F45" s="159">
        <f t="shared" ref="F45:AT45" si="12">+F42/$F$22</f>
        <v>0.11227461845666349</v>
      </c>
      <c r="G45" s="159">
        <f t="shared" si="12"/>
        <v>0.10917767478601728</v>
      </c>
      <c r="H45" s="159">
        <f t="shared" si="12"/>
        <v>0.10617932820104786</v>
      </c>
      <c r="I45" s="159">
        <f t="shared" si="12"/>
        <v>0.10327219811376792</v>
      </c>
      <c r="J45" s="159">
        <f t="shared" si="12"/>
        <v>0.10044947167372761</v>
      </c>
      <c r="K45" s="159">
        <f t="shared" si="12"/>
        <v>9.7704809145091678E-2</v>
      </c>
      <c r="L45" s="159">
        <f t="shared" si="12"/>
        <v>9.5032343906639477E-2</v>
      </c>
      <c r="M45" s="159">
        <f t="shared" si="12"/>
        <v>9.2400188033348762E-2</v>
      </c>
      <c r="N45" s="159">
        <f t="shared" si="12"/>
        <v>8.9773804158355827E-2</v>
      </c>
      <c r="O45" s="159">
        <f t="shared" si="12"/>
        <v>8.7147420283362906E-2</v>
      </c>
      <c r="P45" s="159">
        <f t="shared" si="12"/>
        <v>8.4521036408369998E-2</v>
      </c>
      <c r="Q45" s="159">
        <f t="shared" si="12"/>
        <v>8.1894652533377077E-2</v>
      </c>
      <c r="R45" s="159">
        <f t="shared" si="12"/>
        <v>7.9268268658384156E-2</v>
      </c>
      <c r="S45" s="159">
        <f t="shared" si="12"/>
        <v>7.6641884783391248E-2</v>
      </c>
      <c r="T45" s="159">
        <f t="shared" si="12"/>
        <v>7.4015500908398327E-2</v>
      </c>
      <c r="U45" s="159">
        <f t="shared" si="12"/>
        <v>7.1389117033405391E-2</v>
      </c>
      <c r="V45" s="159">
        <f t="shared" si="12"/>
        <v>6.876273315841247E-2</v>
      </c>
      <c r="W45" s="159">
        <f t="shared" si="12"/>
        <v>6.6136349283419549E-2</v>
      </c>
      <c r="X45" s="159">
        <f t="shared" si="12"/>
        <v>6.3509965408426627E-2</v>
      </c>
      <c r="Y45" s="159">
        <f t="shared" si="12"/>
        <v>6.1094685274455732E-2</v>
      </c>
      <c r="Z45" s="159">
        <f t="shared" si="12"/>
        <v>5.9101517999605981E-2</v>
      </c>
      <c r="AA45" s="159">
        <f t="shared" si="12"/>
        <v>5.7319454465778227E-2</v>
      </c>
      <c r="AB45" s="159">
        <f t="shared" si="12"/>
        <v>5.5537390931950502E-2</v>
      </c>
      <c r="AC45" s="159">
        <f t="shared" si="12"/>
        <v>5.3755327398122769E-2</v>
      </c>
      <c r="AD45" s="159">
        <f t="shared" si="12"/>
        <v>5.197326386429503E-2</v>
      </c>
      <c r="AE45" s="159">
        <f t="shared" si="12"/>
        <v>5.0191200330467298E-2</v>
      </c>
      <c r="AF45" s="159">
        <f t="shared" si="12"/>
        <v>4.8409136796639565E-2</v>
      </c>
      <c r="AG45" s="159">
        <f t="shared" si="12"/>
        <v>4.6627073262811833E-2</v>
      </c>
      <c r="AH45" s="159">
        <f t="shared" si="12"/>
        <v>4.48450097289841E-2</v>
      </c>
      <c r="AI45" s="159">
        <f t="shared" si="12"/>
        <v>4.3062946195156361E-2</v>
      </c>
      <c r="AJ45" s="159">
        <f t="shared" si="12"/>
        <v>4.1280882661328622E-2</v>
      </c>
      <c r="AK45" s="159">
        <f t="shared" si="12"/>
        <v>3.9498819127500896E-2</v>
      </c>
      <c r="AL45" s="159">
        <f t="shared" si="12"/>
        <v>3.7716755593673157E-2</v>
      </c>
      <c r="AM45" s="159">
        <f t="shared" si="12"/>
        <v>3.5934692059845424E-2</v>
      </c>
      <c r="AN45" s="159">
        <f t="shared" si="12"/>
        <v>3.4152628526017685E-2</v>
      </c>
      <c r="AO45" s="159">
        <f t="shared" si="12"/>
        <v>3.2370564992189953E-2</v>
      </c>
      <c r="AP45" s="159">
        <f t="shared" si="12"/>
        <v>3.0588501458362217E-2</v>
      </c>
      <c r="AQ45" s="159">
        <f t="shared" si="12"/>
        <v>2.8806437924534484E-2</v>
      </c>
      <c r="AR45" s="159">
        <f t="shared" si="12"/>
        <v>2.7024374390706755E-2</v>
      </c>
      <c r="AS45" s="159">
        <f t="shared" si="12"/>
        <v>-9.0056493703955911E-5</v>
      </c>
      <c r="AT45" s="159">
        <f t="shared" si="12"/>
        <v>-9.0056493703955911E-5</v>
      </c>
    </row>
    <row r="46" spans="1:47" outlineLevel="1" x14ac:dyDescent="0.25">
      <c r="A46" s="283">
        <f t="shared" si="10"/>
        <v>16</v>
      </c>
      <c r="B46" s="25"/>
      <c r="C46" s="25"/>
      <c r="D46" s="288"/>
      <c r="E46" s="66"/>
      <c r="F46" s="288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</row>
    <row r="47" spans="1:47" outlineLevel="1" x14ac:dyDescent="0.25">
      <c r="A47" s="283">
        <f t="shared" si="10"/>
        <v>17</v>
      </c>
      <c r="B47" s="25"/>
      <c r="C47" s="25"/>
      <c r="D47" s="288"/>
      <c r="E47" s="66">
        <f>+E27/2</f>
        <v>635010.22964905144</v>
      </c>
      <c r="F47" s="15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</row>
    <row r="48" spans="1:47" outlineLevel="1" x14ac:dyDescent="0.25">
      <c r="A48" s="283">
        <f t="shared" si="10"/>
        <v>18</v>
      </c>
      <c r="B48" s="25"/>
      <c r="C48" s="25"/>
      <c r="D48" s="288"/>
      <c r="E48" s="66">
        <f>+E60/2</f>
        <v>66423.363701824259</v>
      </c>
      <c r="F48" s="15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</row>
    <row r="49" spans="1:47" x14ac:dyDescent="0.25">
      <c r="A49" s="283">
        <f t="shared" si="10"/>
        <v>19</v>
      </c>
      <c r="B49" s="69" t="s">
        <v>64</v>
      </c>
      <c r="C49" s="25"/>
      <c r="D49" s="288"/>
      <c r="E49" s="64">
        <f>F22-E27/2-E60/2</f>
        <v>50035204.356649138</v>
      </c>
      <c r="F49" s="176">
        <f>$F$22-(SUM($E$27:E27)+F27/2)-(SUM($E$60:E60)+F60/2)</f>
        <v>48447531.503046408</v>
      </c>
      <c r="G49" s="176">
        <f>$F$22-(SUM($E$27:F27)+G27/2)-(SUM($E$60:F60)+G60/2)</f>
        <v>46703927.20320005</v>
      </c>
      <c r="H49" s="176">
        <f>$F$22-(SUM($E$27:G27)+H27/2)-(SUM($E$60:G60)+H60/2)</f>
        <v>45015833.85893479</v>
      </c>
      <c r="I49" s="176">
        <f>$F$22-(SUM($E$27:H27)+I27/2)-(SUM($E$60:H60)+I60/2)</f>
        <v>43379096.139602512</v>
      </c>
      <c r="J49" s="176">
        <f>$F$22-(SUM($E$27:I27)+J27/2)-(SUM($E$60:I60)+J60/2)</f>
        <v>41789878.355374202</v>
      </c>
      <c r="K49" s="176">
        <f>$F$22-(SUM($E$27:J27)+K27/2)-(SUM($E$60:J60)+K60/2)</f>
        <v>40244611.183770083</v>
      </c>
      <c r="L49" s="176">
        <f>$F$22-(SUM($E$27:K27)+L27/2)-(SUM($E$60:K60)+L60/2)</f>
        <v>38739991.669659607</v>
      </c>
      <c r="M49" s="176">
        <f>$F$22-(SUM($E$27:L27)+M27/2)-(SUM($E$60:L60)+M60/2)</f>
        <v>37258066.653704166</v>
      </c>
      <c r="N49" s="176">
        <f>$F$22-(SUM($E$27:M27)+N27/2)-(SUM($E$60:M60)+N60/2)</f>
        <v>35779391.319409423</v>
      </c>
      <c r="O49" s="176">
        <f>$F$22-(SUM($E$27:N27)+O27/2)-(SUM($E$60:N60)+O60/2)</f>
        <v>34300715.985114679</v>
      </c>
      <c r="P49" s="176">
        <f>$F$22-(SUM($E$27:O27)+P27/2)-(SUM($E$60:O60)+P60/2)</f>
        <v>32822040.650819935</v>
      </c>
      <c r="Q49" s="176">
        <f>$F$22-(SUM($E$27:P27)+Q27/2)-(SUM($E$60:P60)+Q60/2)</f>
        <v>31343365.316525191</v>
      </c>
      <c r="R49" s="176">
        <f>$F$22-(SUM($E$27:Q27)+R27/2)-(SUM($E$60:Q60)+R60/2)</f>
        <v>29864689.982230444</v>
      </c>
      <c r="S49" s="176">
        <f>$F$22-(SUM($E$27:R27)+S27/2)-(SUM($E$60:R60)+S60/2)</f>
        <v>28386014.647935703</v>
      </c>
      <c r="T49" s="176">
        <f>$F$22-(SUM($E$27:S27)+T27/2)-(SUM($E$60:S60)+T60/2)</f>
        <v>26907339.313640956</v>
      </c>
      <c r="U49" s="176">
        <f>$F$22-(SUM($E$27:T27)+U27/2)-(SUM($E$60:T60)+U60/2)</f>
        <v>25428663.979346212</v>
      </c>
      <c r="V49" s="176">
        <f>$F$22-(SUM($E$27:U27)+V27/2)-(SUM($E$60:U60)+V60/2)</f>
        <v>23949988.645051468</v>
      </c>
      <c r="W49" s="176">
        <f>$F$22-(SUM($E$27:V27)+W27/2)-(SUM($E$60:V60)+W60/2)</f>
        <v>22471313.310756721</v>
      </c>
      <c r="X49" s="176">
        <f>$F$22-(SUM($E$27:W27)+X27/2)-(SUM($E$60:W60)+X60/2)</f>
        <v>20992637.976461977</v>
      </c>
      <c r="Y49" s="176">
        <f>$F$22-(SUM($E$27:X27)+Y27/2)-(SUM($E$60:X60)+Y60/2)</f>
        <v>19632815.753397003</v>
      </c>
      <c r="Z49" s="176">
        <f>$F$22-(SUM($E$27:Y27)+Z27/2)-(SUM($E$60:Y60)+Z60/2)</f>
        <v>18510646.479321729</v>
      </c>
      <c r="AA49" s="176">
        <f>$F$22-(SUM($E$27:Z27)+AA27/2)-(SUM($E$60:Z60)+AA60/2)</f>
        <v>17507330.316476226</v>
      </c>
      <c r="AB49" s="176">
        <f>$F$22-(SUM($E$27:AA27)+AB27/2)-(SUM($E$60:AA60)+AB60/2)</f>
        <v>16504014.153630722</v>
      </c>
      <c r="AC49" s="176">
        <f>$F$22-(SUM($E$27:AB27)+AC27/2)-(SUM($E$60:AB60)+AC60/2)</f>
        <v>15500697.990785221</v>
      </c>
      <c r="AD49" s="176">
        <f>$F$22-(SUM($E$27:AC27)+AD27/2)-(SUM($E$60:AC60)+AD60/2)</f>
        <v>14497381.827939717</v>
      </c>
      <c r="AE49" s="176">
        <f>$F$22-(SUM($E$27:AD27)+AE27/2)-(SUM($E$60:AD60)+AE60/2)</f>
        <v>13494065.665094219</v>
      </c>
      <c r="AF49" s="176">
        <f>$F$22-(SUM($E$27:AE27)+AF27/2)-(SUM($E$60:AE60)+AF60/2)</f>
        <v>12490749.502248716</v>
      </c>
      <c r="AG49" s="176">
        <f>$F$22-(SUM($E$27:AF27)+AG27/2)-(SUM($E$60:AF60)+AG60/2)</f>
        <v>11487433.339403214</v>
      </c>
      <c r="AH49" s="176">
        <f>$F$22-(SUM($E$27:AG27)+AH27/2)-(SUM($E$60:AG60)+AH60/2)</f>
        <v>10484117.17655771</v>
      </c>
      <c r="AI49" s="176">
        <f>$F$22-(SUM($E$27:AH27)+AI27/2)-(SUM($E$60:AH60)+AI60/2)</f>
        <v>9480801.0137122087</v>
      </c>
      <c r="AJ49" s="176">
        <f>$F$22-(SUM($E$27:AI27)+AJ27/2)-(SUM($E$60:AI60)+AJ60/2)</f>
        <v>8477484.8508667052</v>
      </c>
      <c r="AK49" s="176">
        <f>$F$22-(SUM($E$27:AJ27)+AK27/2)-(SUM($E$60:AJ60)+AK60/2)</f>
        <v>7474168.6880212035</v>
      </c>
      <c r="AL49" s="176">
        <f>$F$22-(SUM($E$27:AK27)+AL27/2)-(SUM($E$60:AK60)+AL60/2)</f>
        <v>6470852.5251757009</v>
      </c>
      <c r="AM49" s="176">
        <f>$F$22-(SUM($E$27:AL27)+AM27/2)-(SUM($E$60:AL60)+AM60/2)</f>
        <v>5467536.3623301983</v>
      </c>
      <c r="AN49" s="176">
        <f>$F$22-(SUM($E$27:AM27)+AN27/2)-(SUM($E$60:AM60)+AN60/2)</f>
        <v>4464220.1994846957</v>
      </c>
      <c r="AO49" s="176">
        <f>$F$22-(SUM($E$27:AN27)+AO27/2)-(SUM($E$60:AN60)+AO60/2)</f>
        <v>3460904.0366391935</v>
      </c>
      <c r="AP49" s="176">
        <f>$F$22-(SUM($E$27:AO27)+AP27/2)-(SUM($E$60:AO60)+AP60/2)</f>
        <v>2457587.8737936914</v>
      </c>
      <c r="AQ49" s="176">
        <f>$F$22-(SUM($E$27:AP27)+AQ27/2)-(SUM($E$60:AP60)+AQ60/2)</f>
        <v>1454271.7109481888</v>
      </c>
      <c r="AR49" s="176">
        <f>$F$22-(SUM($E$27:AQ27)+AR27/2)-(SUM($E$60:AQ60)+AR60/2)</f>
        <v>450955.54810268641</v>
      </c>
      <c r="AS49" s="176">
        <f>$F$22-(SUM($E$27:AR27)+AS27/2)-(SUM($E$60:AR60)+AS60/2)</f>
        <v>-50702.533320064831</v>
      </c>
      <c r="AT49" s="176">
        <f>$F$22-(SUM($E$27:AR27)+AT27/2)-(SUM($E$60:AR60)+AT60/2)</f>
        <v>-50702.533320064831</v>
      </c>
      <c r="AU49" s="163">
        <f t="shared" ref="AU49:AU60" si="13">SUM(D49:AT49)</f>
        <v>903526931.99852264</v>
      </c>
    </row>
    <row r="50" spans="1:47" x14ac:dyDescent="0.25">
      <c r="A50" s="283">
        <f t="shared" si="10"/>
        <v>20</v>
      </c>
      <c r="B50" s="25"/>
      <c r="C50" s="25"/>
      <c r="D50" s="288"/>
      <c r="E50" s="14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3">
        <f t="shared" si="13"/>
        <v>0</v>
      </c>
    </row>
    <row r="51" spans="1:47" x14ac:dyDescent="0.25">
      <c r="A51" s="283">
        <f t="shared" si="10"/>
        <v>21</v>
      </c>
      <c r="B51" s="25"/>
      <c r="C51" s="25"/>
      <c r="D51" s="288"/>
      <c r="E51" s="61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3">
        <f t="shared" si="13"/>
        <v>0</v>
      </c>
    </row>
    <row r="52" spans="1:47" x14ac:dyDescent="0.25">
      <c r="A52" s="283">
        <f t="shared" si="10"/>
        <v>22</v>
      </c>
      <c r="B52" s="25" t="s">
        <v>65</v>
      </c>
      <c r="C52" s="25"/>
      <c r="D52" s="288"/>
      <c r="E52" s="61">
        <f>(E34)/(1-$F$15)</f>
        <v>2888107.9983078488</v>
      </c>
      <c r="F52" s="160">
        <f t="shared" ref="F52:AT52" si="14">(F34)/(1-$F$15)</f>
        <v>2796465.1095429314</v>
      </c>
      <c r="G52" s="160">
        <f t="shared" si="14"/>
        <v>2695821.6208429392</v>
      </c>
      <c r="H52" s="160">
        <f t="shared" si="14"/>
        <v>2598382.3088195273</v>
      </c>
      <c r="I52" s="160">
        <f t="shared" si="14"/>
        <v>2503907.3214757908</v>
      </c>
      <c r="J52" s="160">
        <f t="shared" si="14"/>
        <v>2412175.2569684349</v>
      </c>
      <c r="K52" s="160">
        <f t="shared" si="14"/>
        <v>2322980.0885821716</v>
      </c>
      <c r="L52" s="160">
        <f t="shared" si="14"/>
        <v>2236131.1647297191</v>
      </c>
      <c r="M52" s="160">
        <f t="shared" si="14"/>
        <v>2150592.2017834303</v>
      </c>
      <c r="N52" s="160">
        <f t="shared" si="14"/>
        <v>2065240.8153988223</v>
      </c>
      <c r="O52" s="160">
        <f t="shared" si="14"/>
        <v>1979889.4290142143</v>
      </c>
      <c r="P52" s="160">
        <f t="shared" si="14"/>
        <v>1894538.0426296066</v>
      </c>
      <c r="Q52" s="160">
        <f t="shared" si="14"/>
        <v>1809186.6562449983</v>
      </c>
      <c r="R52" s="160">
        <f t="shared" si="14"/>
        <v>1723835.2698603901</v>
      </c>
      <c r="S52" s="160">
        <f t="shared" si="14"/>
        <v>1638483.8834757823</v>
      </c>
      <c r="T52" s="160">
        <f t="shared" si="14"/>
        <v>1553132.4970911744</v>
      </c>
      <c r="U52" s="160">
        <f t="shared" si="14"/>
        <v>1467781.1107065661</v>
      </c>
      <c r="V52" s="160">
        <f t="shared" si="14"/>
        <v>1382429.7243219581</v>
      </c>
      <c r="W52" s="160">
        <f t="shared" si="14"/>
        <v>1297078.3379373499</v>
      </c>
      <c r="X52" s="160">
        <f t="shared" si="14"/>
        <v>1211726.9515527419</v>
      </c>
      <c r="Y52" s="160">
        <f t="shared" si="14"/>
        <v>1133235.9472846878</v>
      </c>
      <c r="Z52" s="160">
        <f t="shared" si="14"/>
        <v>1068462.6322241405</v>
      </c>
      <c r="AA52" s="160">
        <f t="shared" si="14"/>
        <v>1010549.6992801467</v>
      </c>
      <c r="AB52" s="160">
        <f t="shared" si="14"/>
        <v>952636.76633615314</v>
      </c>
      <c r="AC52" s="160">
        <f t="shared" si="14"/>
        <v>894723.83339215966</v>
      </c>
      <c r="AD52" s="160">
        <f t="shared" si="14"/>
        <v>836810.90044816595</v>
      </c>
      <c r="AE52" s="160">
        <f t="shared" si="14"/>
        <v>778897.9675041727</v>
      </c>
      <c r="AF52" s="160">
        <f t="shared" si="14"/>
        <v>720985.03456017899</v>
      </c>
      <c r="AG52" s="160">
        <f t="shared" si="14"/>
        <v>663072.10161618551</v>
      </c>
      <c r="AH52" s="160">
        <f t="shared" si="14"/>
        <v>605159.16867219191</v>
      </c>
      <c r="AI52" s="160">
        <f t="shared" si="14"/>
        <v>547246.23572819843</v>
      </c>
      <c r="AJ52" s="160">
        <f t="shared" si="14"/>
        <v>489333.30278420477</v>
      </c>
      <c r="AK52" s="160">
        <f t="shared" si="14"/>
        <v>431420.36984021123</v>
      </c>
      <c r="AL52" s="160">
        <f t="shared" si="14"/>
        <v>373507.43689621764</v>
      </c>
      <c r="AM52" s="160">
        <f t="shared" si="14"/>
        <v>315594.5039522241</v>
      </c>
      <c r="AN52" s="160">
        <f t="shared" si="14"/>
        <v>257681.57100823053</v>
      </c>
      <c r="AO52" s="160">
        <f t="shared" si="14"/>
        <v>199768.63806423699</v>
      </c>
      <c r="AP52" s="160">
        <f t="shared" si="14"/>
        <v>141855.70512024345</v>
      </c>
      <c r="AQ52" s="160">
        <f t="shared" si="14"/>
        <v>83942.772176249884</v>
      </c>
      <c r="AR52" s="160">
        <f t="shared" si="14"/>
        <v>26029.839232256327</v>
      </c>
      <c r="AS52" s="160">
        <f t="shared" si="14"/>
        <v>-2926.6272397404509</v>
      </c>
      <c r="AT52" s="160">
        <f t="shared" si="14"/>
        <v>-2926.6272397404509</v>
      </c>
      <c r="AU52" s="163">
        <f t="shared" si="13"/>
        <v>52152946.960927382</v>
      </c>
    </row>
    <row r="53" spans="1:47" x14ac:dyDescent="0.25">
      <c r="A53" s="283">
        <f t="shared" si="10"/>
        <v>23</v>
      </c>
      <c r="B53" s="25" t="s">
        <v>66</v>
      </c>
      <c r="C53" s="25"/>
      <c r="D53" s="288"/>
      <c r="E53" s="63">
        <f t="shared" ref="E53:AT53" si="15">E52*$F15</f>
        <v>606502.67964464822</v>
      </c>
      <c r="F53" s="158">
        <f t="shared" si="15"/>
        <v>587257.67300401558</v>
      </c>
      <c r="G53" s="158">
        <f t="shared" si="15"/>
        <v>566122.54037701723</v>
      </c>
      <c r="H53" s="158">
        <f t="shared" si="15"/>
        <v>545660.28485210065</v>
      </c>
      <c r="I53" s="158">
        <f t="shared" si="15"/>
        <v>525820.537509916</v>
      </c>
      <c r="J53" s="158">
        <f t="shared" si="15"/>
        <v>506556.80396337132</v>
      </c>
      <c r="K53" s="158">
        <f t="shared" si="15"/>
        <v>487825.81860225601</v>
      </c>
      <c r="L53" s="158">
        <f t="shared" si="15"/>
        <v>469587.54459324101</v>
      </c>
      <c r="M53" s="158">
        <f t="shared" si="15"/>
        <v>451624.36237452034</v>
      </c>
      <c r="N53" s="158">
        <f t="shared" si="15"/>
        <v>433700.57123375265</v>
      </c>
      <c r="O53" s="158">
        <f t="shared" si="15"/>
        <v>415776.78009298496</v>
      </c>
      <c r="P53" s="158">
        <f t="shared" si="15"/>
        <v>397852.98895221739</v>
      </c>
      <c r="Q53" s="158">
        <f t="shared" si="15"/>
        <v>379929.19781144965</v>
      </c>
      <c r="R53" s="158">
        <f t="shared" si="15"/>
        <v>362005.4066706819</v>
      </c>
      <c r="S53" s="158">
        <f t="shared" si="15"/>
        <v>344081.61552991427</v>
      </c>
      <c r="T53" s="158">
        <f t="shared" si="15"/>
        <v>326157.82438914658</v>
      </c>
      <c r="U53" s="158">
        <f t="shared" si="15"/>
        <v>308234.0332483789</v>
      </c>
      <c r="V53" s="158">
        <f t="shared" si="15"/>
        <v>290310.24210761121</v>
      </c>
      <c r="W53" s="158">
        <f t="shared" si="15"/>
        <v>272386.45096684346</v>
      </c>
      <c r="X53" s="158">
        <f t="shared" si="15"/>
        <v>254462.6598260758</v>
      </c>
      <c r="Y53" s="158">
        <f t="shared" si="15"/>
        <v>237979.54892978442</v>
      </c>
      <c r="Z53" s="158">
        <f t="shared" si="15"/>
        <v>224377.15276706949</v>
      </c>
      <c r="AA53" s="158">
        <f t="shared" si="15"/>
        <v>212215.43684883081</v>
      </c>
      <c r="AB53" s="158">
        <f t="shared" si="15"/>
        <v>200053.72093059216</v>
      </c>
      <c r="AC53" s="158">
        <f t="shared" si="15"/>
        <v>187892.00501235353</v>
      </c>
      <c r="AD53" s="158">
        <f t="shared" si="15"/>
        <v>175730.28909411485</v>
      </c>
      <c r="AE53" s="158">
        <f t="shared" si="15"/>
        <v>163568.57317587626</v>
      </c>
      <c r="AF53" s="158">
        <f t="shared" si="15"/>
        <v>151406.85725763757</v>
      </c>
      <c r="AG53" s="158">
        <f t="shared" si="15"/>
        <v>139245.14133939895</v>
      </c>
      <c r="AH53" s="158">
        <f t="shared" si="15"/>
        <v>127083.4254211603</v>
      </c>
      <c r="AI53" s="158">
        <f t="shared" si="15"/>
        <v>114921.70950292167</v>
      </c>
      <c r="AJ53" s="158">
        <f t="shared" si="15"/>
        <v>102759.993584683</v>
      </c>
      <c r="AK53" s="158">
        <f t="shared" si="15"/>
        <v>90598.277666444352</v>
      </c>
      <c r="AL53" s="158">
        <f t="shared" si="15"/>
        <v>78436.561748205699</v>
      </c>
      <c r="AM53" s="158">
        <f t="shared" si="15"/>
        <v>66274.84582996706</v>
      </c>
      <c r="AN53" s="158">
        <f t="shared" si="15"/>
        <v>54113.129911728407</v>
      </c>
      <c r="AO53" s="158">
        <f t="shared" si="15"/>
        <v>41951.413993489768</v>
      </c>
      <c r="AP53" s="158">
        <f t="shared" si="15"/>
        <v>29789.698075251123</v>
      </c>
      <c r="AQ53" s="158">
        <f t="shared" si="15"/>
        <v>17627.982157012477</v>
      </c>
      <c r="AR53" s="158">
        <f t="shared" si="15"/>
        <v>5466.2662387738283</v>
      </c>
      <c r="AS53" s="158">
        <f t="shared" si="15"/>
        <v>-614.59172034549465</v>
      </c>
      <c r="AT53" s="158">
        <f t="shared" si="15"/>
        <v>-614.59172034549465</v>
      </c>
      <c r="AU53" s="163">
        <f t="shared" si="13"/>
        <v>10952118.861794746</v>
      </c>
    </row>
    <row r="54" spans="1:47" x14ac:dyDescent="0.25">
      <c r="A54" s="283">
        <f t="shared" si="10"/>
        <v>24</v>
      </c>
      <c r="B54" s="25" t="s">
        <v>67</v>
      </c>
      <c r="C54" s="25"/>
      <c r="D54" s="288"/>
      <c r="E54" s="61">
        <f>E52-E53</f>
        <v>2281605.3186632004</v>
      </c>
      <c r="F54" s="160">
        <f t="shared" ref="F54:AT54" si="16">F52-F53</f>
        <v>2209207.4365389161</v>
      </c>
      <c r="G54" s="160">
        <f t="shared" si="16"/>
        <v>2129699.0804659221</v>
      </c>
      <c r="H54" s="160">
        <f t="shared" si="16"/>
        <v>2052722.0239674267</v>
      </c>
      <c r="I54" s="160">
        <f t="shared" si="16"/>
        <v>1978086.7839658749</v>
      </c>
      <c r="J54" s="160">
        <f t="shared" si="16"/>
        <v>1905618.4530050636</v>
      </c>
      <c r="K54" s="160">
        <f t="shared" si="16"/>
        <v>1835154.2699799156</v>
      </c>
      <c r="L54" s="160">
        <f t="shared" si="16"/>
        <v>1766543.620136478</v>
      </c>
      <c r="M54" s="160">
        <f t="shared" si="16"/>
        <v>1698967.8394089099</v>
      </c>
      <c r="N54" s="160">
        <f t="shared" si="16"/>
        <v>1631540.2441650697</v>
      </c>
      <c r="O54" s="160">
        <f t="shared" si="16"/>
        <v>1564112.6489212294</v>
      </c>
      <c r="P54" s="160">
        <f t="shared" si="16"/>
        <v>1496685.0536773892</v>
      </c>
      <c r="Q54" s="160">
        <f t="shared" si="16"/>
        <v>1429257.4584335487</v>
      </c>
      <c r="R54" s="160">
        <f t="shared" si="16"/>
        <v>1361829.8631897082</v>
      </c>
      <c r="S54" s="160">
        <f t="shared" si="16"/>
        <v>1294402.267945868</v>
      </c>
      <c r="T54" s="160">
        <f t="shared" si="16"/>
        <v>1226974.6727020277</v>
      </c>
      <c r="U54" s="160">
        <f t="shared" si="16"/>
        <v>1159547.0774581872</v>
      </c>
      <c r="V54" s="160">
        <f t="shared" si="16"/>
        <v>1092119.482214347</v>
      </c>
      <c r="W54" s="160">
        <f t="shared" si="16"/>
        <v>1024691.8869705065</v>
      </c>
      <c r="X54" s="160">
        <f t="shared" si="16"/>
        <v>957264.29172666615</v>
      </c>
      <c r="Y54" s="160">
        <f t="shared" si="16"/>
        <v>895256.39835490333</v>
      </c>
      <c r="Z54" s="160">
        <f t="shared" si="16"/>
        <v>844085.47945707093</v>
      </c>
      <c r="AA54" s="160">
        <f t="shared" si="16"/>
        <v>798334.26243131596</v>
      </c>
      <c r="AB54" s="160">
        <f t="shared" si="16"/>
        <v>752583.04540556099</v>
      </c>
      <c r="AC54" s="160">
        <f t="shared" si="16"/>
        <v>706831.82837980613</v>
      </c>
      <c r="AD54" s="160">
        <f t="shared" si="16"/>
        <v>661080.61135405116</v>
      </c>
      <c r="AE54" s="160">
        <f t="shared" si="16"/>
        <v>615329.39432829642</v>
      </c>
      <c r="AF54" s="160">
        <f t="shared" si="16"/>
        <v>569578.17730254144</v>
      </c>
      <c r="AG54" s="160">
        <f t="shared" si="16"/>
        <v>523826.96027678659</v>
      </c>
      <c r="AH54" s="160">
        <f t="shared" si="16"/>
        <v>478075.74325103161</v>
      </c>
      <c r="AI54" s="160">
        <f t="shared" si="16"/>
        <v>432324.52622527676</v>
      </c>
      <c r="AJ54" s="160">
        <f t="shared" si="16"/>
        <v>386573.30919952178</v>
      </c>
      <c r="AK54" s="160">
        <f t="shared" si="16"/>
        <v>340822.09217376687</v>
      </c>
      <c r="AL54" s="160">
        <f t="shared" si="16"/>
        <v>295070.87514801195</v>
      </c>
      <c r="AM54" s="160">
        <f t="shared" si="16"/>
        <v>249319.65812225704</v>
      </c>
      <c r="AN54" s="160">
        <f t="shared" si="16"/>
        <v>203568.44109650212</v>
      </c>
      <c r="AO54" s="160">
        <f t="shared" si="16"/>
        <v>157817.22407074721</v>
      </c>
      <c r="AP54" s="160">
        <f t="shared" si="16"/>
        <v>112066.00704499232</v>
      </c>
      <c r="AQ54" s="160">
        <f t="shared" si="16"/>
        <v>66314.790019237407</v>
      </c>
      <c r="AR54" s="160">
        <f t="shared" si="16"/>
        <v>20563.572993482499</v>
      </c>
      <c r="AS54" s="160">
        <f t="shared" si="16"/>
        <v>-2312.0355193949563</v>
      </c>
      <c r="AT54" s="160">
        <f t="shared" si="16"/>
        <v>-2312.0355193949563</v>
      </c>
      <c r="AU54" s="163">
        <f t="shared" si="13"/>
        <v>41200828.099132642</v>
      </c>
    </row>
    <row r="55" spans="1:47" x14ac:dyDescent="0.25">
      <c r="A55" s="283">
        <f t="shared" si="10"/>
        <v>25</v>
      </c>
      <c r="B55" s="25"/>
      <c r="C55" s="25"/>
      <c r="D55" s="288"/>
      <c r="E55" s="291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163">
        <f t="shared" si="13"/>
        <v>0</v>
      </c>
    </row>
    <row r="56" spans="1:47" x14ac:dyDescent="0.25">
      <c r="A56" s="283">
        <f t="shared" si="10"/>
        <v>26</v>
      </c>
      <c r="B56" s="25"/>
      <c r="C56" s="25"/>
      <c r="D56" s="288"/>
      <c r="E56" s="14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163">
        <f t="shared" si="13"/>
        <v>0</v>
      </c>
    </row>
    <row r="57" spans="1:47" x14ac:dyDescent="0.25">
      <c r="A57" s="283">
        <f t="shared" si="10"/>
        <v>27</v>
      </c>
      <c r="B57" s="203" t="s">
        <v>68</v>
      </c>
      <c r="C57" s="203"/>
      <c r="D57" s="289"/>
      <c r="E57" s="204">
        <f>E27+E28</f>
        <v>1270020.4592981029</v>
      </c>
      <c r="F57" s="160">
        <f>F27</f>
        <v>1270020.4592981029</v>
      </c>
      <c r="G57" s="160">
        <f>G27</f>
        <v>1270020.4592981029</v>
      </c>
      <c r="H57" s="160">
        <f t="shared" ref="H57:AT57" si="17">H27</f>
        <v>1270020.4592981029</v>
      </c>
      <c r="I57" s="160">
        <f t="shared" si="17"/>
        <v>1270020.4592981029</v>
      </c>
      <c r="J57" s="160">
        <f t="shared" si="17"/>
        <v>1270020.4592981029</v>
      </c>
      <c r="K57" s="160">
        <f t="shared" si="17"/>
        <v>1270020.4592981029</v>
      </c>
      <c r="L57" s="160">
        <f t="shared" si="17"/>
        <v>1270020.4592981029</v>
      </c>
      <c r="M57" s="160">
        <f t="shared" si="17"/>
        <v>1270020.4592981029</v>
      </c>
      <c r="N57" s="160">
        <f t="shared" si="17"/>
        <v>1270020.4592981029</v>
      </c>
      <c r="O57" s="160">
        <f t="shared" si="17"/>
        <v>1270020.4592981029</v>
      </c>
      <c r="P57" s="160">
        <f t="shared" si="17"/>
        <v>1270020.4592981029</v>
      </c>
      <c r="Q57" s="160">
        <f t="shared" si="17"/>
        <v>1270020.4592981029</v>
      </c>
      <c r="R57" s="160">
        <f t="shared" si="17"/>
        <v>1270020.4592981029</v>
      </c>
      <c r="S57" s="160">
        <f t="shared" si="17"/>
        <v>1270020.4592981029</v>
      </c>
      <c r="T57" s="160">
        <f t="shared" si="17"/>
        <v>1270020.4592981029</v>
      </c>
      <c r="U57" s="160">
        <f t="shared" si="17"/>
        <v>1270020.4592981029</v>
      </c>
      <c r="V57" s="160">
        <f t="shared" si="17"/>
        <v>1270020.4592981029</v>
      </c>
      <c r="W57" s="160">
        <f t="shared" si="17"/>
        <v>1270020.4592981029</v>
      </c>
      <c r="X57" s="160">
        <f t="shared" si="17"/>
        <v>1270020.4592981029</v>
      </c>
      <c r="Y57" s="160">
        <f t="shared" si="17"/>
        <v>1270020.4592981029</v>
      </c>
      <c r="Z57" s="160">
        <f t="shared" si="17"/>
        <v>1270020.4592981029</v>
      </c>
      <c r="AA57" s="160">
        <f t="shared" si="17"/>
        <v>1270020.4592981029</v>
      </c>
      <c r="AB57" s="160">
        <f t="shared" si="17"/>
        <v>1270020.4592981029</v>
      </c>
      <c r="AC57" s="160">
        <f t="shared" si="17"/>
        <v>1270020.4592981029</v>
      </c>
      <c r="AD57" s="160">
        <f t="shared" si="17"/>
        <v>1270020.4592981029</v>
      </c>
      <c r="AE57" s="160">
        <f t="shared" si="17"/>
        <v>1270020.4592981029</v>
      </c>
      <c r="AF57" s="160">
        <f t="shared" si="17"/>
        <v>1270020.4592981029</v>
      </c>
      <c r="AG57" s="160">
        <f t="shared" si="17"/>
        <v>1270020.4592981029</v>
      </c>
      <c r="AH57" s="160">
        <f t="shared" si="17"/>
        <v>1270020.4592981029</v>
      </c>
      <c r="AI57" s="160">
        <f t="shared" si="17"/>
        <v>1270020.4592981029</v>
      </c>
      <c r="AJ57" s="160">
        <f t="shared" si="17"/>
        <v>1270020.4592981029</v>
      </c>
      <c r="AK57" s="160">
        <f t="shared" si="17"/>
        <v>1270020.4592981029</v>
      </c>
      <c r="AL57" s="160">
        <f t="shared" si="17"/>
        <v>1270020.4592981029</v>
      </c>
      <c r="AM57" s="160">
        <f t="shared" si="17"/>
        <v>1270020.4592981029</v>
      </c>
      <c r="AN57" s="160">
        <f t="shared" si="17"/>
        <v>1270020.4592981029</v>
      </c>
      <c r="AO57" s="160">
        <f t="shared" si="17"/>
        <v>1270020.4592981029</v>
      </c>
      <c r="AP57" s="160">
        <f t="shared" si="17"/>
        <v>1270020.4592981029</v>
      </c>
      <c r="AQ57" s="160">
        <f t="shared" si="17"/>
        <v>1270020.4592981029</v>
      </c>
      <c r="AR57" s="160">
        <f t="shared" si="17"/>
        <v>1270020.4592981029</v>
      </c>
      <c r="AS57" s="160">
        <f t="shared" si="17"/>
        <v>0</v>
      </c>
      <c r="AT57" s="160">
        <f t="shared" si="17"/>
        <v>0</v>
      </c>
      <c r="AU57" s="163">
        <f t="shared" si="13"/>
        <v>50800818.37192414</v>
      </c>
    </row>
    <row r="58" spans="1:47" x14ac:dyDescent="0.25">
      <c r="A58" s="283">
        <f t="shared" si="10"/>
        <v>28</v>
      </c>
      <c r="B58" s="25" t="s">
        <v>69</v>
      </c>
      <c r="C58" s="25"/>
      <c r="D58" s="288"/>
      <c r="E58" s="61">
        <f>$F22*E62</f>
        <v>1902623.9231250007</v>
      </c>
      <c r="F58" s="160">
        <f t="shared" ref="F58:AT58" si="18">$F22*F62</f>
        <v>3662677.8936105017</v>
      </c>
      <c r="G58" s="160">
        <f t="shared" si="18"/>
        <v>3387685.3159215008</v>
      </c>
      <c r="H58" s="160">
        <f t="shared" si="18"/>
        <v>3134002.1261715009</v>
      </c>
      <c r="I58" s="160">
        <f t="shared" si="18"/>
        <v>2898584.1260835011</v>
      </c>
      <c r="J58" s="160">
        <f t="shared" si="18"/>
        <v>2681431.3156575011</v>
      </c>
      <c r="K58" s="160">
        <f t="shared" si="18"/>
        <v>2480006.8629960008</v>
      </c>
      <c r="L58" s="160">
        <f t="shared" si="18"/>
        <v>2294310.7680990011</v>
      </c>
      <c r="M58" s="160">
        <f t="shared" si="18"/>
        <v>2263868.785329001</v>
      </c>
      <c r="N58" s="160">
        <f t="shared" si="18"/>
        <v>2263361.4189495011</v>
      </c>
      <c r="O58" s="160">
        <f t="shared" si="18"/>
        <v>2263868.785329001</v>
      </c>
      <c r="P58" s="160">
        <f t="shared" si="18"/>
        <v>2263361.4189495011</v>
      </c>
      <c r="Q58" s="160">
        <f t="shared" si="18"/>
        <v>2263868.785329001</v>
      </c>
      <c r="R58" s="160">
        <f t="shared" si="18"/>
        <v>2263361.4189495011</v>
      </c>
      <c r="S58" s="160">
        <f t="shared" si="18"/>
        <v>2263868.785329001</v>
      </c>
      <c r="T58" s="160">
        <f t="shared" si="18"/>
        <v>2263361.4189495011</v>
      </c>
      <c r="U58" s="160">
        <f t="shared" si="18"/>
        <v>2263868.785329001</v>
      </c>
      <c r="V58" s="160">
        <f t="shared" si="18"/>
        <v>2263361.4189495011</v>
      </c>
      <c r="W58" s="160">
        <f t="shared" si="18"/>
        <v>2263868.785329001</v>
      </c>
      <c r="X58" s="160">
        <f t="shared" si="18"/>
        <v>2263361.4189495011</v>
      </c>
      <c r="Y58" s="160">
        <f t="shared" si="18"/>
        <v>1131934.3926645005</v>
      </c>
      <c r="Z58" s="160">
        <f t="shared" si="18"/>
        <v>0</v>
      </c>
      <c r="AA58" s="160">
        <f t="shared" si="18"/>
        <v>0</v>
      </c>
      <c r="AB58" s="160">
        <f t="shared" si="18"/>
        <v>0</v>
      </c>
      <c r="AC58" s="160">
        <f t="shared" si="18"/>
        <v>0</v>
      </c>
      <c r="AD58" s="160">
        <f t="shared" si="18"/>
        <v>0</v>
      </c>
      <c r="AE58" s="160">
        <f t="shared" si="18"/>
        <v>0</v>
      </c>
      <c r="AF58" s="160">
        <f t="shared" si="18"/>
        <v>0</v>
      </c>
      <c r="AG58" s="160">
        <f t="shared" si="18"/>
        <v>0</v>
      </c>
      <c r="AH58" s="160">
        <f t="shared" si="18"/>
        <v>0</v>
      </c>
      <c r="AI58" s="160">
        <f t="shared" si="18"/>
        <v>0</v>
      </c>
      <c r="AJ58" s="160">
        <f t="shared" si="18"/>
        <v>0</v>
      </c>
      <c r="AK58" s="160">
        <f t="shared" si="18"/>
        <v>0</v>
      </c>
      <c r="AL58" s="160">
        <f t="shared" si="18"/>
        <v>0</v>
      </c>
      <c r="AM58" s="160">
        <f t="shared" si="18"/>
        <v>0</v>
      </c>
      <c r="AN58" s="160">
        <f t="shared" si="18"/>
        <v>0</v>
      </c>
      <c r="AO58" s="160">
        <f t="shared" si="18"/>
        <v>0</v>
      </c>
      <c r="AP58" s="160">
        <f t="shared" si="18"/>
        <v>0</v>
      </c>
      <c r="AQ58" s="160">
        <f t="shared" si="18"/>
        <v>0</v>
      </c>
      <c r="AR58" s="160">
        <f t="shared" si="18"/>
        <v>0</v>
      </c>
      <c r="AS58" s="160">
        <f t="shared" si="18"/>
        <v>0</v>
      </c>
      <c r="AT58" s="160">
        <f t="shared" si="18"/>
        <v>0</v>
      </c>
      <c r="AU58" s="163">
        <f t="shared" si="13"/>
        <v>50736637.950000003</v>
      </c>
    </row>
    <row r="59" spans="1:47" x14ac:dyDescent="0.25">
      <c r="A59" s="283">
        <f t="shared" si="10"/>
        <v>29</v>
      </c>
      <c r="B59" s="25" t="s">
        <v>70</v>
      </c>
      <c r="C59" s="25"/>
      <c r="D59" s="288"/>
      <c r="E59" s="61">
        <f>E58-E57</f>
        <v>632603.46382689779</v>
      </c>
      <c r="F59" s="160">
        <f>F58-F57</f>
        <v>2392657.4343123985</v>
      </c>
      <c r="G59" s="160">
        <f>G58-G57</f>
        <v>2117664.8566233981</v>
      </c>
      <c r="H59" s="160">
        <f t="shared" ref="H59:AT59" si="19">H58-H57</f>
        <v>1863981.666873398</v>
      </c>
      <c r="I59" s="160">
        <f t="shared" si="19"/>
        <v>1628563.6667853983</v>
      </c>
      <c r="J59" s="160">
        <f t="shared" si="19"/>
        <v>1411410.8563593982</v>
      </c>
      <c r="K59" s="160">
        <f t="shared" si="19"/>
        <v>1209986.4036978979</v>
      </c>
      <c r="L59" s="160">
        <f t="shared" si="19"/>
        <v>1024290.3088008983</v>
      </c>
      <c r="M59" s="160">
        <f t="shared" si="19"/>
        <v>993848.32603089814</v>
      </c>
      <c r="N59" s="160">
        <f t="shared" si="19"/>
        <v>993340.95965139824</v>
      </c>
      <c r="O59" s="160">
        <f t="shared" si="19"/>
        <v>993848.32603089814</v>
      </c>
      <c r="P59" s="160">
        <f t="shared" si="19"/>
        <v>993340.95965139824</v>
      </c>
      <c r="Q59" s="160">
        <f t="shared" si="19"/>
        <v>993848.32603089814</v>
      </c>
      <c r="R59" s="160">
        <f t="shared" si="19"/>
        <v>993340.95965139824</v>
      </c>
      <c r="S59" s="160">
        <f t="shared" si="19"/>
        <v>993848.32603089814</v>
      </c>
      <c r="T59" s="160">
        <f t="shared" si="19"/>
        <v>993340.95965139824</v>
      </c>
      <c r="U59" s="160">
        <f t="shared" si="19"/>
        <v>993848.32603089814</v>
      </c>
      <c r="V59" s="160">
        <f t="shared" si="19"/>
        <v>993340.95965139824</v>
      </c>
      <c r="W59" s="160">
        <f t="shared" si="19"/>
        <v>993848.32603089814</v>
      </c>
      <c r="X59" s="160">
        <f t="shared" si="19"/>
        <v>993340.95965139824</v>
      </c>
      <c r="Y59" s="160">
        <f t="shared" si="19"/>
        <v>-138086.06663360237</v>
      </c>
      <c r="Z59" s="160">
        <f t="shared" si="19"/>
        <v>-1270020.4592981029</v>
      </c>
      <c r="AA59" s="160">
        <f t="shared" si="19"/>
        <v>-1270020.4592981029</v>
      </c>
      <c r="AB59" s="160">
        <f t="shared" si="19"/>
        <v>-1270020.4592981029</v>
      </c>
      <c r="AC59" s="160">
        <f t="shared" si="19"/>
        <v>-1270020.4592981029</v>
      </c>
      <c r="AD59" s="160">
        <f t="shared" si="19"/>
        <v>-1270020.4592981029</v>
      </c>
      <c r="AE59" s="160">
        <f t="shared" si="19"/>
        <v>-1270020.4592981029</v>
      </c>
      <c r="AF59" s="160">
        <f t="shared" si="19"/>
        <v>-1270020.4592981029</v>
      </c>
      <c r="AG59" s="160">
        <f t="shared" si="19"/>
        <v>-1270020.4592981029</v>
      </c>
      <c r="AH59" s="160">
        <f t="shared" si="19"/>
        <v>-1270020.4592981029</v>
      </c>
      <c r="AI59" s="160">
        <f t="shared" si="19"/>
        <v>-1270020.4592981029</v>
      </c>
      <c r="AJ59" s="160">
        <f t="shared" si="19"/>
        <v>-1270020.4592981029</v>
      </c>
      <c r="AK59" s="160">
        <f t="shared" si="19"/>
        <v>-1270020.4592981029</v>
      </c>
      <c r="AL59" s="160">
        <f t="shared" si="19"/>
        <v>-1270020.4592981029</v>
      </c>
      <c r="AM59" s="160">
        <f t="shared" si="19"/>
        <v>-1270020.4592981029</v>
      </c>
      <c r="AN59" s="160">
        <f t="shared" si="19"/>
        <v>-1270020.4592981029</v>
      </c>
      <c r="AO59" s="160">
        <f t="shared" si="19"/>
        <v>-1270020.4592981029</v>
      </c>
      <c r="AP59" s="160">
        <f t="shared" si="19"/>
        <v>-1270020.4592981029</v>
      </c>
      <c r="AQ59" s="160">
        <f t="shared" si="19"/>
        <v>-1270020.4592981029</v>
      </c>
      <c r="AR59" s="160">
        <f t="shared" si="19"/>
        <v>-1270020.4592981029</v>
      </c>
      <c r="AS59" s="160">
        <f t="shared" si="19"/>
        <v>0</v>
      </c>
      <c r="AT59" s="160">
        <f t="shared" si="19"/>
        <v>0</v>
      </c>
      <c r="AU59" s="163">
        <f t="shared" si="13"/>
        <v>-64180.421924086753</v>
      </c>
    </row>
    <row r="60" spans="1:47" x14ac:dyDescent="0.25">
      <c r="A60" s="283">
        <f t="shared" si="10"/>
        <v>30</v>
      </c>
      <c r="B60" s="25" t="s">
        <v>71</v>
      </c>
      <c r="C60" s="25"/>
      <c r="D60" s="288"/>
      <c r="E60" s="61">
        <f>E59*F15</f>
        <v>132846.72740364852</v>
      </c>
      <c r="F60" s="160">
        <f t="shared" ref="F60:AT60" si="20">F59*$F$15</f>
        <v>502458.06120560365</v>
      </c>
      <c r="G60" s="160">
        <f t="shared" si="20"/>
        <v>444709.6198909136</v>
      </c>
      <c r="H60" s="160">
        <f t="shared" si="20"/>
        <v>391436.15004341357</v>
      </c>
      <c r="I60" s="160">
        <f t="shared" si="20"/>
        <v>341998.3700249336</v>
      </c>
      <c r="J60" s="160">
        <f t="shared" si="20"/>
        <v>296396.27983547363</v>
      </c>
      <c r="K60" s="160">
        <f t="shared" si="20"/>
        <v>254097.14477655856</v>
      </c>
      <c r="L60" s="160">
        <f t="shared" si="20"/>
        <v>215100.96484818863</v>
      </c>
      <c r="M60" s="160">
        <f t="shared" si="20"/>
        <v>208708.14846648861</v>
      </c>
      <c r="N60" s="160">
        <f t="shared" si="20"/>
        <v>208601.60152679362</v>
      </c>
      <c r="O60" s="160">
        <f t="shared" si="20"/>
        <v>208708.14846648861</v>
      </c>
      <c r="P60" s="160">
        <f t="shared" si="20"/>
        <v>208601.60152679362</v>
      </c>
      <c r="Q60" s="160">
        <f t="shared" si="20"/>
        <v>208708.14846648861</v>
      </c>
      <c r="R60" s="160">
        <f t="shared" si="20"/>
        <v>208601.60152679362</v>
      </c>
      <c r="S60" s="160">
        <f t="shared" si="20"/>
        <v>208708.14846648861</v>
      </c>
      <c r="T60" s="160">
        <f t="shared" si="20"/>
        <v>208601.60152679362</v>
      </c>
      <c r="U60" s="160">
        <f t="shared" si="20"/>
        <v>208708.14846648861</v>
      </c>
      <c r="V60" s="160">
        <f t="shared" si="20"/>
        <v>208601.60152679362</v>
      </c>
      <c r="W60" s="160">
        <f t="shared" si="20"/>
        <v>208708.14846648861</v>
      </c>
      <c r="X60" s="160">
        <f t="shared" si="20"/>
        <v>208601.60152679362</v>
      </c>
      <c r="Y60" s="160">
        <f t="shared" si="20"/>
        <v>-28998.073993056496</v>
      </c>
      <c r="Z60" s="160">
        <f t="shared" si="20"/>
        <v>-266704.29645260161</v>
      </c>
      <c r="AA60" s="160">
        <f t="shared" si="20"/>
        <v>-266704.29645260161</v>
      </c>
      <c r="AB60" s="160">
        <f t="shared" si="20"/>
        <v>-266704.29645260161</v>
      </c>
      <c r="AC60" s="160">
        <f t="shared" si="20"/>
        <v>-266704.29645260161</v>
      </c>
      <c r="AD60" s="160">
        <f t="shared" si="20"/>
        <v>-266704.29645260161</v>
      </c>
      <c r="AE60" s="160">
        <f t="shared" si="20"/>
        <v>-266704.29645260161</v>
      </c>
      <c r="AF60" s="160">
        <f t="shared" si="20"/>
        <v>-266704.29645260161</v>
      </c>
      <c r="AG60" s="160">
        <f t="shared" si="20"/>
        <v>-266704.29645260161</v>
      </c>
      <c r="AH60" s="160">
        <f t="shared" si="20"/>
        <v>-266704.29645260161</v>
      </c>
      <c r="AI60" s="160">
        <f t="shared" si="20"/>
        <v>-266704.29645260161</v>
      </c>
      <c r="AJ60" s="160">
        <f t="shared" si="20"/>
        <v>-266704.29645260161</v>
      </c>
      <c r="AK60" s="160">
        <f t="shared" si="20"/>
        <v>-266704.29645260161</v>
      </c>
      <c r="AL60" s="160">
        <f t="shared" si="20"/>
        <v>-266704.29645260161</v>
      </c>
      <c r="AM60" s="160">
        <f t="shared" si="20"/>
        <v>-266704.29645260161</v>
      </c>
      <c r="AN60" s="160">
        <f t="shared" si="20"/>
        <v>-266704.29645260161</v>
      </c>
      <c r="AO60" s="160">
        <f t="shared" si="20"/>
        <v>-266704.29645260161</v>
      </c>
      <c r="AP60" s="160">
        <f t="shared" si="20"/>
        <v>-266704.29645260161</v>
      </c>
      <c r="AQ60" s="160">
        <f t="shared" si="20"/>
        <v>-266704.29645260161</v>
      </c>
      <c r="AR60" s="160">
        <f t="shared" si="20"/>
        <v>-266704.29645260161</v>
      </c>
      <c r="AS60" s="160">
        <f t="shared" si="20"/>
        <v>0</v>
      </c>
      <c r="AT60" s="160">
        <f t="shared" si="20"/>
        <v>0</v>
      </c>
      <c r="AU60" s="163">
        <f t="shared" si="13"/>
        <v>-13477.888604056847</v>
      </c>
    </row>
    <row r="61" spans="1:47" x14ac:dyDescent="0.25">
      <c r="A61" s="283">
        <f t="shared" si="10"/>
        <v>31</v>
      </c>
      <c r="B61" s="25"/>
      <c r="C61" s="25"/>
      <c r="D61" s="288"/>
      <c r="E61" s="140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288"/>
    </row>
    <row r="62" spans="1:47" s="73" customFormat="1" x14ac:dyDescent="0.25">
      <c r="A62" s="283">
        <f t="shared" si="10"/>
        <v>32</v>
      </c>
      <c r="B62" s="25" t="str">
        <f t="shared" ref="B62" si="21">IF($F$18=1,B66,B65)</f>
        <v>MACRS Depreciation - 20</v>
      </c>
      <c r="C62" s="25"/>
      <c r="D62" s="70"/>
      <c r="E62" s="85">
        <f t="shared" ref="E62:Y62" si="22">IF($F$18=1,E66,E65)</f>
        <v>3.7499999999999999E-2</v>
      </c>
      <c r="F62" s="81">
        <f t="shared" si="22"/>
        <v>7.2190000000000004E-2</v>
      </c>
      <c r="G62" s="81">
        <f t="shared" si="22"/>
        <v>6.6769999999999996E-2</v>
      </c>
      <c r="H62" s="84">
        <f t="shared" si="22"/>
        <v>6.1769999999999999E-2</v>
      </c>
      <c r="I62" s="84">
        <f t="shared" si="22"/>
        <v>5.713E-2</v>
      </c>
      <c r="J62" s="84">
        <f t="shared" si="22"/>
        <v>5.2850000000000001E-2</v>
      </c>
      <c r="K62" s="84">
        <f t="shared" si="22"/>
        <v>4.888E-2</v>
      </c>
      <c r="L62" s="84">
        <f t="shared" si="22"/>
        <v>4.5220000000000003E-2</v>
      </c>
      <c r="M62" s="84">
        <f t="shared" si="22"/>
        <v>4.462E-2</v>
      </c>
      <c r="N62" s="84">
        <f t="shared" si="22"/>
        <v>4.4610000000000004E-2</v>
      </c>
      <c r="O62" s="84">
        <f t="shared" si="22"/>
        <v>4.462E-2</v>
      </c>
      <c r="P62" s="84">
        <f t="shared" si="22"/>
        <v>4.4610000000000004E-2</v>
      </c>
      <c r="Q62" s="84">
        <f t="shared" si="22"/>
        <v>4.462E-2</v>
      </c>
      <c r="R62" s="84">
        <f t="shared" si="22"/>
        <v>4.4610000000000004E-2</v>
      </c>
      <c r="S62" s="84">
        <f t="shared" si="22"/>
        <v>4.462E-2</v>
      </c>
      <c r="T62" s="84">
        <f t="shared" si="22"/>
        <v>4.4610000000000004E-2</v>
      </c>
      <c r="U62" s="84">
        <f t="shared" si="22"/>
        <v>4.462E-2</v>
      </c>
      <c r="V62" s="84">
        <f t="shared" si="22"/>
        <v>4.4610000000000004E-2</v>
      </c>
      <c r="W62" s="84">
        <f t="shared" si="22"/>
        <v>4.462E-2</v>
      </c>
      <c r="X62" s="84">
        <f t="shared" si="22"/>
        <v>4.4610000000000004E-2</v>
      </c>
      <c r="Y62" s="84">
        <f t="shared" si="22"/>
        <v>2.231E-2</v>
      </c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0"/>
    </row>
    <row r="63" spans="1:47" outlineLevel="1" x14ac:dyDescent="0.35">
      <c r="A63" s="283">
        <f t="shared" si="10"/>
        <v>33</v>
      </c>
      <c r="B63" s="25"/>
      <c r="C63" s="292"/>
      <c r="E63" s="293"/>
      <c r="F63" s="294"/>
      <c r="G63" s="294"/>
      <c r="H63" s="294"/>
      <c r="I63" s="294"/>
      <c r="J63" s="294"/>
      <c r="K63" s="294"/>
      <c r="L63" s="294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6"/>
    </row>
    <row r="64" spans="1:47" outlineLevel="1" x14ac:dyDescent="0.35">
      <c r="A64" s="283">
        <f t="shared" si="10"/>
        <v>34</v>
      </c>
      <c r="B64" s="25"/>
      <c r="C64" s="292"/>
      <c r="E64" s="293"/>
      <c r="F64" s="294"/>
      <c r="G64" s="294"/>
      <c r="H64" s="294"/>
      <c r="I64" s="294"/>
      <c r="J64" s="294"/>
      <c r="K64" s="294"/>
      <c r="L64" s="294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6"/>
    </row>
    <row r="65" spans="1:42" s="73" customFormat="1" x14ac:dyDescent="0.35">
      <c r="A65" s="283">
        <f t="shared" si="10"/>
        <v>35</v>
      </c>
      <c r="B65" s="25" t="s">
        <v>72</v>
      </c>
      <c r="C65" s="25"/>
      <c r="D65" s="74">
        <v>0</v>
      </c>
      <c r="E65" s="82">
        <f>'MACRS 20'!B5</f>
        <v>3.7499999999999999E-2</v>
      </c>
      <c r="F65" s="81">
        <f>'MACRS 20'!C5</f>
        <v>7.2190000000000004E-2</v>
      </c>
      <c r="G65" s="81">
        <f>'MACRS 20'!D5</f>
        <v>6.6769999999999996E-2</v>
      </c>
      <c r="H65" s="83">
        <f>'MACRS 20'!E5</f>
        <v>6.1769999999999999E-2</v>
      </c>
      <c r="I65" s="83">
        <f>'MACRS 20'!F5</f>
        <v>5.713E-2</v>
      </c>
      <c r="J65" s="83">
        <f>'MACRS 20'!G5</f>
        <v>5.2850000000000001E-2</v>
      </c>
      <c r="K65" s="83">
        <f>'MACRS 20'!H5</f>
        <v>4.888E-2</v>
      </c>
      <c r="L65" s="83">
        <f>'MACRS 20'!I5</f>
        <v>4.5220000000000003E-2</v>
      </c>
      <c r="M65" s="83">
        <f>'MACRS 20'!J5</f>
        <v>4.462E-2</v>
      </c>
      <c r="N65" s="83">
        <f>'MACRS 20'!K5</f>
        <v>4.4610000000000004E-2</v>
      </c>
      <c r="O65" s="83">
        <f>'MACRS 20'!L5</f>
        <v>4.462E-2</v>
      </c>
      <c r="P65" s="83">
        <f>'MACRS 20'!M5</f>
        <v>4.4610000000000004E-2</v>
      </c>
      <c r="Q65" s="83">
        <f>'MACRS 20'!N5</f>
        <v>4.462E-2</v>
      </c>
      <c r="R65" s="83">
        <f>'MACRS 20'!O5</f>
        <v>4.4610000000000004E-2</v>
      </c>
      <c r="S65" s="83">
        <f>'MACRS 20'!P5</f>
        <v>4.462E-2</v>
      </c>
      <c r="T65" s="83">
        <f>'MACRS 20'!Q5</f>
        <v>4.4610000000000004E-2</v>
      </c>
      <c r="U65" s="83">
        <f>'MACRS 20'!R5</f>
        <v>4.462E-2</v>
      </c>
      <c r="V65" s="83">
        <f>'MACRS 20'!S5</f>
        <v>4.4610000000000004E-2</v>
      </c>
      <c r="W65" s="83">
        <f>'MACRS 20'!T5</f>
        <v>4.462E-2</v>
      </c>
      <c r="X65" s="83">
        <f>'MACRS 20'!U5</f>
        <v>4.4610000000000004E-2</v>
      </c>
      <c r="Y65" s="83">
        <f>'MACRS 20'!V5</f>
        <v>2.231E-2</v>
      </c>
      <c r="Z65" s="75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0"/>
      <c r="AP65" s="76"/>
    </row>
    <row r="66" spans="1:42" x14ac:dyDescent="0.25">
      <c r="A66" s="283">
        <f t="shared" si="10"/>
        <v>36</v>
      </c>
      <c r="B66" s="25" t="s">
        <v>73</v>
      </c>
      <c r="C66" s="25"/>
      <c r="D66" s="74">
        <v>0</v>
      </c>
      <c r="E66" s="82">
        <f>'MACRS 20'!B6</f>
        <v>0.51875000000000004</v>
      </c>
      <c r="F66" s="81">
        <f>'MACRS 20'!C6</f>
        <v>3.6095000000000002E-2</v>
      </c>
      <c r="G66" s="81">
        <f>'MACRS 20'!D6</f>
        <v>3.3384999999999998E-2</v>
      </c>
      <c r="H66" s="84">
        <f>'MACRS 20'!E6</f>
        <v>3.0884999999999999E-2</v>
      </c>
      <c r="I66" s="84">
        <f>'MACRS 20'!F6</f>
        <v>2.8565E-2</v>
      </c>
      <c r="J66" s="84">
        <f>'MACRS 20'!G6</f>
        <v>2.6425000000000001E-2</v>
      </c>
      <c r="K66" s="84">
        <f>'MACRS 20'!H6</f>
        <v>2.444E-2</v>
      </c>
      <c r="L66" s="84">
        <f>'MACRS 20'!I6</f>
        <v>2.2610000000000002E-2</v>
      </c>
      <c r="M66" s="84">
        <f>'MACRS 20'!J6</f>
        <v>2.231E-2</v>
      </c>
      <c r="N66" s="84">
        <f>'MACRS 20'!K6</f>
        <v>2.2305000000000002E-2</v>
      </c>
      <c r="O66" s="84">
        <f>'MACRS 20'!L6</f>
        <v>2.231E-2</v>
      </c>
      <c r="P66" s="84">
        <f>'MACRS 20'!M6</f>
        <v>2.2305000000000002E-2</v>
      </c>
      <c r="Q66" s="84">
        <f>'MACRS 20'!N6</f>
        <v>2.231E-2</v>
      </c>
      <c r="R66" s="84">
        <f>'MACRS 20'!O6</f>
        <v>2.2305000000000002E-2</v>
      </c>
      <c r="S66" s="84">
        <f>'MACRS 20'!P6</f>
        <v>2.231E-2</v>
      </c>
      <c r="T66" s="84">
        <f>'MACRS 20'!Q6</f>
        <v>2.2305000000000002E-2</v>
      </c>
      <c r="U66" s="84">
        <f>'MACRS 20'!R6</f>
        <v>2.231E-2</v>
      </c>
      <c r="V66" s="84">
        <f>'MACRS 20'!S6</f>
        <v>2.2305000000000002E-2</v>
      </c>
      <c r="W66" s="84">
        <f>'MACRS 20'!T6</f>
        <v>2.231E-2</v>
      </c>
      <c r="X66" s="84">
        <f>'MACRS 20'!U6</f>
        <v>2.2305000000000002E-2</v>
      </c>
      <c r="Y66" s="84">
        <f>'MACRS 20'!V6</f>
        <v>1.1155E-2</v>
      </c>
      <c r="Z66" s="72"/>
      <c r="AA66" s="72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288"/>
      <c r="AO66" s="26"/>
      <c r="AP66" s="76">
        <f>SUM(D66:AO66)</f>
        <v>1.0000000000000004</v>
      </c>
    </row>
    <row r="69" spans="1:42" x14ac:dyDescent="0.35">
      <c r="B69" s="78"/>
    </row>
  </sheetData>
  <mergeCells count="1">
    <mergeCell ref="E1:F1"/>
  </mergeCells>
  <printOptions horizontalCentered="1"/>
  <pageMargins left="0.75" right="0.5" top="0.5" bottom="0.5" header="0.5" footer="0.25"/>
  <pageSetup scale="15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H28"/>
  <sheetViews>
    <sheetView zoomScale="70" zoomScaleNormal="70" workbookViewId="0">
      <selection activeCell="B2" sqref="B2:L2"/>
    </sheetView>
  </sheetViews>
  <sheetFormatPr defaultColWidth="8.90625" defaultRowHeight="14.5" x14ac:dyDescent="0.35"/>
  <cols>
    <col min="1" max="1" width="8.90625" style="297"/>
    <col min="2" max="2" width="29.54296875" style="297" customWidth="1"/>
    <col min="3" max="3" width="15.6328125" style="297" customWidth="1"/>
    <col min="4" max="4" width="15.453125" style="298" customWidth="1"/>
    <col min="5" max="5" width="14.54296875" style="298" customWidth="1"/>
    <col min="6" max="6" width="15.453125" style="298" customWidth="1"/>
    <col min="7" max="7" width="16.6328125" style="298" customWidth="1"/>
    <col min="8" max="8" width="19.54296875" style="298" bestFit="1" customWidth="1"/>
    <col min="9" max="16384" width="8.90625" style="297"/>
  </cols>
  <sheetData>
    <row r="2" spans="2:8" x14ac:dyDescent="0.35">
      <c r="B2" s="296" t="s">
        <v>319</v>
      </c>
    </row>
    <row r="3" spans="2:8" ht="43.5" x14ac:dyDescent="0.35">
      <c r="B3" s="299" t="s">
        <v>320</v>
      </c>
      <c r="C3" s="300" t="s">
        <v>302</v>
      </c>
      <c r="D3" s="301" t="s">
        <v>372</v>
      </c>
      <c r="E3" s="301" t="s">
        <v>373</v>
      </c>
      <c r="F3" s="302" t="s">
        <v>90</v>
      </c>
      <c r="G3" s="301" t="s">
        <v>13</v>
      </c>
      <c r="H3" s="302" t="s">
        <v>321</v>
      </c>
    </row>
    <row r="4" spans="2:8" x14ac:dyDescent="0.35">
      <c r="B4" s="303" t="s">
        <v>322</v>
      </c>
      <c r="C4" s="304" t="s">
        <v>323</v>
      </c>
      <c r="D4" s="305">
        <v>1838576.0599999996</v>
      </c>
      <c r="E4" s="305">
        <v>2216955</v>
      </c>
      <c r="F4" s="305">
        <f>+D4+E4</f>
        <v>4055531.0599999996</v>
      </c>
      <c r="G4" s="306">
        <f>'CRM CAP Forecast'!B20</f>
        <v>3.1950138602539598E-2</v>
      </c>
      <c r="H4" s="307">
        <f>+G4*F4</f>
        <v>129574.77947390432</v>
      </c>
    </row>
    <row r="5" spans="2:8" x14ac:dyDescent="0.35">
      <c r="B5" s="303" t="s">
        <v>324</v>
      </c>
      <c r="C5" s="304" t="s">
        <v>95</v>
      </c>
      <c r="D5" s="308">
        <v>36238449.890000015</v>
      </c>
      <c r="E5" s="308">
        <v>10442657</v>
      </c>
      <c r="F5" s="308">
        <f>+D5+E5</f>
        <v>46681106.890000015</v>
      </c>
      <c r="G5" s="306">
        <f>'CRM CAP Forecast'!B19</f>
        <v>2.443056207967733E-2</v>
      </c>
      <c r="H5" s="309">
        <f>+G5*F5</f>
        <v>1140445.6798241986</v>
      </c>
    </row>
    <row r="6" spans="2:8" ht="15" thickBot="1" x14ac:dyDescent="0.4">
      <c r="B6" s="310" t="s">
        <v>90</v>
      </c>
      <c r="C6" s="311"/>
      <c r="D6" s="312">
        <f>SUM(D4:D5)</f>
        <v>38077025.950000018</v>
      </c>
      <c r="E6" s="312">
        <f t="shared" ref="E6:F6" si="0">SUM(E4:E5)</f>
        <v>12659612</v>
      </c>
      <c r="F6" s="312">
        <f t="shared" si="0"/>
        <v>50736637.950000018</v>
      </c>
      <c r="G6" s="313"/>
      <c r="H6" s="312">
        <f>SUM(H4:H5)</f>
        <v>1270020.4592981029</v>
      </c>
    </row>
    <row r="7" spans="2:8" ht="15" thickTop="1" x14ac:dyDescent="0.35">
      <c r="B7" s="197" t="s">
        <v>93</v>
      </c>
      <c r="D7" s="314"/>
      <c r="E7" s="314"/>
      <c r="F7" s="314"/>
      <c r="G7" s="306">
        <f>+H6/F6</f>
        <v>2.5031624297803957E-2</v>
      </c>
      <c r="H7" s="314"/>
    </row>
    <row r="8" spans="2:8" x14ac:dyDescent="0.35">
      <c r="B8" s="197" t="s">
        <v>325</v>
      </c>
      <c r="C8" s="298"/>
      <c r="D8" s="314"/>
      <c r="E8" s="314"/>
      <c r="F8" s="314"/>
      <c r="G8" s="315"/>
      <c r="H8" s="314"/>
    </row>
    <row r="9" spans="2:8" x14ac:dyDescent="0.35">
      <c r="B9" s="196" t="s">
        <v>83</v>
      </c>
      <c r="C9" s="316"/>
      <c r="D9" s="313"/>
      <c r="E9" s="313"/>
      <c r="F9" s="306">
        <f>+F4/F6</f>
        <v>7.9932987755251886E-2</v>
      </c>
      <c r="G9" s="306"/>
      <c r="H9" s="306">
        <f>+H4/H6</f>
        <v>0.10202574181010902</v>
      </c>
    </row>
    <row r="10" spans="2:8" x14ac:dyDescent="0.35">
      <c r="B10" s="316" t="s">
        <v>84</v>
      </c>
      <c r="C10" s="316"/>
      <c r="D10" s="313"/>
      <c r="E10" s="313"/>
      <c r="F10" s="306">
        <f>+F5/F6</f>
        <v>0.92006701224474807</v>
      </c>
      <c r="G10" s="306"/>
      <c r="H10" s="306">
        <f>+H5/H6</f>
        <v>0.89797425818989096</v>
      </c>
    </row>
    <row r="11" spans="2:8" x14ac:dyDescent="0.35">
      <c r="B11" s="224"/>
      <c r="D11" s="314"/>
      <c r="E11" s="314"/>
      <c r="F11" s="314"/>
      <c r="G11" s="315"/>
      <c r="H11" s="314"/>
    </row>
    <row r="12" spans="2:8" x14ac:dyDescent="0.35">
      <c r="D12" s="314"/>
      <c r="E12" s="314"/>
      <c r="F12" s="314"/>
      <c r="G12" s="314"/>
      <c r="H12" s="314"/>
    </row>
    <row r="13" spans="2:8" x14ac:dyDescent="0.35">
      <c r="B13" s="317" t="s">
        <v>326</v>
      </c>
      <c r="C13" s="300" t="s">
        <v>302</v>
      </c>
      <c r="D13" s="318" t="s">
        <v>327</v>
      </c>
      <c r="E13" s="318" t="s">
        <v>328</v>
      </c>
      <c r="F13" s="318" t="s">
        <v>90</v>
      </c>
      <c r="G13" s="318" t="s">
        <v>329</v>
      </c>
      <c r="H13" s="318" t="s">
        <v>330</v>
      </c>
    </row>
    <row r="14" spans="2:8" x14ac:dyDescent="0.35">
      <c r="B14" s="303" t="s">
        <v>331</v>
      </c>
      <c r="C14" s="304" t="s">
        <v>332</v>
      </c>
      <c r="D14" s="305">
        <v>291856.68</v>
      </c>
      <c r="E14" s="305">
        <v>206313</v>
      </c>
      <c r="F14" s="319">
        <f>+D14+E14</f>
        <v>498169.68</v>
      </c>
      <c r="G14" s="320">
        <v>878</v>
      </c>
      <c r="H14" s="320" t="s">
        <v>333</v>
      </c>
    </row>
    <row r="15" spans="2:8" x14ac:dyDescent="0.35">
      <c r="B15" s="303" t="s">
        <v>334</v>
      </c>
      <c r="C15" s="304" t="s">
        <v>335</v>
      </c>
      <c r="D15" s="321">
        <v>1354049.6100000122</v>
      </c>
      <c r="E15" s="305">
        <v>2245450</v>
      </c>
      <c r="F15" s="321">
        <f>+D15+E15</f>
        <v>3599499.6100000124</v>
      </c>
      <c r="G15" s="320">
        <v>874</v>
      </c>
      <c r="H15" s="320" t="s">
        <v>336</v>
      </c>
    </row>
    <row r="16" spans="2:8" ht="52.5" x14ac:dyDescent="0.35">
      <c r="B16" s="322" t="s">
        <v>337</v>
      </c>
      <c r="C16" s="323" t="s">
        <v>338</v>
      </c>
      <c r="D16" s="324">
        <v>0</v>
      </c>
      <c r="E16" s="324">
        <v>88000</v>
      </c>
      <c r="F16" s="324">
        <f>+D16+E16</f>
        <v>88000</v>
      </c>
      <c r="G16" s="325" t="s">
        <v>339</v>
      </c>
      <c r="H16" s="320"/>
    </row>
    <row r="17" spans="2:8" ht="15" thickBot="1" x14ac:dyDescent="0.4">
      <c r="B17" s="310" t="s">
        <v>90</v>
      </c>
      <c r="C17" s="311"/>
      <c r="D17" s="312">
        <f>SUM(D14:D16)</f>
        <v>1645906.2900000121</v>
      </c>
      <c r="E17" s="312">
        <f>SUM(E14:E16)</f>
        <v>2539763</v>
      </c>
      <c r="F17" s="312">
        <f>+D17+E17</f>
        <v>4185669.2900000121</v>
      </c>
      <c r="G17" s="314"/>
      <c r="H17" s="314"/>
    </row>
    <row r="18" spans="2:8" ht="15" thickTop="1" x14ac:dyDescent="0.35">
      <c r="D18" s="314"/>
      <c r="E18" s="314"/>
      <c r="F18" s="314"/>
      <c r="G18" s="314"/>
      <c r="H18" s="314"/>
    </row>
    <row r="19" spans="2:8" x14ac:dyDescent="0.35">
      <c r="B19" s="326" t="s">
        <v>340</v>
      </c>
      <c r="C19" s="327"/>
      <c r="D19" s="328">
        <f>+D6+D17</f>
        <v>39722932.240000032</v>
      </c>
      <c r="E19" s="328">
        <f>+E6+E17</f>
        <v>15199375</v>
      </c>
      <c r="F19" s="328">
        <f>SUM(D19:E19)</f>
        <v>54922307.240000032</v>
      </c>
      <c r="G19" s="314"/>
      <c r="H19" s="314"/>
    </row>
    <row r="20" spans="2:8" x14ac:dyDescent="0.35">
      <c r="D20" s="314"/>
      <c r="E20" s="314"/>
      <c r="F20" s="314"/>
      <c r="G20" s="314"/>
      <c r="H20" s="314"/>
    </row>
    <row r="21" spans="2:8" x14ac:dyDescent="0.35">
      <c r="D21" s="314"/>
      <c r="E21" s="314"/>
      <c r="F21" s="314"/>
      <c r="G21" s="314"/>
      <c r="H21" s="314"/>
    </row>
    <row r="22" spans="2:8" x14ac:dyDescent="0.35">
      <c r="D22" s="314"/>
      <c r="E22" s="314"/>
      <c r="F22" s="314"/>
      <c r="G22" s="314"/>
      <c r="H22" s="314"/>
    </row>
    <row r="23" spans="2:8" x14ac:dyDescent="0.35">
      <c r="B23" s="329" t="s">
        <v>60</v>
      </c>
      <c r="C23" s="329"/>
      <c r="D23" s="313"/>
      <c r="E23" s="313"/>
      <c r="F23" s="330">
        <f>'2019 GRC'!J16</f>
        <v>4.5447000000000001E-2</v>
      </c>
      <c r="G23" s="314"/>
      <c r="H23" s="314"/>
    </row>
    <row r="24" spans="2:8" x14ac:dyDescent="0.35">
      <c r="B24" s="303" t="s">
        <v>374</v>
      </c>
      <c r="C24" s="329"/>
      <c r="D24" s="313"/>
      <c r="E24" s="313"/>
      <c r="F24" s="321">
        <f>+F14/(1-F23)</f>
        <v>521887.92031453468</v>
      </c>
      <c r="G24" s="314"/>
      <c r="H24" s="314"/>
    </row>
    <row r="25" spans="2:8" x14ac:dyDescent="0.35">
      <c r="B25" s="303" t="s">
        <v>375</v>
      </c>
      <c r="C25" s="329"/>
      <c r="D25" s="313"/>
      <c r="E25" s="313"/>
      <c r="F25" s="321">
        <f>+(F15+F16)/(1-F23)</f>
        <v>3863064.2929203641</v>
      </c>
      <c r="G25" s="314"/>
      <c r="H25" s="314"/>
    </row>
    <row r="26" spans="2:8" x14ac:dyDescent="0.35">
      <c r="B26" s="329" t="s">
        <v>341</v>
      </c>
      <c r="C26" s="329"/>
      <c r="D26" s="313"/>
      <c r="E26" s="313"/>
      <c r="F26" s="321">
        <f>+F25+F24</f>
        <v>4384952.2132348986</v>
      </c>
      <c r="G26" s="331"/>
      <c r="H26" s="314"/>
    </row>
    <row r="27" spans="2:8" x14ac:dyDescent="0.35">
      <c r="B27" s="329" t="s">
        <v>342</v>
      </c>
      <c r="C27" s="329"/>
      <c r="D27" s="313"/>
      <c r="E27" s="313"/>
      <c r="F27" s="332">
        <f>'2020 CAP CRM'!$E$39</f>
        <v>5839513.0924098743</v>
      </c>
      <c r="G27" s="314"/>
      <c r="H27" s="314"/>
    </row>
    <row r="28" spans="2:8" ht="29.5" thickBot="1" x14ac:dyDescent="0.4">
      <c r="B28" s="333" t="s">
        <v>343</v>
      </c>
      <c r="C28" s="334"/>
      <c r="D28" s="335"/>
      <c r="E28" s="335"/>
      <c r="F28" s="336">
        <f>SUM(F26:F27)</f>
        <v>10224465.305644773</v>
      </c>
      <c r="G28" s="314"/>
      <c r="H28" s="31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H91"/>
  <sheetViews>
    <sheetView topLeftCell="A50" zoomScale="70" zoomScaleNormal="70" workbookViewId="0">
      <selection activeCell="B2" sqref="B2:L2"/>
    </sheetView>
  </sheetViews>
  <sheetFormatPr defaultColWidth="9.08984375" defaultRowHeight="14.5" outlineLevelRow="1" x14ac:dyDescent="0.35"/>
  <cols>
    <col min="1" max="1" width="17" style="292" customWidth="1"/>
    <col min="2" max="2" width="46" style="292" bestFit="1" customWidth="1"/>
    <col min="3" max="3" width="14.54296875" style="292" bestFit="1" customWidth="1"/>
    <col min="4" max="4" width="15.6328125" style="292" bestFit="1" customWidth="1"/>
    <col min="5" max="5" width="16" style="292" bestFit="1" customWidth="1"/>
    <col min="6" max="6" width="12.36328125" style="292" customWidth="1"/>
    <col min="7" max="7" width="28.54296875" style="338" bestFit="1" customWidth="1"/>
    <col min="8" max="8" width="11" style="338" customWidth="1"/>
    <col min="9" max="16384" width="9.08984375" style="338"/>
  </cols>
  <sheetData>
    <row r="1" spans="1:8" x14ac:dyDescent="0.35">
      <c r="A1" s="337"/>
      <c r="B1" s="337"/>
      <c r="C1" s="337"/>
      <c r="D1" s="337"/>
      <c r="E1" s="337"/>
      <c r="F1" s="337"/>
      <c r="G1"/>
      <c r="H1"/>
    </row>
    <row r="2" spans="1:8" x14ac:dyDescent="0.35">
      <c r="B2" s="192" t="s">
        <v>78</v>
      </c>
      <c r="C2" s="339"/>
      <c r="D2" s="339"/>
      <c r="E2" s="339"/>
    </row>
    <row r="4" spans="1:8" ht="15" thickBot="1" x14ac:dyDescent="0.4"/>
    <row r="5" spans="1:8" ht="15" thickBot="1" x14ac:dyDescent="0.4">
      <c r="A5" s="340"/>
      <c r="B5" s="184">
        <v>43739</v>
      </c>
      <c r="C5" s="341"/>
      <c r="D5" s="341"/>
      <c r="E5" s="342"/>
      <c r="F5" s="343"/>
      <c r="G5" s="344"/>
    </row>
    <row r="6" spans="1:8" ht="83" customHeight="1" x14ac:dyDescent="0.35">
      <c r="A6" s="185" t="s">
        <v>79</v>
      </c>
      <c r="B6" s="185" t="s">
        <v>80</v>
      </c>
      <c r="C6" s="186" t="s">
        <v>301</v>
      </c>
      <c r="D6" s="186" t="s">
        <v>344</v>
      </c>
      <c r="E6" s="187" t="s">
        <v>81</v>
      </c>
      <c r="F6" s="343"/>
      <c r="G6" s="344"/>
    </row>
    <row r="7" spans="1:8" ht="15.5" x14ac:dyDescent="0.35">
      <c r="A7" s="292" t="s">
        <v>95</v>
      </c>
      <c r="B7" s="188" t="s">
        <v>96</v>
      </c>
      <c r="C7" s="177">
        <v>49985039.879999995</v>
      </c>
      <c r="D7" s="177">
        <v>10065397.379999999</v>
      </c>
      <c r="E7" s="189">
        <f>SUM(C7:D7)</f>
        <v>60050437.25999999</v>
      </c>
      <c r="F7" s="343"/>
      <c r="G7" s="344"/>
    </row>
    <row r="8" spans="1:8" ht="15.5" x14ac:dyDescent="0.35">
      <c r="A8" s="292" t="s">
        <v>97</v>
      </c>
      <c r="B8" s="188" t="s">
        <v>98</v>
      </c>
      <c r="C8" s="177">
        <v>479737.33</v>
      </c>
      <c r="D8" s="177">
        <v>1588.01</v>
      </c>
      <c r="E8" s="189">
        <f>SUM(C8:D8)</f>
        <v>481325.34</v>
      </c>
      <c r="F8" s="343"/>
      <c r="G8" s="344"/>
    </row>
    <row r="9" spans="1:8" ht="15.5" x14ac:dyDescent="0.35">
      <c r="A9" s="292" t="s">
        <v>99</v>
      </c>
      <c r="B9" s="188" t="s">
        <v>100</v>
      </c>
      <c r="C9" s="177">
        <v>105950.33000000002</v>
      </c>
      <c r="D9" s="177">
        <v>1879.9500000000003</v>
      </c>
      <c r="E9" s="189">
        <f>SUM(C9:D9)</f>
        <v>107830.28000000001</v>
      </c>
      <c r="F9" s="343"/>
      <c r="G9" s="344"/>
    </row>
    <row r="10" spans="1:8" x14ac:dyDescent="0.35">
      <c r="A10" s="190" t="s">
        <v>82</v>
      </c>
      <c r="B10" s="190"/>
      <c r="C10" s="189">
        <f>SUM(C7:C9)</f>
        <v>50570727.539999992</v>
      </c>
      <c r="D10" s="189">
        <f t="shared" ref="D10:E10" si="0">SUM(D7:D9)</f>
        <v>10068865.339999998</v>
      </c>
      <c r="E10" s="189">
        <f t="shared" si="0"/>
        <v>60639592.879999995</v>
      </c>
      <c r="F10" s="343"/>
      <c r="G10" s="344"/>
    </row>
    <row r="11" spans="1:8" x14ac:dyDescent="0.35">
      <c r="F11" s="343"/>
      <c r="G11" s="344"/>
    </row>
    <row r="12" spans="1:8" x14ac:dyDescent="0.35">
      <c r="B12" s="345" t="s">
        <v>83</v>
      </c>
      <c r="C12" s="345"/>
      <c r="D12" s="345"/>
      <c r="E12" s="346">
        <f>+E7+E8</f>
        <v>60531762.599999994</v>
      </c>
      <c r="F12" s="343"/>
      <c r="G12" s="344"/>
    </row>
    <row r="13" spans="1:8" x14ac:dyDescent="0.35">
      <c r="B13" s="345" t="s">
        <v>84</v>
      </c>
      <c r="C13" s="345"/>
      <c r="D13" s="345"/>
      <c r="E13" s="346">
        <f>+E9</f>
        <v>107830.28000000001</v>
      </c>
      <c r="F13" s="343"/>
      <c r="G13" s="344"/>
    </row>
    <row r="14" spans="1:8" x14ac:dyDescent="0.35">
      <c r="E14" s="347">
        <f>+E12/E10</f>
        <v>0.99822178423569918</v>
      </c>
      <c r="F14" s="343"/>
      <c r="G14" s="344"/>
    </row>
    <row r="15" spans="1:8" x14ac:dyDescent="0.35">
      <c r="E15" s="347">
        <f>+E13/E10</f>
        <v>1.7782157643008243E-3</v>
      </c>
      <c r="F15" s="343"/>
      <c r="G15" s="344"/>
    </row>
    <row r="16" spans="1:8" x14ac:dyDescent="0.35">
      <c r="E16" s="347"/>
      <c r="F16" s="343"/>
      <c r="G16" s="344"/>
    </row>
    <row r="17" spans="1:8" x14ac:dyDescent="0.35">
      <c r="A17" s="191"/>
      <c r="B17" s="192" t="s">
        <v>85</v>
      </c>
      <c r="C17" s="192"/>
      <c r="D17" s="192"/>
      <c r="E17" s="192"/>
      <c r="F17" s="343"/>
      <c r="G17" s="344"/>
    </row>
    <row r="18" spans="1:8" x14ac:dyDescent="0.35">
      <c r="A18" s="348" t="s">
        <v>86</v>
      </c>
      <c r="B18" s="193" t="s">
        <v>192</v>
      </c>
      <c r="C18" s="194" t="s">
        <v>193</v>
      </c>
      <c r="D18" s="194" t="s">
        <v>194</v>
      </c>
      <c r="E18" s="194" t="s">
        <v>90</v>
      </c>
      <c r="F18" s="343"/>
      <c r="G18" s="344"/>
    </row>
    <row r="19" spans="1:8" x14ac:dyDescent="0.35">
      <c r="A19" s="190" t="s">
        <v>91</v>
      </c>
      <c r="B19" s="178">
        <f>D30</f>
        <v>2.443056207967733E-2</v>
      </c>
      <c r="C19" s="195">
        <f>E12*B19</f>
        <v>1478824.9839915903</v>
      </c>
      <c r="D19" s="195"/>
      <c r="E19" s="195">
        <f>SUM(C19:D19)</f>
        <v>1478824.9839915903</v>
      </c>
      <c r="F19" s="343"/>
      <c r="G19" s="344"/>
    </row>
    <row r="20" spans="1:8" x14ac:dyDescent="0.35">
      <c r="A20" s="345" t="s">
        <v>84</v>
      </c>
      <c r="B20" s="178">
        <f>D31</f>
        <v>3.1950138602539598E-2</v>
      </c>
      <c r="C20" s="195"/>
      <c r="D20" s="195">
        <f>E13*B20</f>
        <v>3445.1923915506541</v>
      </c>
      <c r="E20" s="195">
        <f>SUM(C20:D20)</f>
        <v>3445.1923915506541</v>
      </c>
      <c r="F20" s="343"/>
      <c r="G20" s="344"/>
    </row>
    <row r="21" spans="1:8" x14ac:dyDescent="0.35">
      <c r="A21" s="190" t="s">
        <v>92</v>
      </c>
      <c r="B21" s="196"/>
      <c r="C21" s="195">
        <f>SUM(C19:C20)</f>
        <v>1478824.9839915903</v>
      </c>
      <c r="D21" s="195">
        <f>SUM(D19:D20)</f>
        <v>3445.1923915506541</v>
      </c>
      <c r="E21" s="195">
        <f>SUM(C21:D21)</f>
        <v>1482270.176383141</v>
      </c>
      <c r="F21" s="343"/>
      <c r="G21" s="344"/>
    </row>
    <row r="22" spans="1:8" x14ac:dyDescent="0.35">
      <c r="A22" s="196"/>
      <c r="B22" s="197" t="s">
        <v>93</v>
      </c>
      <c r="C22" s="196"/>
      <c r="D22" s="196"/>
      <c r="E22" s="178">
        <f>+E21/E10</f>
        <v>2.4443933509191149E-2</v>
      </c>
      <c r="F22" s="349" t="s">
        <v>291</v>
      </c>
      <c r="G22" s="344"/>
    </row>
    <row r="23" spans="1:8" ht="58" x14ac:dyDescent="0.35">
      <c r="E23" s="347">
        <f>E19/E21</f>
        <v>0.99767573250380226</v>
      </c>
      <c r="F23" s="350" t="s">
        <v>292</v>
      </c>
      <c r="G23" s="344"/>
      <c r="H23" s="344"/>
    </row>
    <row r="24" spans="1:8" x14ac:dyDescent="0.35">
      <c r="E24" s="347">
        <f>E20/E21</f>
        <v>2.3242674961977592E-3</v>
      </c>
      <c r="F24" s="343"/>
      <c r="G24" s="344"/>
      <c r="H24" s="344"/>
    </row>
    <row r="25" spans="1:8" ht="15" thickBot="1" x14ac:dyDescent="0.4">
      <c r="F25" s="343"/>
      <c r="G25" s="344"/>
      <c r="H25" s="344"/>
    </row>
    <row r="26" spans="1:8" x14ac:dyDescent="0.35">
      <c r="A26" s="351" t="s">
        <v>184</v>
      </c>
      <c r="B26" s="352"/>
      <c r="C26" s="352"/>
      <c r="D26" s="353"/>
      <c r="E26" s="347"/>
    </row>
    <row r="27" spans="1:8" ht="24" x14ac:dyDescent="0.35">
      <c r="A27" s="354" t="s">
        <v>185</v>
      </c>
      <c r="B27" s="355" t="s">
        <v>110</v>
      </c>
      <c r="C27" s="356" t="s">
        <v>186</v>
      </c>
      <c r="D27" s="357" t="s">
        <v>187</v>
      </c>
      <c r="E27" s="358"/>
      <c r="F27" s="343"/>
    </row>
    <row r="28" spans="1:8" x14ac:dyDescent="0.35">
      <c r="A28" s="354" t="s">
        <v>188</v>
      </c>
      <c r="B28" s="355"/>
      <c r="C28" s="359" t="s">
        <v>111</v>
      </c>
      <c r="D28" s="360" t="s">
        <v>111</v>
      </c>
      <c r="E28" s="343"/>
      <c r="F28" s="361"/>
    </row>
    <row r="29" spans="1:8" x14ac:dyDescent="0.35">
      <c r="A29" s="362"/>
      <c r="B29" s="363"/>
      <c r="C29" s="359" t="s">
        <v>189</v>
      </c>
      <c r="D29" s="364"/>
    </row>
    <row r="30" spans="1:8" x14ac:dyDescent="0.35">
      <c r="A30" s="365">
        <v>376.2</v>
      </c>
      <c r="B30" s="363" t="s">
        <v>190</v>
      </c>
      <c r="C30" s="366">
        <v>2.7700000000000002E-2</v>
      </c>
      <c r="D30" s="367">
        <v>2.443056207967733E-2</v>
      </c>
    </row>
    <row r="31" spans="1:8" ht="15" thickBot="1" x14ac:dyDescent="0.4">
      <c r="A31" s="368">
        <v>380.2</v>
      </c>
      <c r="B31" s="369" t="s">
        <v>191</v>
      </c>
      <c r="C31" s="370">
        <v>4.58E-2</v>
      </c>
      <c r="D31" s="371">
        <v>3.1950138602539598E-2</v>
      </c>
    </row>
    <row r="33" spans="1:8" x14ac:dyDescent="0.35">
      <c r="A33" s="191"/>
      <c r="B33" s="192" t="s">
        <v>85</v>
      </c>
      <c r="C33" s="192"/>
      <c r="D33" s="192"/>
      <c r="E33" s="347"/>
    </row>
    <row r="34" spans="1:8" x14ac:dyDescent="0.35">
      <c r="A34" s="348" t="s">
        <v>86</v>
      </c>
      <c r="B34" s="193" t="s">
        <v>87</v>
      </c>
      <c r="C34" s="194" t="s">
        <v>88</v>
      </c>
      <c r="D34" s="194" t="s">
        <v>89</v>
      </c>
      <c r="E34" s="194" t="s">
        <v>90</v>
      </c>
    </row>
    <row r="35" spans="1:8" x14ac:dyDescent="0.35">
      <c r="A35" s="190" t="s">
        <v>91</v>
      </c>
      <c r="B35" s="178">
        <f>D30</f>
        <v>2.443056207967733E-2</v>
      </c>
      <c r="C35" s="195">
        <f>E80*B35</f>
        <v>1026649.0141054934</v>
      </c>
      <c r="D35" s="195"/>
      <c r="E35" s="195">
        <f>SUM(C35:D35)</f>
        <v>1026649.0141054934</v>
      </c>
    </row>
    <row r="36" spans="1:8" x14ac:dyDescent="0.35">
      <c r="A36" s="190" t="s">
        <v>84</v>
      </c>
      <c r="B36" s="178">
        <f>D31</f>
        <v>3.1950138602539598E-2</v>
      </c>
      <c r="C36" s="195"/>
      <c r="D36" s="195">
        <f>E81*B36</f>
        <v>111651.69744198215</v>
      </c>
      <c r="E36" s="195">
        <f>SUM(C36:D36)</f>
        <v>111651.69744198215</v>
      </c>
    </row>
    <row r="37" spans="1:8" x14ac:dyDescent="0.35">
      <c r="A37" s="190" t="s">
        <v>92</v>
      </c>
      <c r="B37" s="196"/>
      <c r="C37" s="195">
        <f>SUM(C35:C36)</f>
        <v>1026649.0141054934</v>
      </c>
      <c r="D37" s="195">
        <f>SUM(D35:D36)</f>
        <v>111651.69744198215</v>
      </c>
      <c r="E37" s="195">
        <f>SUM(C37:D37)</f>
        <v>1138300.7115474755</v>
      </c>
    </row>
    <row r="38" spans="1:8" x14ac:dyDescent="0.35">
      <c r="A38" s="196"/>
      <c r="B38" s="197" t="s">
        <v>93</v>
      </c>
      <c r="C38" s="196"/>
      <c r="D38" s="196"/>
      <c r="E38" s="178">
        <f>+E37/E78</f>
        <v>2.5007867478263991E-2</v>
      </c>
    </row>
    <row r="41" spans="1:8" ht="15" thickBot="1" x14ac:dyDescent="0.4"/>
    <row r="42" spans="1:8" ht="15" thickBot="1" x14ac:dyDescent="0.4">
      <c r="A42" s="340"/>
      <c r="B42" s="372">
        <v>2018</v>
      </c>
      <c r="C42" s="341"/>
      <c r="D42" s="341"/>
      <c r="E42" s="342"/>
      <c r="G42" s="373"/>
      <c r="H42" s="373"/>
    </row>
    <row r="43" spans="1:8" ht="72.5" x14ac:dyDescent="0.35">
      <c r="A43" s="185" t="s">
        <v>79</v>
      </c>
      <c r="B43" s="185" t="s">
        <v>80</v>
      </c>
      <c r="C43" s="186" t="s">
        <v>288</v>
      </c>
      <c r="D43" s="186" t="s">
        <v>289</v>
      </c>
      <c r="E43" s="187" t="s">
        <v>81</v>
      </c>
      <c r="G43" s="374"/>
      <c r="H43" s="374"/>
    </row>
    <row r="44" spans="1:8" ht="15.5" x14ac:dyDescent="0.35">
      <c r="A44" s="292" t="s">
        <v>95</v>
      </c>
      <c r="B44" s="188" t="s">
        <v>96</v>
      </c>
      <c r="C44" s="177">
        <v>50181798.259999998</v>
      </c>
      <c r="D44" s="177">
        <v>4644023.4099999992</v>
      </c>
      <c r="E44" s="189">
        <f>SUM(C44:D44)</f>
        <v>54825821.669999994</v>
      </c>
      <c r="G44" s="375"/>
      <c r="H44" s="375"/>
    </row>
    <row r="45" spans="1:8" ht="15.5" x14ac:dyDescent="0.35">
      <c r="A45" s="292" t="s">
        <v>97</v>
      </c>
      <c r="B45" s="188" t="s">
        <v>98</v>
      </c>
      <c r="C45" s="177">
        <v>4782276.53</v>
      </c>
      <c r="D45" s="177"/>
      <c r="E45" s="189">
        <f>SUM(C45:D45)</f>
        <v>4782276.53</v>
      </c>
      <c r="G45" s="375"/>
      <c r="H45" s="375"/>
    </row>
    <row r="46" spans="1:8" ht="15.5" x14ac:dyDescent="0.35">
      <c r="A46" s="292" t="s">
        <v>99</v>
      </c>
      <c r="B46" s="188" t="s">
        <v>100</v>
      </c>
      <c r="C46" s="177">
        <v>676665.87999999989</v>
      </c>
      <c r="D46" s="177"/>
      <c r="E46" s="189">
        <f>SUM(C46:D46)</f>
        <v>676665.87999999989</v>
      </c>
      <c r="G46" s="375"/>
      <c r="H46" s="375"/>
    </row>
    <row r="47" spans="1:8" x14ac:dyDescent="0.35">
      <c r="A47" s="190" t="s">
        <v>82</v>
      </c>
      <c r="B47" s="190"/>
      <c r="C47" s="189">
        <f t="shared" ref="C47:D47" si="1">SUM(C44:C46)</f>
        <v>55640740.670000002</v>
      </c>
      <c r="D47" s="189">
        <f t="shared" si="1"/>
        <v>4644023.4099999992</v>
      </c>
      <c r="E47" s="189">
        <f>SUM(E44:E46)</f>
        <v>60284764.079999998</v>
      </c>
      <c r="F47" s="376"/>
      <c r="G47" s="377"/>
      <c r="H47" s="377"/>
    </row>
    <row r="48" spans="1:8" x14ac:dyDescent="0.35">
      <c r="G48" s="378"/>
      <c r="H48" s="378"/>
    </row>
    <row r="49" spans="1:8" x14ac:dyDescent="0.35">
      <c r="B49" s="345" t="s">
        <v>83</v>
      </c>
      <c r="C49" s="345"/>
      <c r="D49" s="345"/>
      <c r="E49" s="346">
        <f>+E44+E45</f>
        <v>59608098.199999996</v>
      </c>
      <c r="G49" s="378"/>
      <c r="H49" s="378"/>
    </row>
    <row r="50" spans="1:8" x14ac:dyDescent="0.35">
      <c r="B50" s="345" t="s">
        <v>84</v>
      </c>
      <c r="C50" s="345"/>
      <c r="D50" s="345"/>
      <c r="E50" s="346">
        <f>+E46</f>
        <v>676665.87999999989</v>
      </c>
      <c r="G50" s="378"/>
      <c r="H50" s="378"/>
    </row>
    <row r="51" spans="1:8" x14ac:dyDescent="0.35">
      <c r="E51" s="347">
        <f>+E49/E47</f>
        <v>0.98877550753782428</v>
      </c>
      <c r="G51" s="378"/>
      <c r="H51" s="378"/>
    </row>
    <row r="52" spans="1:8" x14ac:dyDescent="0.35">
      <c r="E52" s="347">
        <f>+E50/E47</f>
        <v>1.1224492462175693E-2</v>
      </c>
      <c r="G52" s="378"/>
      <c r="H52" s="378"/>
    </row>
    <row r="53" spans="1:8" x14ac:dyDescent="0.35">
      <c r="E53" s="347"/>
      <c r="G53" s="378"/>
      <c r="H53" s="378"/>
    </row>
    <row r="54" spans="1:8" x14ac:dyDescent="0.35">
      <c r="A54" s="191"/>
      <c r="B54" s="192" t="s">
        <v>85</v>
      </c>
      <c r="C54" s="192"/>
      <c r="D54" s="192"/>
      <c r="E54" s="192"/>
      <c r="G54" s="378"/>
      <c r="H54" s="378"/>
    </row>
    <row r="55" spans="1:8" x14ac:dyDescent="0.35">
      <c r="A55" s="348" t="s">
        <v>86</v>
      </c>
      <c r="B55" s="193" t="s">
        <v>201</v>
      </c>
      <c r="C55" s="194" t="s">
        <v>193</v>
      </c>
      <c r="D55" s="194" t="s">
        <v>194</v>
      </c>
      <c r="E55" s="194" t="s">
        <v>90</v>
      </c>
      <c r="G55" s="378"/>
      <c r="H55" s="378"/>
    </row>
    <row r="56" spans="1:8" x14ac:dyDescent="0.35">
      <c r="A56" s="190" t="s">
        <v>91</v>
      </c>
      <c r="B56" s="178">
        <f>C30</f>
        <v>2.7700000000000002E-2</v>
      </c>
      <c r="C56" s="195">
        <f>E49*B56</f>
        <v>1651144.32014</v>
      </c>
      <c r="D56" s="195"/>
      <c r="E56" s="195">
        <f>SUM(C56:D56)</f>
        <v>1651144.32014</v>
      </c>
      <c r="G56" s="378"/>
      <c r="H56" s="378"/>
    </row>
    <row r="57" spans="1:8" x14ac:dyDescent="0.35">
      <c r="A57" s="190" t="s">
        <v>84</v>
      </c>
      <c r="B57" s="178">
        <f>C31</f>
        <v>4.58E-2</v>
      </c>
      <c r="C57" s="195"/>
      <c r="D57" s="195">
        <f>E50*B57</f>
        <v>30991.297303999996</v>
      </c>
      <c r="E57" s="195">
        <f>SUM(C57:D57)</f>
        <v>30991.297303999996</v>
      </c>
      <c r="G57" s="378"/>
      <c r="H57" s="378"/>
    </row>
    <row r="58" spans="1:8" x14ac:dyDescent="0.35">
      <c r="A58" s="190" t="s">
        <v>92</v>
      </c>
      <c r="B58" s="196"/>
      <c r="C58" s="195">
        <f>SUM(C56:C57)</f>
        <v>1651144.32014</v>
      </c>
      <c r="D58" s="195">
        <f>SUM(D56:D57)</f>
        <v>30991.297303999996</v>
      </c>
      <c r="E58" s="195">
        <f>SUM(C58:D58)</f>
        <v>1682135.617444</v>
      </c>
      <c r="G58" s="378"/>
      <c r="H58" s="378"/>
    </row>
    <row r="59" spans="1:8" x14ac:dyDescent="0.35">
      <c r="A59" s="196"/>
      <c r="B59" s="197" t="s">
        <v>93</v>
      </c>
      <c r="C59" s="196"/>
      <c r="D59" s="196"/>
      <c r="E59" s="178">
        <f>+E58/E47</f>
        <v>2.790316331356538E-2</v>
      </c>
      <c r="G59" s="378"/>
      <c r="H59" s="378"/>
    </row>
    <row r="60" spans="1:8" x14ac:dyDescent="0.35">
      <c r="E60" s="347">
        <f>E56/E58</f>
        <v>0.98157621954935403</v>
      </c>
      <c r="G60" s="378"/>
      <c r="H60" s="378"/>
    </row>
    <row r="61" spans="1:8" x14ac:dyDescent="0.35">
      <c r="E61" s="347">
        <f>E57/E58</f>
        <v>1.8423780450645934E-2</v>
      </c>
      <c r="G61" s="378"/>
      <c r="H61" s="378"/>
    </row>
    <row r="62" spans="1:8" x14ac:dyDescent="0.35">
      <c r="A62" s="191"/>
      <c r="B62" s="192" t="s">
        <v>85</v>
      </c>
      <c r="C62" s="192"/>
      <c r="D62" s="192"/>
      <c r="E62" s="192"/>
      <c r="G62" s="378"/>
      <c r="H62" s="378"/>
    </row>
    <row r="63" spans="1:8" x14ac:dyDescent="0.35">
      <c r="A63" s="348" t="s">
        <v>86</v>
      </c>
      <c r="B63" s="193" t="s">
        <v>192</v>
      </c>
      <c r="C63" s="194" t="s">
        <v>193</v>
      </c>
      <c r="D63" s="194" t="s">
        <v>194</v>
      </c>
      <c r="E63" s="194" t="s">
        <v>90</v>
      </c>
      <c r="G63" s="378"/>
      <c r="H63" s="378"/>
    </row>
    <row r="64" spans="1:8" x14ac:dyDescent="0.35">
      <c r="A64" s="190" t="s">
        <v>91</v>
      </c>
      <c r="B64" s="178">
        <f>D30</f>
        <v>2.443056207967733E-2</v>
      </c>
      <c r="C64" s="195">
        <f>E49*B64</f>
        <v>1456259.3435266025</v>
      </c>
      <c r="D64" s="195"/>
      <c r="E64" s="195">
        <f>SUM(C64:D64)</f>
        <v>1456259.3435266025</v>
      </c>
      <c r="F64" s="343"/>
      <c r="G64" s="378"/>
      <c r="H64" s="378"/>
    </row>
    <row r="65" spans="1:8" x14ac:dyDescent="0.35">
      <c r="A65" s="190" t="s">
        <v>84</v>
      </c>
      <c r="B65" s="178">
        <f>D31</f>
        <v>3.1950138602539598E-2</v>
      </c>
      <c r="C65" s="195"/>
      <c r="D65" s="195">
        <f>E50*B65</f>
        <v>21619.568653609422</v>
      </c>
      <c r="E65" s="195">
        <f>SUM(C65:D65)</f>
        <v>21619.568653609422</v>
      </c>
      <c r="F65" s="343"/>
      <c r="G65" s="378"/>
      <c r="H65" s="378"/>
    </row>
    <row r="66" spans="1:8" x14ac:dyDescent="0.35">
      <c r="A66" s="190" t="s">
        <v>92</v>
      </c>
      <c r="B66" s="196"/>
      <c r="C66" s="195">
        <f>SUM(C64:C65)</f>
        <v>1456259.3435266025</v>
      </c>
      <c r="D66" s="195">
        <f>SUM(D64:D65)</f>
        <v>21619.568653609422</v>
      </c>
      <c r="E66" s="195">
        <f>SUM(C66:D66)</f>
        <v>1477878.9121802119</v>
      </c>
      <c r="F66" s="343"/>
      <c r="G66" s="378"/>
      <c r="H66" s="378"/>
    </row>
    <row r="67" spans="1:8" x14ac:dyDescent="0.35">
      <c r="A67" s="196"/>
      <c r="B67" s="197" t="s">
        <v>93</v>
      </c>
      <c r="C67" s="196"/>
      <c r="D67" s="196"/>
      <c r="E67" s="178">
        <f>+E66/E47</f>
        <v>2.451496550967695E-2</v>
      </c>
      <c r="G67" s="379"/>
      <c r="H67" s="379"/>
    </row>
    <row r="68" spans="1:8" x14ac:dyDescent="0.35">
      <c r="E68" s="347">
        <f>E64/E66</f>
        <v>0.98537121784780357</v>
      </c>
      <c r="F68" s="343"/>
      <c r="G68" s="380"/>
      <c r="H68" s="380"/>
    </row>
    <row r="69" spans="1:8" x14ac:dyDescent="0.35">
      <c r="E69" s="347">
        <f>E65/E66</f>
        <v>1.4628782152196472E-2</v>
      </c>
      <c r="F69" s="343"/>
      <c r="G69" s="380"/>
      <c r="H69" s="380"/>
    </row>
    <row r="70" spans="1:8" x14ac:dyDescent="0.35">
      <c r="F70" s="343"/>
      <c r="G70" s="380"/>
      <c r="H70" s="380"/>
    </row>
    <row r="71" spans="1:8" x14ac:dyDescent="0.35">
      <c r="E71" s="343">
        <f>E66/12*F71</f>
        <v>50237.303400000004</v>
      </c>
      <c r="F71" s="343">
        <f>0.01/E67</f>
        <v>0.40791409623042857</v>
      </c>
      <c r="G71" s="378"/>
      <c r="H71" s="378"/>
    </row>
    <row r="72" spans="1:8" ht="15" thickBot="1" x14ac:dyDescent="0.4">
      <c r="E72" s="343"/>
      <c r="G72" s="378"/>
      <c r="H72" s="378"/>
    </row>
    <row r="73" spans="1:8" ht="15" outlineLevel="1" thickBot="1" x14ac:dyDescent="0.4">
      <c r="A73" s="340"/>
      <c r="B73" s="372">
        <v>2017</v>
      </c>
      <c r="C73" s="341"/>
      <c r="D73" s="341"/>
      <c r="E73" s="342"/>
      <c r="G73" s="381"/>
      <c r="H73" s="381"/>
    </row>
    <row r="74" spans="1:8" ht="29" outlineLevel="1" x14ac:dyDescent="0.35">
      <c r="A74" s="185" t="s">
        <v>79</v>
      </c>
      <c r="B74" s="185" t="s">
        <v>80</v>
      </c>
      <c r="C74" s="187" t="s">
        <v>94</v>
      </c>
      <c r="D74" s="187" t="s">
        <v>183</v>
      </c>
      <c r="E74" s="187" t="s">
        <v>81</v>
      </c>
      <c r="G74" s="381"/>
      <c r="H74" s="381"/>
    </row>
    <row r="75" spans="1:8" ht="15.5" outlineLevel="1" x14ac:dyDescent="0.35">
      <c r="A75" s="292" t="s">
        <v>95</v>
      </c>
      <c r="B75" s="188" t="s">
        <v>96</v>
      </c>
      <c r="C75" s="189">
        <v>32093652.129999988</v>
      </c>
      <c r="D75" s="189">
        <v>2505759</v>
      </c>
      <c r="E75" s="189">
        <f>SUM(C75:D75)</f>
        <v>34599411.129999988</v>
      </c>
      <c r="G75" s="381"/>
      <c r="H75" s="381"/>
    </row>
    <row r="76" spans="1:8" ht="15.5" outlineLevel="1" x14ac:dyDescent="0.35">
      <c r="A76" s="292" t="s">
        <v>97</v>
      </c>
      <c r="B76" s="188" t="s">
        <v>98</v>
      </c>
      <c r="C76" s="189">
        <v>7251539.2899999935</v>
      </c>
      <c r="D76" s="189">
        <v>172193</v>
      </c>
      <c r="E76" s="189">
        <f>SUM(C76:D76)</f>
        <v>7423732.2899999935</v>
      </c>
      <c r="G76" s="381"/>
      <c r="H76" s="381"/>
    </row>
    <row r="77" spans="1:8" ht="15.5" outlineLevel="1" x14ac:dyDescent="0.35">
      <c r="A77" s="292" t="s">
        <v>99</v>
      </c>
      <c r="B77" s="188" t="s">
        <v>100</v>
      </c>
      <c r="C77" s="189">
        <v>3437688.6599999969</v>
      </c>
      <c r="D77" s="189">
        <v>56872</v>
      </c>
      <c r="E77" s="189">
        <f>SUM(C77:D77)</f>
        <v>3494560.6599999969</v>
      </c>
      <c r="G77" s="381"/>
      <c r="H77" s="381"/>
    </row>
    <row r="78" spans="1:8" outlineLevel="1" x14ac:dyDescent="0.35">
      <c r="A78" s="190" t="s">
        <v>82</v>
      </c>
      <c r="B78" s="190"/>
      <c r="C78" s="189">
        <f t="shared" ref="C78:D78" si="2">SUM(C75:C77)</f>
        <v>42782880.079999976</v>
      </c>
      <c r="D78" s="189">
        <f t="shared" si="2"/>
        <v>2734824</v>
      </c>
      <c r="E78" s="189">
        <f>SUM(E75:E77)</f>
        <v>45517704.079999976</v>
      </c>
      <c r="F78" s="382"/>
      <c r="G78" s="381"/>
      <c r="H78" s="381"/>
    </row>
    <row r="79" spans="1:8" outlineLevel="1" x14ac:dyDescent="0.35">
      <c r="F79" s="383"/>
      <c r="G79" s="381"/>
      <c r="H79" s="381"/>
    </row>
    <row r="80" spans="1:8" outlineLevel="1" x14ac:dyDescent="0.35">
      <c r="B80" s="345" t="s">
        <v>83</v>
      </c>
      <c r="C80" s="345"/>
      <c r="D80" s="345"/>
      <c r="E80" s="346">
        <f>+E75+E76</f>
        <v>42023143.419999979</v>
      </c>
      <c r="G80" s="381"/>
      <c r="H80" s="381"/>
    </row>
    <row r="81" spans="1:8" outlineLevel="1" x14ac:dyDescent="0.35">
      <c r="B81" s="345" t="s">
        <v>84</v>
      </c>
      <c r="C81" s="345"/>
      <c r="D81" s="345"/>
      <c r="E81" s="346">
        <f>+E77</f>
        <v>3494560.6599999969</v>
      </c>
    </row>
    <row r="82" spans="1:8" outlineLevel="1" x14ac:dyDescent="0.35">
      <c r="D82" s="292" t="s">
        <v>199</v>
      </c>
      <c r="E82" s="347">
        <f>+E80/E78</f>
        <v>0.92322634169205664</v>
      </c>
    </row>
    <row r="83" spans="1:8" outlineLevel="1" x14ac:dyDescent="0.35">
      <c r="D83" s="292" t="s">
        <v>200</v>
      </c>
      <c r="E83" s="347">
        <f>+E81/E78</f>
        <v>7.6773658307943346E-2</v>
      </c>
    </row>
    <row r="84" spans="1:8" outlineLevel="1" x14ac:dyDescent="0.35">
      <c r="A84" s="191"/>
      <c r="B84" s="192" t="s">
        <v>85</v>
      </c>
      <c r="C84" s="192"/>
      <c r="D84" s="192"/>
    </row>
    <row r="85" spans="1:8" outlineLevel="1" x14ac:dyDescent="0.35">
      <c r="A85" s="348" t="s">
        <v>86</v>
      </c>
      <c r="B85" s="193" t="s">
        <v>87</v>
      </c>
      <c r="C85" s="194" t="s">
        <v>88</v>
      </c>
      <c r="D85" s="194" t="s">
        <v>89</v>
      </c>
      <c r="E85" s="194" t="s">
        <v>90</v>
      </c>
    </row>
    <row r="86" spans="1:8" outlineLevel="1" x14ac:dyDescent="0.35">
      <c r="A86" s="190" t="s">
        <v>91</v>
      </c>
      <c r="B86" s="178">
        <f>C30</f>
        <v>2.7700000000000002E-2</v>
      </c>
      <c r="C86" s="195">
        <f>E80*B86</f>
        <v>1164041.0727339995</v>
      </c>
      <c r="D86" s="195"/>
      <c r="E86" s="195">
        <f>SUM(C86:D86)</f>
        <v>1164041.0727339995</v>
      </c>
      <c r="F86" s="343"/>
    </row>
    <row r="87" spans="1:8" outlineLevel="1" x14ac:dyDescent="0.35">
      <c r="A87" s="190" t="s">
        <v>84</v>
      </c>
      <c r="B87" s="178">
        <f>C31</f>
        <v>4.58E-2</v>
      </c>
      <c r="C87" s="195"/>
      <c r="D87" s="195">
        <f>E81*B87</f>
        <v>160050.87822799987</v>
      </c>
      <c r="E87" s="195">
        <f>SUM(C87:D87)</f>
        <v>160050.87822799987</v>
      </c>
      <c r="F87" s="343"/>
    </row>
    <row r="88" spans="1:8" outlineLevel="1" x14ac:dyDescent="0.35">
      <c r="A88" s="190" t="s">
        <v>92</v>
      </c>
      <c r="B88" s="196"/>
      <c r="C88" s="195">
        <f>SUM(C86:C87)</f>
        <v>1164041.0727339995</v>
      </c>
      <c r="D88" s="195">
        <f>SUM(D86:D87)</f>
        <v>160050.87822799987</v>
      </c>
      <c r="E88" s="195">
        <f>SUM(C88:D88)</f>
        <v>1324091.9509619994</v>
      </c>
      <c r="F88" s="343"/>
    </row>
    <row r="89" spans="1:8" outlineLevel="1" x14ac:dyDescent="0.35">
      <c r="A89" s="196"/>
      <c r="B89" s="197" t="s">
        <v>93</v>
      </c>
      <c r="C89" s="196"/>
      <c r="D89" s="196"/>
      <c r="E89" s="178">
        <f>+E88/E78</f>
        <v>2.9089603215373776E-2</v>
      </c>
      <c r="F89" s="343"/>
    </row>
    <row r="90" spans="1:8" outlineLevel="1" x14ac:dyDescent="0.35">
      <c r="E90" s="347">
        <f>E86/E88</f>
        <v>0.87912404564372038</v>
      </c>
      <c r="F90" s="343"/>
      <c r="G90" s="344"/>
      <c r="H90" s="344"/>
    </row>
    <row r="91" spans="1:8" outlineLevel="1" x14ac:dyDescent="0.35">
      <c r="E91" s="347">
        <f>E87/E88</f>
        <v>0.12087595435627962</v>
      </c>
      <c r="F91" s="343"/>
      <c r="G91" s="344"/>
      <c r="H91" s="344"/>
    </row>
  </sheetData>
  <pageMargins left="0.7" right="0.7" top="0.75" bottom="0.75" header="0.3" footer="0.3"/>
  <pageSetup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V69"/>
  <sheetViews>
    <sheetView zoomScale="70" zoomScaleNormal="70" workbookViewId="0">
      <pane xSplit="4" ySplit="26" topLeftCell="E27" activePane="bottomRight" state="frozen"/>
      <selection activeCell="B2" sqref="B2:L2"/>
      <selection pane="topRight" activeCell="B2" sqref="B2:L2"/>
      <selection pane="bottomLeft" activeCell="B2" sqref="B2:L2"/>
      <selection pane="bottomRight" activeCell="B2" sqref="B2:L2"/>
    </sheetView>
  </sheetViews>
  <sheetFormatPr defaultColWidth="10.36328125" defaultRowHeight="14.5" outlineLevelRow="1" outlineLevelCol="1" x14ac:dyDescent="0.25"/>
  <cols>
    <col min="1" max="1" width="5.6328125" style="57" customWidth="1"/>
    <col min="2" max="2" width="7.453125" style="57" customWidth="1"/>
    <col min="3" max="3" width="26.453125" style="57" customWidth="1"/>
    <col min="4" max="4" width="15.54296875" style="26" customWidth="1"/>
    <col min="5" max="5" width="16.6328125" style="79" customWidth="1"/>
    <col min="6" max="6" width="13.453125" style="79" customWidth="1"/>
    <col min="7" max="7" width="14.54296875" style="79" bestFit="1" customWidth="1"/>
    <col min="8" max="8" width="12.54296875" style="79" customWidth="1"/>
    <col min="9" max="9" width="14.36328125" style="79" bestFit="1" customWidth="1"/>
    <col min="10" max="25" width="12.90625" style="79" bestFit="1" customWidth="1"/>
    <col min="26" max="38" width="12.36328125" style="79" bestFit="1" customWidth="1"/>
    <col min="39" max="39" width="17" style="79" customWidth="1" outlineLevel="1"/>
    <col min="40" max="40" width="13" style="79" customWidth="1" outlineLevel="1"/>
    <col min="41" max="41" width="14.36328125" style="79" customWidth="1" outlineLevel="1"/>
    <col min="42" max="42" width="12.6328125" style="26" bestFit="1" customWidth="1"/>
    <col min="43" max="43" width="12.36328125" style="26" customWidth="1"/>
    <col min="44" max="45" width="14" style="26" customWidth="1"/>
    <col min="46" max="46" width="14.36328125" style="26" bestFit="1" customWidth="1"/>
    <col min="47" max="47" width="16.54296875" style="26" customWidth="1"/>
    <col min="48" max="48" width="15" style="26" bestFit="1" customWidth="1"/>
    <col min="49" max="16384" width="10.36328125" style="26"/>
  </cols>
  <sheetData>
    <row r="1" spans="1:41" ht="11.4" customHeight="1" x14ac:dyDescent="0.35">
      <c r="A1" s="24" t="s">
        <v>0</v>
      </c>
      <c r="B1" s="25"/>
      <c r="C1" s="25"/>
      <c r="E1" s="402"/>
      <c r="F1" s="402"/>
      <c r="G1" s="26"/>
      <c r="H1" s="27"/>
      <c r="I1" s="28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1" ht="11.4" customHeight="1" x14ac:dyDescent="0.35">
      <c r="A2" s="29" t="s">
        <v>1</v>
      </c>
      <c r="B2" s="25"/>
      <c r="C2" s="25"/>
      <c r="E2" s="26"/>
      <c r="F2" s="28"/>
      <c r="G2" s="28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1" ht="12.75" customHeight="1" x14ac:dyDescent="0.35">
      <c r="A3" s="29" t="s">
        <v>2</v>
      </c>
      <c r="B3" s="25"/>
      <c r="C3" s="283" t="s">
        <v>300</v>
      </c>
      <c r="D3" s="288" t="s">
        <v>3</v>
      </c>
      <c r="E3" s="26"/>
      <c r="F3" s="28"/>
      <c r="G3" s="28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ht="11.4" customHeight="1" thickBot="1" x14ac:dyDescent="0.3">
      <c r="A4" s="25"/>
      <c r="B4" s="25"/>
      <c r="C4" s="25"/>
      <c r="E4" s="26"/>
      <c r="F4" s="28"/>
      <c r="G4" s="28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x14ac:dyDescent="0.25">
      <c r="A5" s="30" t="s">
        <v>4</v>
      </c>
      <c r="B5" s="31"/>
      <c r="C5" s="31"/>
      <c r="D5" s="32"/>
      <c r="E5" s="32"/>
      <c r="F5" s="33"/>
      <c r="G5" s="270"/>
      <c r="H5" s="26"/>
      <c r="I5" s="26"/>
      <c r="J5" s="26"/>
      <c r="K5" s="26"/>
      <c r="L5" s="26"/>
      <c r="M5" s="26"/>
      <c r="N5" s="45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:41" x14ac:dyDescent="0.25">
      <c r="A6" s="35"/>
      <c r="B6" s="36"/>
      <c r="C6" s="36"/>
      <c r="D6" s="271" t="s">
        <v>290</v>
      </c>
      <c r="E6" s="172"/>
      <c r="F6" s="173" t="s">
        <v>403</v>
      </c>
      <c r="G6" s="272" t="s">
        <v>404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41" x14ac:dyDescent="0.25">
      <c r="A7" s="35"/>
      <c r="B7" s="36"/>
      <c r="C7" s="36"/>
      <c r="D7" s="39"/>
      <c r="E7" s="39"/>
      <c r="F7" s="40" t="s">
        <v>5</v>
      </c>
      <c r="G7" s="273" t="s">
        <v>5</v>
      </c>
      <c r="H7" s="26"/>
      <c r="I7" s="26"/>
      <c r="J7" s="26"/>
      <c r="K7" s="26"/>
      <c r="L7" s="26"/>
      <c r="M7" s="174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ht="18.75" customHeight="1" x14ac:dyDescent="0.25">
      <c r="A8" s="35" t="s">
        <v>6</v>
      </c>
      <c r="B8" s="36"/>
      <c r="C8" s="36"/>
      <c r="D8" s="42" t="s">
        <v>7</v>
      </c>
      <c r="E8" s="42" t="s">
        <v>8</v>
      </c>
      <c r="F8" s="43" t="s">
        <v>8</v>
      </c>
      <c r="G8" s="274" t="s">
        <v>8</v>
      </c>
      <c r="H8" s="26"/>
      <c r="I8" s="26"/>
      <c r="J8" s="26"/>
      <c r="K8" s="26"/>
      <c r="L8" s="26"/>
      <c r="M8" s="164"/>
      <c r="N8" s="4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</row>
    <row r="9" spans="1:41" ht="11.4" customHeight="1" x14ac:dyDescent="0.25">
      <c r="A9" s="35"/>
      <c r="B9" s="36"/>
      <c r="C9" s="36"/>
      <c r="D9" s="37"/>
      <c r="E9" s="37"/>
      <c r="F9" s="44"/>
      <c r="G9" s="275"/>
      <c r="H9" s="26"/>
      <c r="I9" s="26"/>
      <c r="J9" s="26"/>
      <c r="K9" s="26"/>
      <c r="L9" s="26"/>
      <c r="M9" s="164"/>
      <c r="N9" s="45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</row>
    <row r="10" spans="1:41" ht="11.4" customHeight="1" x14ac:dyDescent="0.25">
      <c r="A10" s="35"/>
      <c r="B10" s="36"/>
      <c r="C10" s="36"/>
      <c r="D10" s="46"/>
      <c r="E10" s="46"/>
      <c r="F10" s="47"/>
      <c r="G10" s="276"/>
      <c r="H10" s="26"/>
      <c r="I10" s="26"/>
      <c r="J10" s="26"/>
      <c r="K10" s="26"/>
      <c r="L10" s="26"/>
      <c r="M10" s="164"/>
      <c r="N10" s="4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41" x14ac:dyDescent="0.25">
      <c r="A11" s="35" t="s">
        <v>178</v>
      </c>
      <c r="B11" s="36"/>
      <c r="C11" s="36"/>
      <c r="D11" s="46">
        <v>0.51500000000000001</v>
      </c>
      <c r="E11" s="46">
        <v>5.8058252427184473E-2</v>
      </c>
      <c r="F11" s="47">
        <v>2.9899999999999999E-2</v>
      </c>
      <c r="G11" s="276">
        <f>'2019 GRC'!E12</f>
        <v>2.8299999999999999E-2</v>
      </c>
      <c r="H11" s="26"/>
      <c r="I11" s="26"/>
      <c r="J11" s="26"/>
      <c r="K11" s="26"/>
      <c r="L11" s="26"/>
      <c r="M11" s="164"/>
      <c r="N11" s="4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41" x14ac:dyDescent="0.25">
      <c r="A12" s="35" t="s">
        <v>9</v>
      </c>
      <c r="B12" s="36"/>
      <c r="C12" s="36"/>
      <c r="D12" s="48">
        <v>0.48499999999999999</v>
      </c>
      <c r="E12" s="46">
        <v>9.5000000000000001E-2</v>
      </c>
      <c r="F12" s="49">
        <v>4.6100000000000002E-2</v>
      </c>
      <c r="G12" s="277">
        <f>'2019 GRC'!E13</f>
        <v>4.5600000000000002E-2</v>
      </c>
      <c r="H12" s="26"/>
      <c r="I12" s="278"/>
      <c r="J12" s="26"/>
      <c r="K12" s="26"/>
      <c r="L12" s="26"/>
      <c r="M12" s="164"/>
      <c r="N12" s="4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</row>
    <row r="13" spans="1:41" ht="15" thickBot="1" x14ac:dyDescent="0.3">
      <c r="A13" s="35" t="s">
        <v>10</v>
      </c>
      <c r="B13" s="36"/>
      <c r="C13" s="36"/>
      <c r="D13" s="50">
        <f>D10+D11+D12</f>
        <v>1</v>
      </c>
      <c r="E13" s="51"/>
      <c r="F13" s="52">
        <f>F10+F11+F12</f>
        <v>7.5999999999999998E-2</v>
      </c>
      <c r="G13" s="279">
        <f>G10+G11+G12</f>
        <v>7.3899999999999993E-2</v>
      </c>
      <c r="H13" s="26"/>
      <c r="I13" s="26"/>
      <c r="J13" s="26"/>
      <c r="K13" s="26"/>
      <c r="L13" s="26"/>
      <c r="M13" s="164"/>
      <c r="N13" s="45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ht="11.4" customHeight="1" thickTop="1" x14ac:dyDescent="0.25">
      <c r="A14" s="35"/>
      <c r="B14" s="36"/>
      <c r="C14" s="36"/>
      <c r="D14" s="37"/>
      <c r="E14" s="37"/>
      <c r="F14" s="44"/>
      <c r="G14" s="275"/>
      <c r="H14" s="26"/>
      <c r="I14" s="26"/>
      <c r="J14" s="26"/>
      <c r="K14" s="26"/>
      <c r="L14" s="26"/>
      <c r="M14" s="164"/>
      <c r="N14" s="45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x14ac:dyDescent="0.25">
      <c r="A15" s="35" t="s">
        <v>11</v>
      </c>
      <c r="B15" s="36"/>
      <c r="C15" s="36"/>
      <c r="D15" s="37"/>
      <c r="E15" s="37"/>
      <c r="F15" s="47">
        <v>0.21</v>
      </c>
      <c r="G15" s="276">
        <f>'2019 GRC'!I19</f>
        <v>0.21</v>
      </c>
      <c r="H15" s="26"/>
      <c r="I15" s="26"/>
      <c r="J15" s="26"/>
      <c r="K15" s="26"/>
      <c r="L15" s="26"/>
      <c r="M15" s="164"/>
      <c r="N15" s="45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ht="15" thickBot="1" x14ac:dyDescent="0.3">
      <c r="A16" s="35" t="s">
        <v>12</v>
      </c>
      <c r="B16" s="36"/>
      <c r="C16" s="36"/>
      <c r="D16" s="37"/>
      <c r="E16" s="37"/>
      <c r="F16" s="47">
        <f>'2017 4.01 G'!F17</f>
        <v>4.5462000000000002E-2</v>
      </c>
      <c r="G16" s="280">
        <f>'2019 GRC'!J16</f>
        <v>4.5447000000000001E-2</v>
      </c>
      <c r="H16" s="26"/>
      <c r="I16" s="26"/>
      <c r="J16" s="26"/>
      <c r="K16" s="26"/>
      <c r="L16" s="26"/>
      <c r="M16" s="164"/>
      <c r="N16" s="4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8" x14ac:dyDescent="0.25">
      <c r="A17" s="35" t="s">
        <v>13</v>
      </c>
      <c r="B17" s="36"/>
      <c r="C17" s="36"/>
      <c r="D17" s="37"/>
      <c r="E17" s="37"/>
      <c r="F17" s="47">
        <f>'CRM CAP Forecast'!E22</f>
        <v>2.4443933509191149E-2</v>
      </c>
      <c r="G17" s="46"/>
      <c r="H17" s="26"/>
      <c r="I17" s="26"/>
      <c r="J17" s="26"/>
      <c r="K17" s="26"/>
      <c r="L17" s="26"/>
      <c r="M17" s="164"/>
      <c r="N17" s="4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</row>
    <row r="18" spans="1:48" ht="13.5" customHeight="1" x14ac:dyDescent="0.25">
      <c r="A18" s="35" t="s">
        <v>14</v>
      </c>
      <c r="B18" s="36"/>
      <c r="C18" s="36"/>
      <c r="D18" s="37"/>
      <c r="E18" s="37"/>
      <c r="F18" s="53">
        <v>2</v>
      </c>
      <c r="G18" s="281"/>
      <c r="H18" s="26"/>
      <c r="I18" s="26"/>
      <c r="J18" s="26"/>
      <c r="K18" s="26"/>
      <c r="L18" s="26"/>
      <c r="M18" s="164"/>
      <c r="N18" s="4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</row>
    <row r="19" spans="1:48" ht="11.4" customHeight="1" x14ac:dyDescent="0.25">
      <c r="A19" s="35"/>
      <c r="B19" s="36"/>
      <c r="C19" s="36"/>
      <c r="D19" s="37"/>
      <c r="E19" s="37"/>
      <c r="F19" s="38"/>
      <c r="G19" s="34"/>
      <c r="H19" s="26"/>
      <c r="I19" s="26"/>
      <c r="J19" s="26"/>
      <c r="K19" s="26"/>
      <c r="L19" s="26"/>
      <c r="M19" s="164"/>
      <c r="N19" s="4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</row>
    <row r="20" spans="1:48" ht="11.4" customHeight="1" x14ac:dyDescent="0.25">
      <c r="A20" s="35" t="s">
        <v>15</v>
      </c>
      <c r="B20" s="36"/>
      <c r="C20" s="36"/>
      <c r="D20" s="37"/>
      <c r="E20" s="37"/>
      <c r="F20" s="38"/>
      <c r="G20" s="34"/>
      <c r="H20" s="26"/>
      <c r="I20" s="26"/>
      <c r="J20" s="26"/>
      <c r="K20" s="26"/>
      <c r="L20" s="26"/>
      <c r="N20" s="17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</row>
    <row r="21" spans="1:48" ht="11.4" customHeight="1" x14ac:dyDescent="0.25">
      <c r="A21" s="35" t="s">
        <v>16</v>
      </c>
      <c r="B21" s="36"/>
      <c r="C21" s="36"/>
      <c r="D21" s="37"/>
      <c r="E21" s="37"/>
      <c r="F21" s="38"/>
      <c r="G21" s="3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spans="1:48" ht="13.25" customHeight="1" thickBot="1" x14ac:dyDescent="0.3">
      <c r="A22" s="54" t="s">
        <v>17</v>
      </c>
      <c r="B22" s="55"/>
      <c r="C22" s="55"/>
      <c r="D22" s="55"/>
      <c r="E22" s="56"/>
      <c r="F22" s="80">
        <f>'CRM CAP Forecast'!E10</f>
        <v>60639592.879999995</v>
      </c>
      <c r="G22" s="282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</row>
    <row r="23" spans="1:48" ht="9.65" customHeight="1" x14ac:dyDescent="0.25"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</row>
    <row r="24" spans="1:48" ht="6" customHeight="1" x14ac:dyDescent="0.25">
      <c r="B24" s="26"/>
      <c r="C24" s="26"/>
      <c r="D24" s="164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</row>
    <row r="25" spans="1:48" x14ac:dyDescent="0.25">
      <c r="A25" s="25"/>
      <c r="B25" s="25"/>
      <c r="C25" s="25"/>
      <c r="D25" s="288"/>
      <c r="E25" s="59" t="s">
        <v>18</v>
      </c>
      <c r="F25" s="153" t="s">
        <v>19</v>
      </c>
      <c r="G25" s="60" t="s">
        <v>20</v>
      </c>
      <c r="H25" s="60" t="s">
        <v>21</v>
      </c>
      <c r="I25" s="60" t="s">
        <v>22</v>
      </c>
      <c r="J25" s="60" t="s">
        <v>23</v>
      </c>
      <c r="K25" s="60" t="s">
        <v>24</v>
      </c>
      <c r="L25" s="60" t="s">
        <v>25</v>
      </c>
      <c r="M25" s="60" t="s">
        <v>26</v>
      </c>
      <c r="N25" s="60" t="s">
        <v>27</v>
      </c>
      <c r="O25" s="60" t="s">
        <v>28</v>
      </c>
      <c r="P25" s="60" t="s">
        <v>29</v>
      </c>
      <c r="Q25" s="60" t="s">
        <v>30</v>
      </c>
      <c r="R25" s="60" t="s">
        <v>31</v>
      </c>
      <c r="S25" s="60" t="s">
        <v>32</v>
      </c>
      <c r="T25" s="60" t="s">
        <v>33</v>
      </c>
      <c r="U25" s="60" t="s">
        <v>34</v>
      </c>
      <c r="V25" s="60" t="s">
        <v>35</v>
      </c>
      <c r="W25" s="60" t="s">
        <v>36</v>
      </c>
      <c r="X25" s="60" t="s">
        <v>37</v>
      </c>
      <c r="Y25" s="60" t="s">
        <v>38</v>
      </c>
      <c r="Z25" s="60" t="s">
        <v>39</v>
      </c>
      <c r="AA25" s="60" t="s">
        <v>40</v>
      </c>
      <c r="AB25" s="60" t="s">
        <v>41</v>
      </c>
      <c r="AC25" s="60" t="s">
        <v>42</v>
      </c>
      <c r="AD25" s="60" t="s">
        <v>43</v>
      </c>
      <c r="AE25" s="60" t="s">
        <v>44</v>
      </c>
      <c r="AF25" s="60" t="s">
        <v>45</v>
      </c>
      <c r="AG25" s="60" t="s">
        <v>46</v>
      </c>
      <c r="AH25" s="60" t="s">
        <v>47</v>
      </c>
      <c r="AI25" s="60" t="s">
        <v>48</v>
      </c>
      <c r="AJ25" s="60" t="s">
        <v>49</v>
      </c>
      <c r="AK25" s="60" t="s">
        <v>50</v>
      </c>
      <c r="AL25" s="60" t="s">
        <v>51</v>
      </c>
      <c r="AM25" s="60" t="s">
        <v>52</v>
      </c>
      <c r="AN25" s="60" t="s">
        <v>74</v>
      </c>
      <c r="AO25" s="60" t="s">
        <v>75</v>
      </c>
      <c r="AP25" s="60" t="s">
        <v>179</v>
      </c>
      <c r="AQ25" s="60" t="s">
        <v>180</v>
      </c>
      <c r="AR25" s="60" t="s">
        <v>181</v>
      </c>
      <c r="AS25" s="26" t="s">
        <v>182</v>
      </c>
    </row>
    <row r="26" spans="1:48" x14ac:dyDescent="0.25">
      <c r="A26" s="25"/>
      <c r="B26" s="25"/>
      <c r="C26" s="25"/>
      <c r="D26" s="288"/>
      <c r="E26" s="137">
        <v>2019</v>
      </c>
      <c r="F26" s="137">
        <v>2020</v>
      </c>
      <c r="G26" s="137">
        <v>2021</v>
      </c>
      <c r="H26" s="137">
        <v>2022</v>
      </c>
      <c r="I26" s="137">
        <v>2023</v>
      </c>
      <c r="J26" s="137">
        <v>2024</v>
      </c>
      <c r="K26" s="137">
        <v>2025</v>
      </c>
      <c r="L26" s="137">
        <v>2026</v>
      </c>
      <c r="M26" s="137">
        <v>2027</v>
      </c>
      <c r="N26" s="137">
        <v>2028</v>
      </c>
      <c r="O26" s="137">
        <v>2029</v>
      </c>
      <c r="P26" s="137">
        <v>2030</v>
      </c>
      <c r="Q26" s="137">
        <v>2031</v>
      </c>
      <c r="R26" s="137">
        <v>2032</v>
      </c>
      <c r="S26" s="137">
        <v>2033</v>
      </c>
      <c r="T26" s="137">
        <v>2034</v>
      </c>
      <c r="U26" s="137">
        <v>2035</v>
      </c>
      <c r="V26" s="137">
        <v>2036</v>
      </c>
      <c r="W26" s="137">
        <v>2037</v>
      </c>
      <c r="X26" s="137">
        <v>2038</v>
      </c>
      <c r="Y26" s="137">
        <v>2039</v>
      </c>
      <c r="Z26" s="137">
        <v>2040</v>
      </c>
      <c r="AA26" s="137">
        <v>2041</v>
      </c>
      <c r="AB26" s="137">
        <v>2042</v>
      </c>
      <c r="AC26" s="137">
        <v>2043</v>
      </c>
      <c r="AD26" s="137">
        <v>2044</v>
      </c>
      <c r="AE26" s="137">
        <v>2045</v>
      </c>
      <c r="AF26" s="137">
        <v>2046</v>
      </c>
      <c r="AG26" s="137">
        <v>2047</v>
      </c>
      <c r="AH26" s="137">
        <v>2048</v>
      </c>
      <c r="AI26" s="137">
        <v>2049</v>
      </c>
      <c r="AJ26" s="137">
        <v>2050</v>
      </c>
      <c r="AK26" s="137">
        <v>2051</v>
      </c>
      <c r="AL26" s="137">
        <v>2052</v>
      </c>
      <c r="AM26" s="137">
        <v>2053</v>
      </c>
      <c r="AN26" s="137">
        <v>2054</v>
      </c>
      <c r="AO26" s="137">
        <v>2055</v>
      </c>
      <c r="AP26" s="137">
        <v>2056</v>
      </c>
      <c r="AQ26" s="137">
        <v>2057</v>
      </c>
      <c r="AR26" s="137">
        <v>2058</v>
      </c>
      <c r="AS26" s="137">
        <v>2059</v>
      </c>
    </row>
    <row r="27" spans="1:48" x14ac:dyDescent="0.25">
      <c r="A27" s="283">
        <v>1</v>
      </c>
      <c r="B27" s="25" t="s">
        <v>53</v>
      </c>
      <c r="C27" s="25"/>
      <c r="D27" s="288"/>
      <c r="E27" s="61">
        <f>$F22*$F17</f>
        <v>1482270.176383141</v>
      </c>
      <c r="F27" s="160">
        <f>$F22*$F17</f>
        <v>1482270.176383141</v>
      </c>
      <c r="G27" s="160">
        <f t="shared" ref="G27:AR27" si="0">$F22*$F17</f>
        <v>1482270.176383141</v>
      </c>
      <c r="H27" s="160">
        <f t="shared" si="0"/>
        <v>1482270.176383141</v>
      </c>
      <c r="I27" s="160">
        <f t="shared" si="0"/>
        <v>1482270.176383141</v>
      </c>
      <c r="J27" s="160">
        <f t="shared" si="0"/>
        <v>1482270.176383141</v>
      </c>
      <c r="K27" s="160">
        <f t="shared" si="0"/>
        <v>1482270.176383141</v>
      </c>
      <c r="L27" s="160">
        <f t="shared" si="0"/>
        <v>1482270.176383141</v>
      </c>
      <c r="M27" s="160">
        <f t="shared" si="0"/>
        <v>1482270.176383141</v>
      </c>
      <c r="N27" s="160">
        <f t="shared" si="0"/>
        <v>1482270.176383141</v>
      </c>
      <c r="O27" s="160">
        <f t="shared" si="0"/>
        <v>1482270.176383141</v>
      </c>
      <c r="P27" s="160">
        <f t="shared" si="0"/>
        <v>1482270.176383141</v>
      </c>
      <c r="Q27" s="160">
        <f t="shared" si="0"/>
        <v>1482270.176383141</v>
      </c>
      <c r="R27" s="160">
        <f t="shared" si="0"/>
        <v>1482270.176383141</v>
      </c>
      <c r="S27" s="160">
        <f t="shared" si="0"/>
        <v>1482270.176383141</v>
      </c>
      <c r="T27" s="160">
        <f t="shared" si="0"/>
        <v>1482270.176383141</v>
      </c>
      <c r="U27" s="160">
        <f t="shared" si="0"/>
        <v>1482270.176383141</v>
      </c>
      <c r="V27" s="160">
        <f t="shared" si="0"/>
        <v>1482270.176383141</v>
      </c>
      <c r="W27" s="160">
        <f t="shared" si="0"/>
        <v>1482270.176383141</v>
      </c>
      <c r="X27" s="160">
        <f t="shared" si="0"/>
        <v>1482270.176383141</v>
      </c>
      <c r="Y27" s="160">
        <f t="shared" si="0"/>
        <v>1482270.176383141</v>
      </c>
      <c r="Z27" s="160">
        <f t="shared" si="0"/>
        <v>1482270.176383141</v>
      </c>
      <c r="AA27" s="160">
        <f t="shared" si="0"/>
        <v>1482270.176383141</v>
      </c>
      <c r="AB27" s="160">
        <f t="shared" si="0"/>
        <v>1482270.176383141</v>
      </c>
      <c r="AC27" s="160">
        <f t="shared" si="0"/>
        <v>1482270.176383141</v>
      </c>
      <c r="AD27" s="160">
        <f t="shared" si="0"/>
        <v>1482270.176383141</v>
      </c>
      <c r="AE27" s="160">
        <f t="shared" si="0"/>
        <v>1482270.176383141</v>
      </c>
      <c r="AF27" s="160">
        <f t="shared" si="0"/>
        <v>1482270.176383141</v>
      </c>
      <c r="AG27" s="160">
        <f t="shared" si="0"/>
        <v>1482270.176383141</v>
      </c>
      <c r="AH27" s="160">
        <f t="shared" si="0"/>
        <v>1482270.176383141</v>
      </c>
      <c r="AI27" s="160">
        <f t="shared" si="0"/>
        <v>1482270.176383141</v>
      </c>
      <c r="AJ27" s="160">
        <f t="shared" si="0"/>
        <v>1482270.176383141</v>
      </c>
      <c r="AK27" s="160">
        <f t="shared" si="0"/>
        <v>1482270.176383141</v>
      </c>
      <c r="AL27" s="160">
        <f t="shared" si="0"/>
        <v>1482270.176383141</v>
      </c>
      <c r="AM27" s="160">
        <f t="shared" si="0"/>
        <v>1482270.176383141</v>
      </c>
      <c r="AN27" s="160">
        <f t="shared" si="0"/>
        <v>1482270.176383141</v>
      </c>
      <c r="AO27" s="160">
        <f t="shared" si="0"/>
        <v>1482270.176383141</v>
      </c>
      <c r="AP27" s="160">
        <f t="shared" si="0"/>
        <v>1482270.176383141</v>
      </c>
      <c r="AQ27" s="160">
        <f t="shared" si="0"/>
        <v>1482270.176383141</v>
      </c>
      <c r="AR27" s="160">
        <f t="shared" si="0"/>
        <v>1482270.176383141</v>
      </c>
      <c r="AS27" s="160">
        <f>'CRM CAP Forecast'!G24</f>
        <v>0</v>
      </c>
      <c r="AT27" s="160"/>
      <c r="AU27" s="163">
        <f>SUM(D27:AT27)</f>
        <v>59290807.05532559</v>
      </c>
      <c r="AV27" s="45">
        <f>F22</f>
        <v>60639592.879999995</v>
      </c>
    </row>
    <row r="28" spans="1:48" x14ac:dyDescent="0.25">
      <c r="A28" s="25"/>
      <c r="B28" s="25"/>
      <c r="C28" s="25"/>
      <c r="D28" s="288"/>
      <c r="E28" s="61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62"/>
      <c r="AN28" s="160"/>
      <c r="AO28" s="160"/>
      <c r="AP28" s="290"/>
    </row>
    <row r="29" spans="1:48" x14ac:dyDescent="0.25">
      <c r="A29" s="283">
        <f>A27+1</f>
        <v>2</v>
      </c>
      <c r="B29" s="25" t="s">
        <v>54</v>
      </c>
      <c r="C29" s="25"/>
      <c r="D29" s="288"/>
      <c r="E29" s="61">
        <f>E53</f>
        <v>733002.76971787796</v>
      </c>
      <c r="F29" s="160">
        <f t="shared" ref="F29:AT29" si="1">F53</f>
        <v>702392.57976173412</v>
      </c>
      <c r="G29" s="160">
        <f t="shared" si="1"/>
        <v>677473.48090067063</v>
      </c>
      <c r="H29" s="160">
        <f t="shared" si="1"/>
        <v>653358.59365427354</v>
      </c>
      <c r="I29" s="160">
        <f t="shared" si="1"/>
        <v>629987.71792086912</v>
      </c>
      <c r="J29" s="160">
        <f t="shared" si="1"/>
        <v>607305.28437583544</v>
      </c>
      <c r="K29" s="160">
        <f t="shared" si="1"/>
        <v>585259.5826754272</v>
      </c>
      <c r="L29" s="160">
        <f t="shared" si="1"/>
        <v>563802.7614567756</v>
      </c>
      <c r="M29" s="160">
        <f t="shared" si="1"/>
        <v>542674.72540880332</v>
      </c>
      <c r="N29" s="160">
        <f t="shared" si="1"/>
        <v>521593.76892752462</v>
      </c>
      <c r="O29" s="160">
        <f t="shared" si="1"/>
        <v>500512.81244624581</v>
      </c>
      <c r="P29" s="160">
        <f t="shared" si="1"/>
        <v>479431.85596496699</v>
      </c>
      <c r="Q29" s="160">
        <f t="shared" si="1"/>
        <v>458350.89948368829</v>
      </c>
      <c r="R29" s="160">
        <f t="shared" si="1"/>
        <v>437269.94300240959</v>
      </c>
      <c r="S29" s="160">
        <f t="shared" si="1"/>
        <v>416188.98652113089</v>
      </c>
      <c r="T29" s="160">
        <f t="shared" si="1"/>
        <v>395108.03003985208</v>
      </c>
      <c r="U29" s="160">
        <f t="shared" si="1"/>
        <v>374027.07355857326</v>
      </c>
      <c r="V29" s="160">
        <f t="shared" si="1"/>
        <v>352946.11707729456</v>
      </c>
      <c r="W29" s="160">
        <f t="shared" si="1"/>
        <v>331865.16059601575</v>
      </c>
      <c r="X29" s="160">
        <f t="shared" si="1"/>
        <v>310784.20411473705</v>
      </c>
      <c r="Y29" s="160">
        <f t="shared" si="1"/>
        <v>291425.12490056054</v>
      </c>
      <c r="Z29" s="160">
        <f t="shared" si="1"/>
        <v>275509.02842441335</v>
      </c>
      <c r="AA29" s="160">
        <f t="shared" si="1"/>
        <v>261314.80921536835</v>
      </c>
      <c r="AB29" s="160">
        <f t="shared" si="1"/>
        <v>247120.59000632336</v>
      </c>
      <c r="AC29" s="160">
        <f t="shared" si="1"/>
        <v>232926.37079727848</v>
      </c>
      <c r="AD29" s="160">
        <f t="shared" si="1"/>
        <v>218732.15158823351</v>
      </c>
      <c r="AE29" s="160">
        <f t="shared" si="1"/>
        <v>204537.9323791886</v>
      </c>
      <c r="AF29" s="160">
        <f t="shared" si="1"/>
        <v>190343.71317014366</v>
      </c>
      <c r="AG29" s="160">
        <f t="shared" si="1"/>
        <v>176149.49396109875</v>
      </c>
      <c r="AH29" s="160">
        <f t="shared" si="1"/>
        <v>161955.27475205384</v>
      </c>
      <c r="AI29" s="160">
        <f t="shared" si="1"/>
        <v>147761.05554300893</v>
      </c>
      <c r="AJ29" s="160">
        <f t="shared" si="1"/>
        <v>133566.83633396399</v>
      </c>
      <c r="AK29" s="160">
        <f t="shared" si="1"/>
        <v>119372.61712491907</v>
      </c>
      <c r="AL29" s="160">
        <f t="shared" si="1"/>
        <v>105178.39791587417</v>
      </c>
      <c r="AM29" s="160">
        <f t="shared" si="1"/>
        <v>90984.178706829262</v>
      </c>
      <c r="AN29" s="160">
        <f t="shared" si="1"/>
        <v>76789.959497784337</v>
      </c>
      <c r="AO29" s="160">
        <f t="shared" si="1"/>
        <v>62595.74028873942</v>
      </c>
      <c r="AP29" s="160">
        <f t="shared" si="1"/>
        <v>48401.52107969451</v>
      </c>
      <c r="AQ29" s="160">
        <f t="shared" si="1"/>
        <v>34207.301870649593</v>
      </c>
      <c r="AR29" s="160">
        <f t="shared" si="1"/>
        <v>20013.082661604672</v>
      </c>
      <c r="AS29" s="160">
        <f t="shared" si="1"/>
        <v>12915.973057082216</v>
      </c>
      <c r="AT29" s="160">
        <f t="shared" si="1"/>
        <v>12915.973057082216</v>
      </c>
      <c r="AU29" s="163">
        <f>SUM(D29:AT29)</f>
        <v>13398053.473936601</v>
      </c>
    </row>
    <row r="30" spans="1:48" x14ac:dyDescent="0.25">
      <c r="A30" s="25"/>
      <c r="B30" s="25"/>
      <c r="C30" s="25"/>
      <c r="D30" s="288"/>
      <c r="E30" s="61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</row>
    <row r="31" spans="1:48" x14ac:dyDescent="0.25">
      <c r="A31" s="25"/>
      <c r="B31" s="25" t="s">
        <v>55</v>
      </c>
      <c r="C31" s="25"/>
      <c r="D31" s="288"/>
      <c r="E31" s="61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</row>
    <row r="32" spans="1:48" x14ac:dyDescent="0.25">
      <c r="A32" s="283">
        <f>A29+1</f>
        <v>3</v>
      </c>
      <c r="B32" s="25"/>
      <c r="C32" s="25"/>
      <c r="D32" s="288"/>
      <c r="E32" s="61">
        <f>E49*$F10</f>
        <v>0</v>
      </c>
      <c r="F32" s="160">
        <f>F49*$G10</f>
        <v>0</v>
      </c>
      <c r="G32" s="160">
        <f t="shared" ref="G32:AT32" si="2">G49*$F10</f>
        <v>0</v>
      </c>
      <c r="H32" s="160">
        <f t="shared" si="2"/>
        <v>0</v>
      </c>
      <c r="I32" s="160">
        <f t="shared" si="2"/>
        <v>0</v>
      </c>
      <c r="J32" s="160">
        <f t="shared" si="2"/>
        <v>0</v>
      </c>
      <c r="K32" s="160">
        <f t="shared" si="2"/>
        <v>0</v>
      </c>
      <c r="L32" s="160">
        <f t="shared" si="2"/>
        <v>0</v>
      </c>
      <c r="M32" s="160">
        <f t="shared" si="2"/>
        <v>0</v>
      </c>
      <c r="N32" s="160">
        <f t="shared" si="2"/>
        <v>0</v>
      </c>
      <c r="O32" s="160">
        <f t="shared" si="2"/>
        <v>0</v>
      </c>
      <c r="P32" s="160">
        <f t="shared" si="2"/>
        <v>0</v>
      </c>
      <c r="Q32" s="160">
        <f t="shared" si="2"/>
        <v>0</v>
      </c>
      <c r="R32" s="160">
        <f t="shared" si="2"/>
        <v>0</v>
      </c>
      <c r="S32" s="160">
        <f t="shared" si="2"/>
        <v>0</v>
      </c>
      <c r="T32" s="160">
        <f t="shared" si="2"/>
        <v>0</v>
      </c>
      <c r="U32" s="160">
        <f t="shared" si="2"/>
        <v>0</v>
      </c>
      <c r="V32" s="160">
        <f t="shared" si="2"/>
        <v>0</v>
      </c>
      <c r="W32" s="160">
        <f t="shared" si="2"/>
        <v>0</v>
      </c>
      <c r="X32" s="160">
        <f t="shared" si="2"/>
        <v>0</v>
      </c>
      <c r="Y32" s="160">
        <f t="shared" si="2"/>
        <v>0</v>
      </c>
      <c r="Z32" s="160">
        <f t="shared" si="2"/>
        <v>0</v>
      </c>
      <c r="AA32" s="160">
        <f t="shared" si="2"/>
        <v>0</v>
      </c>
      <c r="AB32" s="160">
        <f t="shared" si="2"/>
        <v>0</v>
      </c>
      <c r="AC32" s="160">
        <f t="shared" si="2"/>
        <v>0</v>
      </c>
      <c r="AD32" s="160">
        <f t="shared" si="2"/>
        <v>0</v>
      </c>
      <c r="AE32" s="160">
        <f t="shared" si="2"/>
        <v>0</v>
      </c>
      <c r="AF32" s="160">
        <f t="shared" si="2"/>
        <v>0</v>
      </c>
      <c r="AG32" s="160">
        <f t="shared" si="2"/>
        <v>0</v>
      </c>
      <c r="AH32" s="160">
        <f t="shared" si="2"/>
        <v>0</v>
      </c>
      <c r="AI32" s="160">
        <f t="shared" si="2"/>
        <v>0</v>
      </c>
      <c r="AJ32" s="160">
        <f t="shared" si="2"/>
        <v>0</v>
      </c>
      <c r="AK32" s="160">
        <f t="shared" si="2"/>
        <v>0</v>
      </c>
      <c r="AL32" s="160">
        <f t="shared" si="2"/>
        <v>0</v>
      </c>
      <c r="AM32" s="160">
        <f t="shared" si="2"/>
        <v>0</v>
      </c>
      <c r="AN32" s="160">
        <f t="shared" si="2"/>
        <v>0</v>
      </c>
      <c r="AO32" s="160">
        <f t="shared" si="2"/>
        <v>0</v>
      </c>
      <c r="AP32" s="160">
        <f t="shared" si="2"/>
        <v>0</v>
      </c>
      <c r="AQ32" s="160">
        <f t="shared" si="2"/>
        <v>0</v>
      </c>
      <c r="AR32" s="160">
        <f t="shared" si="2"/>
        <v>0</v>
      </c>
      <c r="AS32" s="160">
        <f t="shared" si="2"/>
        <v>0</v>
      </c>
      <c r="AT32" s="160">
        <f t="shared" si="2"/>
        <v>0</v>
      </c>
      <c r="AU32" s="163">
        <f t="shared" ref="AU32:AU42" si="3">SUM(D32:AT32)</f>
        <v>0</v>
      </c>
    </row>
    <row r="33" spans="1:47" x14ac:dyDescent="0.25">
      <c r="A33" s="283">
        <f>A32+1</f>
        <v>4</v>
      </c>
      <c r="B33" s="36"/>
      <c r="C33" s="36" t="s">
        <v>178</v>
      </c>
      <c r="D33" s="288"/>
      <c r="E33" s="61">
        <f>E49*$F11</f>
        <v>1788478.3001245733</v>
      </c>
      <c r="F33" s="160">
        <f>F49*$G11</f>
        <v>1639869.5599136476</v>
      </c>
      <c r="G33" s="160">
        <f>G49*$G11</f>
        <v>1581691.1667184934</v>
      </c>
      <c r="H33" s="160">
        <f t="shared" ref="H33:AT33" si="4">H49*$G11</f>
        <v>1525390.3590568707</v>
      </c>
      <c r="I33" s="160">
        <f t="shared" si="4"/>
        <v>1470826.5882995897</v>
      </c>
      <c r="J33" s="160">
        <f t="shared" si="4"/>
        <v>1417870.1172504753</v>
      </c>
      <c r="K33" s="160">
        <f t="shared" si="4"/>
        <v>1366400.2182408653</v>
      </c>
      <c r="L33" s="160">
        <f t="shared" si="4"/>
        <v>1316305.1731296086</v>
      </c>
      <c r="M33" s="160">
        <f t="shared" si="4"/>
        <v>1266977.7397623868</v>
      </c>
      <c r="N33" s="160">
        <f t="shared" si="4"/>
        <v>1217760.2226308133</v>
      </c>
      <c r="O33" s="160">
        <f t="shared" si="4"/>
        <v>1168542.7054992395</v>
      </c>
      <c r="P33" s="160">
        <f t="shared" si="4"/>
        <v>1119325.1883676657</v>
      </c>
      <c r="Q33" s="160">
        <f t="shared" si="4"/>
        <v>1070107.6712360922</v>
      </c>
      <c r="R33" s="160">
        <f t="shared" si="4"/>
        <v>1020890.1541045187</v>
      </c>
      <c r="S33" s="160">
        <f t="shared" si="4"/>
        <v>971672.63697294518</v>
      </c>
      <c r="T33" s="160">
        <f t="shared" si="4"/>
        <v>922455.11984137143</v>
      </c>
      <c r="U33" s="160">
        <f t="shared" si="4"/>
        <v>873237.60270979768</v>
      </c>
      <c r="V33" s="160">
        <f t="shared" si="4"/>
        <v>824020.08557822416</v>
      </c>
      <c r="W33" s="160">
        <f t="shared" si="4"/>
        <v>774802.56844665052</v>
      </c>
      <c r="X33" s="160">
        <f t="shared" si="4"/>
        <v>725585.05131507688</v>
      </c>
      <c r="Y33" s="160">
        <f t="shared" si="4"/>
        <v>680387.58535942272</v>
      </c>
      <c r="Z33" s="160">
        <f t="shared" si="4"/>
        <v>643228.4198501053</v>
      </c>
      <c r="AA33" s="160">
        <f t="shared" si="4"/>
        <v>610089.30551670736</v>
      </c>
      <c r="AB33" s="160">
        <f t="shared" si="4"/>
        <v>576950.19118330954</v>
      </c>
      <c r="AC33" s="160">
        <f t="shared" si="4"/>
        <v>543811.07684991171</v>
      </c>
      <c r="AD33" s="160">
        <f t="shared" si="4"/>
        <v>510671.96251651383</v>
      </c>
      <c r="AE33" s="160">
        <f t="shared" si="4"/>
        <v>477532.84818311606</v>
      </c>
      <c r="AF33" s="160">
        <f t="shared" si="4"/>
        <v>444393.73384971829</v>
      </c>
      <c r="AG33" s="160">
        <f t="shared" si="4"/>
        <v>411254.61951632053</v>
      </c>
      <c r="AH33" s="160">
        <f t="shared" si="4"/>
        <v>378115.5051829227</v>
      </c>
      <c r="AI33" s="160">
        <f t="shared" si="4"/>
        <v>344976.39084952493</v>
      </c>
      <c r="AJ33" s="160">
        <f t="shared" si="4"/>
        <v>311837.27651612711</v>
      </c>
      <c r="AK33" s="160">
        <f t="shared" si="4"/>
        <v>278698.16218272928</v>
      </c>
      <c r="AL33" s="160">
        <f t="shared" si="4"/>
        <v>245559.04784933155</v>
      </c>
      <c r="AM33" s="160">
        <f t="shared" si="4"/>
        <v>212419.93351593375</v>
      </c>
      <c r="AN33" s="160">
        <f t="shared" si="4"/>
        <v>179280.81918253598</v>
      </c>
      <c r="AO33" s="160">
        <f t="shared" si="4"/>
        <v>146141.70484913819</v>
      </c>
      <c r="AP33" s="160">
        <f t="shared" si="4"/>
        <v>113002.5905157404</v>
      </c>
      <c r="AQ33" s="160">
        <f t="shared" si="4"/>
        <v>79863.476182342609</v>
      </c>
      <c r="AR33" s="160">
        <f t="shared" si="4"/>
        <v>46724.361848944827</v>
      </c>
      <c r="AS33" s="160">
        <f t="shared" si="4"/>
        <v>30154.804682245936</v>
      </c>
      <c r="AT33" s="160">
        <f t="shared" si="4"/>
        <v>30154.804682245936</v>
      </c>
      <c r="AU33" s="163">
        <f t="shared" si="3"/>
        <v>31357456.850063797</v>
      </c>
    </row>
    <row r="34" spans="1:47" x14ac:dyDescent="0.25">
      <c r="A34" s="283">
        <f>A33+1</f>
        <v>5</v>
      </c>
      <c r="B34" s="25"/>
      <c r="C34" s="25" t="s">
        <v>9</v>
      </c>
      <c r="D34" s="288"/>
      <c r="E34" s="63">
        <f>E49*$F12</f>
        <v>2757486.6098910649</v>
      </c>
      <c r="F34" s="158">
        <f>F49*$G12</f>
        <v>2642333.990532238</v>
      </c>
      <c r="G34" s="158">
        <f t="shared" ref="G34:AT34" si="5">G49*$G12</f>
        <v>2548590.713864428</v>
      </c>
      <c r="H34" s="158">
        <f t="shared" si="5"/>
        <v>2457872.8046994102</v>
      </c>
      <c r="I34" s="158">
        <f t="shared" si="5"/>
        <v>2369953.7959880317</v>
      </c>
      <c r="J34" s="158">
        <f t="shared" si="5"/>
        <v>2284624.6412233813</v>
      </c>
      <c r="K34" s="158">
        <f t="shared" si="5"/>
        <v>2201690.8110170835</v>
      </c>
      <c r="L34" s="158">
        <f t="shared" si="5"/>
        <v>2120972.2930992986</v>
      </c>
      <c r="M34" s="158">
        <f t="shared" si="5"/>
        <v>2041490.6336807366</v>
      </c>
      <c r="N34" s="158">
        <f t="shared" si="5"/>
        <v>1962186.0831083071</v>
      </c>
      <c r="O34" s="158">
        <f t="shared" si="5"/>
        <v>1882881.5325358773</v>
      </c>
      <c r="P34" s="158">
        <f t="shared" si="5"/>
        <v>1803576.9819634475</v>
      </c>
      <c r="Q34" s="158">
        <f t="shared" si="5"/>
        <v>1724272.431391018</v>
      </c>
      <c r="R34" s="158">
        <f t="shared" si="5"/>
        <v>1644967.8808185887</v>
      </c>
      <c r="S34" s="158">
        <f t="shared" si="5"/>
        <v>1565663.3302461591</v>
      </c>
      <c r="T34" s="158">
        <f t="shared" si="5"/>
        <v>1486358.7796737293</v>
      </c>
      <c r="U34" s="158">
        <f t="shared" si="5"/>
        <v>1407054.2291012995</v>
      </c>
      <c r="V34" s="158">
        <f t="shared" si="5"/>
        <v>1327749.6785288702</v>
      </c>
      <c r="W34" s="158">
        <f t="shared" si="5"/>
        <v>1248445.1279564404</v>
      </c>
      <c r="X34" s="158">
        <f t="shared" si="5"/>
        <v>1169140.5773840109</v>
      </c>
      <c r="Y34" s="158">
        <f t="shared" si="5"/>
        <v>1096313.5651021088</v>
      </c>
      <c r="Z34" s="158">
        <f t="shared" si="5"/>
        <v>1036438.725977555</v>
      </c>
      <c r="AA34" s="158">
        <f t="shared" si="5"/>
        <v>983041.42514352861</v>
      </c>
      <c r="AB34" s="158">
        <f t="shared" si="5"/>
        <v>929644.12430950231</v>
      </c>
      <c r="AC34" s="158">
        <f t="shared" si="5"/>
        <v>876246.82347547624</v>
      </c>
      <c r="AD34" s="158">
        <f t="shared" si="5"/>
        <v>822849.52264144993</v>
      </c>
      <c r="AE34" s="158">
        <f t="shared" si="5"/>
        <v>769452.22180742386</v>
      </c>
      <c r="AF34" s="158">
        <f t="shared" si="5"/>
        <v>716054.92097339767</v>
      </c>
      <c r="AG34" s="158">
        <f t="shared" si="5"/>
        <v>662657.6201393716</v>
      </c>
      <c r="AH34" s="158">
        <f t="shared" si="5"/>
        <v>609260.31930534542</v>
      </c>
      <c r="AI34" s="158">
        <f t="shared" si="5"/>
        <v>555863.01847131934</v>
      </c>
      <c r="AJ34" s="158">
        <f t="shared" si="5"/>
        <v>502465.71763729322</v>
      </c>
      <c r="AK34" s="158">
        <f t="shared" si="5"/>
        <v>449068.41680326703</v>
      </c>
      <c r="AL34" s="158">
        <f t="shared" si="5"/>
        <v>395671.11596924096</v>
      </c>
      <c r="AM34" s="158">
        <f t="shared" si="5"/>
        <v>342273.81513521483</v>
      </c>
      <c r="AN34" s="158">
        <f t="shared" si="5"/>
        <v>288876.51430118876</v>
      </c>
      <c r="AO34" s="158">
        <f t="shared" si="5"/>
        <v>235479.2134671626</v>
      </c>
      <c r="AP34" s="158">
        <f t="shared" si="5"/>
        <v>182081.9126331365</v>
      </c>
      <c r="AQ34" s="158">
        <f t="shared" si="5"/>
        <v>128684.61179911037</v>
      </c>
      <c r="AR34" s="158">
        <f t="shared" si="5"/>
        <v>75287.310965084253</v>
      </c>
      <c r="AS34" s="158">
        <f t="shared" si="5"/>
        <v>48588.660548071195</v>
      </c>
      <c r="AT34" s="158">
        <f t="shared" si="5"/>
        <v>48588.660548071195</v>
      </c>
      <c r="AU34" s="163">
        <f t="shared" si="3"/>
        <v>50402201.163856745</v>
      </c>
    </row>
    <row r="35" spans="1:47" x14ac:dyDescent="0.25">
      <c r="A35" s="283">
        <f>A34+1</f>
        <v>6</v>
      </c>
      <c r="B35" s="25"/>
      <c r="C35" s="25" t="s">
        <v>58</v>
      </c>
      <c r="D35" s="288"/>
      <c r="E35" s="61">
        <f>E32+E33+E34</f>
        <v>4545964.910015638</v>
      </c>
      <c r="F35" s="160">
        <f>F32+F33+F34</f>
        <v>4282203.5504458854</v>
      </c>
      <c r="G35" s="160">
        <f>G32+G33+G34</f>
        <v>4130281.8805829212</v>
      </c>
      <c r="H35" s="160">
        <f t="shared" ref="H35:AT35" si="6">H32+H33+H34</f>
        <v>3983263.1637562811</v>
      </c>
      <c r="I35" s="160">
        <f t="shared" si="6"/>
        <v>3840780.3842876214</v>
      </c>
      <c r="J35" s="160">
        <f t="shared" si="6"/>
        <v>3702494.7584738564</v>
      </c>
      <c r="K35" s="160">
        <f t="shared" si="6"/>
        <v>3568091.0292579485</v>
      </c>
      <c r="L35" s="160">
        <f t="shared" si="6"/>
        <v>3437277.466228907</v>
      </c>
      <c r="M35" s="160">
        <f t="shared" si="6"/>
        <v>3308468.3734431234</v>
      </c>
      <c r="N35" s="160">
        <f t="shared" si="6"/>
        <v>3179946.3057391206</v>
      </c>
      <c r="O35" s="160">
        <f t="shared" si="6"/>
        <v>3051424.2380351168</v>
      </c>
      <c r="P35" s="160">
        <f t="shared" si="6"/>
        <v>2922902.170331113</v>
      </c>
      <c r="Q35" s="160">
        <f t="shared" si="6"/>
        <v>2794380.1026271102</v>
      </c>
      <c r="R35" s="160">
        <f t="shared" si="6"/>
        <v>2665858.0349231074</v>
      </c>
      <c r="S35" s="160">
        <f t="shared" si="6"/>
        <v>2537335.9672191041</v>
      </c>
      <c r="T35" s="160">
        <f t="shared" si="6"/>
        <v>2408813.8995151008</v>
      </c>
      <c r="U35" s="160">
        <f t="shared" si="6"/>
        <v>2280291.8318110975</v>
      </c>
      <c r="V35" s="160">
        <f t="shared" si="6"/>
        <v>2151769.7641070941</v>
      </c>
      <c r="W35" s="160">
        <f t="shared" si="6"/>
        <v>2023247.6964030908</v>
      </c>
      <c r="X35" s="160">
        <f t="shared" si="6"/>
        <v>1894725.6286990878</v>
      </c>
      <c r="Y35" s="160">
        <f t="shared" si="6"/>
        <v>1776701.1504615315</v>
      </c>
      <c r="Z35" s="160">
        <f t="shared" si="6"/>
        <v>1679667.1458276603</v>
      </c>
      <c r="AA35" s="160">
        <f t="shared" si="6"/>
        <v>1593130.730660236</v>
      </c>
      <c r="AB35" s="160">
        <f t="shared" si="6"/>
        <v>1506594.3154928118</v>
      </c>
      <c r="AC35" s="160">
        <f t="shared" si="6"/>
        <v>1420057.9003253879</v>
      </c>
      <c r="AD35" s="160">
        <f t="shared" si="6"/>
        <v>1333521.4851579638</v>
      </c>
      <c r="AE35" s="160">
        <f t="shared" si="6"/>
        <v>1246985.0699905399</v>
      </c>
      <c r="AF35" s="160">
        <f t="shared" si="6"/>
        <v>1160448.654823116</v>
      </c>
      <c r="AG35" s="160">
        <f t="shared" si="6"/>
        <v>1073912.2396556921</v>
      </c>
      <c r="AH35" s="160">
        <f t="shared" si="6"/>
        <v>987375.82448826812</v>
      </c>
      <c r="AI35" s="160">
        <f t="shared" si="6"/>
        <v>900839.40932084434</v>
      </c>
      <c r="AJ35" s="160">
        <f t="shared" si="6"/>
        <v>814302.99415342032</v>
      </c>
      <c r="AK35" s="160">
        <f t="shared" si="6"/>
        <v>727766.57898599631</v>
      </c>
      <c r="AL35" s="160">
        <f t="shared" si="6"/>
        <v>641230.16381857253</v>
      </c>
      <c r="AM35" s="160">
        <f t="shared" si="6"/>
        <v>554693.74865114852</v>
      </c>
      <c r="AN35" s="160">
        <f t="shared" si="6"/>
        <v>468157.33348372474</v>
      </c>
      <c r="AO35" s="160">
        <f t="shared" si="6"/>
        <v>381620.91831630078</v>
      </c>
      <c r="AP35" s="160">
        <f t="shared" si="6"/>
        <v>295084.50314887689</v>
      </c>
      <c r="AQ35" s="160">
        <f t="shared" si="6"/>
        <v>208548.08798145299</v>
      </c>
      <c r="AR35" s="160">
        <f t="shared" si="6"/>
        <v>122011.67281402908</v>
      </c>
      <c r="AS35" s="160">
        <f t="shared" si="6"/>
        <v>78743.465230317131</v>
      </c>
      <c r="AT35" s="160">
        <f t="shared" si="6"/>
        <v>78743.465230317131</v>
      </c>
      <c r="AU35" s="163">
        <f t="shared" si="3"/>
        <v>81759658.013920531</v>
      </c>
    </row>
    <row r="36" spans="1:47" x14ac:dyDescent="0.25">
      <c r="A36" s="25"/>
      <c r="B36" s="25"/>
      <c r="C36" s="25"/>
      <c r="D36" s="288"/>
      <c r="E36" s="61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3">
        <f t="shared" si="3"/>
        <v>0</v>
      </c>
    </row>
    <row r="37" spans="1:47" x14ac:dyDescent="0.25">
      <c r="A37" s="283">
        <f>A35+1</f>
        <v>7</v>
      </c>
      <c r="B37" s="25" t="s">
        <v>59</v>
      </c>
      <c r="C37" s="25"/>
      <c r="D37" s="288"/>
      <c r="E37" s="64">
        <f>E27+E29+E35</f>
        <v>6761237.8561166571</v>
      </c>
      <c r="F37" s="157">
        <f>F27+F29+F35</f>
        <v>6466866.3065907601</v>
      </c>
      <c r="G37" s="157">
        <f t="shared" ref="G37:AT37" si="7">G27+G29+G35</f>
        <v>6290025.537866733</v>
      </c>
      <c r="H37" s="157">
        <f t="shared" si="7"/>
        <v>6118891.9337936956</v>
      </c>
      <c r="I37" s="157">
        <f t="shared" si="7"/>
        <v>5953038.278591631</v>
      </c>
      <c r="J37" s="157">
        <f t="shared" si="7"/>
        <v>5792070.219232833</v>
      </c>
      <c r="K37" s="157">
        <f t="shared" si="7"/>
        <v>5635620.7883165162</v>
      </c>
      <c r="L37" s="157">
        <f t="shared" si="7"/>
        <v>5483350.4040688239</v>
      </c>
      <c r="M37" s="157">
        <f t="shared" si="7"/>
        <v>5333413.2752350681</v>
      </c>
      <c r="N37" s="157">
        <f t="shared" si="7"/>
        <v>5183810.2510497859</v>
      </c>
      <c r="O37" s="157">
        <f t="shared" si="7"/>
        <v>5034207.2268645037</v>
      </c>
      <c r="P37" s="157">
        <f t="shared" si="7"/>
        <v>4884604.2026792206</v>
      </c>
      <c r="Q37" s="157">
        <f t="shared" si="7"/>
        <v>4735001.1784939393</v>
      </c>
      <c r="R37" s="157">
        <f t="shared" si="7"/>
        <v>4585398.1543086581</v>
      </c>
      <c r="S37" s="157">
        <f t="shared" si="7"/>
        <v>4435795.1301233759</v>
      </c>
      <c r="T37" s="157">
        <f t="shared" si="7"/>
        <v>4286192.1059380937</v>
      </c>
      <c r="U37" s="157">
        <f t="shared" si="7"/>
        <v>4136589.0817528116</v>
      </c>
      <c r="V37" s="157">
        <f t="shared" si="7"/>
        <v>3986986.0575675294</v>
      </c>
      <c r="W37" s="157">
        <f t="shared" si="7"/>
        <v>3837383.0333822477</v>
      </c>
      <c r="X37" s="157">
        <f t="shared" si="7"/>
        <v>3687780.009196966</v>
      </c>
      <c r="Y37" s="157">
        <f t="shared" si="7"/>
        <v>3550396.451745233</v>
      </c>
      <c r="Z37" s="157">
        <f t="shared" si="7"/>
        <v>3437446.3506352147</v>
      </c>
      <c r="AA37" s="157">
        <f t="shared" si="7"/>
        <v>3336715.7162587452</v>
      </c>
      <c r="AB37" s="157">
        <f t="shared" si="7"/>
        <v>3235985.0818822761</v>
      </c>
      <c r="AC37" s="157">
        <f t="shared" si="7"/>
        <v>3135254.4475058075</v>
      </c>
      <c r="AD37" s="157">
        <f t="shared" si="7"/>
        <v>3034523.8131293384</v>
      </c>
      <c r="AE37" s="157">
        <f t="shared" si="7"/>
        <v>2933793.1787528694</v>
      </c>
      <c r="AF37" s="157">
        <f t="shared" si="7"/>
        <v>2833062.5443764008</v>
      </c>
      <c r="AG37" s="157">
        <f t="shared" si="7"/>
        <v>2732331.9099999322</v>
      </c>
      <c r="AH37" s="157">
        <f t="shared" si="7"/>
        <v>2631601.2756234631</v>
      </c>
      <c r="AI37" s="157">
        <f t="shared" si="7"/>
        <v>2530870.641246994</v>
      </c>
      <c r="AJ37" s="157">
        <f t="shared" si="7"/>
        <v>2430140.0068705254</v>
      </c>
      <c r="AK37" s="157">
        <f t="shared" si="7"/>
        <v>2329409.3724940564</v>
      </c>
      <c r="AL37" s="157">
        <f t="shared" si="7"/>
        <v>2228678.7381175878</v>
      </c>
      <c r="AM37" s="157">
        <f t="shared" si="7"/>
        <v>2127948.1037411187</v>
      </c>
      <c r="AN37" s="157">
        <f t="shared" si="7"/>
        <v>2027217.4693646501</v>
      </c>
      <c r="AO37" s="157">
        <f t="shared" si="7"/>
        <v>1926486.834988181</v>
      </c>
      <c r="AP37" s="157">
        <f t="shared" si="7"/>
        <v>1825756.2006117124</v>
      </c>
      <c r="AQ37" s="157">
        <f t="shared" si="7"/>
        <v>1725025.5662352436</v>
      </c>
      <c r="AR37" s="157">
        <f t="shared" si="7"/>
        <v>1624294.9318587747</v>
      </c>
      <c r="AS37" s="157">
        <f t="shared" si="7"/>
        <v>91659.438287399345</v>
      </c>
      <c r="AT37" s="157">
        <f t="shared" si="7"/>
        <v>91659.438287399345</v>
      </c>
      <c r="AU37" s="163">
        <f t="shared" si="3"/>
        <v>154448518.54318279</v>
      </c>
    </row>
    <row r="38" spans="1:47" x14ac:dyDescent="0.25">
      <c r="A38" s="283">
        <f>A37+1</f>
        <v>8</v>
      </c>
      <c r="B38" s="25" t="s">
        <v>60</v>
      </c>
      <c r="C38" s="25"/>
      <c r="D38" s="288"/>
      <c r="E38" s="63">
        <f t="shared" ref="E38" si="8">E37/(1-$F16)-E37</f>
        <v>322019.02429738268</v>
      </c>
      <c r="F38" s="158">
        <f>F37/(1-$G16)-F37</f>
        <v>307892.46174453385</v>
      </c>
      <c r="G38" s="158">
        <f t="shared" ref="G38:AT38" si="9">G37/(1-$G16)-G37</f>
        <v>299472.93719618488</v>
      </c>
      <c r="H38" s="158">
        <f t="shared" si="9"/>
        <v>291325.13513144106</v>
      </c>
      <c r="I38" s="158">
        <f t="shared" si="9"/>
        <v>283428.71547955275</v>
      </c>
      <c r="J38" s="158">
        <f t="shared" si="9"/>
        <v>275764.90279059857</v>
      </c>
      <c r="K38" s="158">
        <f t="shared" si="9"/>
        <v>268316.22546534427</v>
      </c>
      <c r="L38" s="158">
        <f t="shared" si="9"/>
        <v>261066.51575524453</v>
      </c>
      <c r="M38" s="158">
        <f t="shared" si="9"/>
        <v>253927.89412385505</v>
      </c>
      <c r="N38" s="158">
        <f t="shared" si="9"/>
        <v>246805.17947087251</v>
      </c>
      <c r="O38" s="158">
        <f t="shared" si="9"/>
        <v>239682.46481788997</v>
      </c>
      <c r="P38" s="158">
        <f t="shared" si="9"/>
        <v>232559.75016490743</v>
      </c>
      <c r="Q38" s="158">
        <f t="shared" si="9"/>
        <v>225437.03551192489</v>
      </c>
      <c r="R38" s="158">
        <f t="shared" si="9"/>
        <v>218314.32085894234</v>
      </c>
      <c r="S38" s="158">
        <f t="shared" si="9"/>
        <v>211191.6062059598</v>
      </c>
      <c r="T38" s="158">
        <f t="shared" si="9"/>
        <v>204068.89155297633</v>
      </c>
      <c r="U38" s="158">
        <f t="shared" si="9"/>
        <v>196946.17689999379</v>
      </c>
      <c r="V38" s="158">
        <f t="shared" si="9"/>
        <v>189823.46224701172</v>
      </c>
      <c r="W38" s="158">
        <f t="shared" si="9"/>
        <v>182700.74759402871</v>
      </c>
      <c r="X38" s="158">
        <f t="shared" si="9"/>
        <v>175578.03294104617</v>
      </c>
      <c r="Y38" s="158">
        <f t="shared" si="9"/>
        <v>169037.096465535</v>
      </c>
      <c r="Z38" s="158">
        <f t="shared" si="9"/>
        <v>163659.45557482773</v>
      </c>
      <c r="AA38" s="158">
        <f t="shared" si="9"/>
        <v>158863.59286159184</v>
      </c>
      <c r="AB38" s="158">
        <f t="shared" si="9"/>
        <v>154067.73014835641</v>
      </c>
      <c r="AC38" s="158">
        <f t="shared" si="9"/>
        <v>149271.86743512051</v>
      </c>
      <c r="AD38" s="158">
        <f t="shared" si="9"/>
        <v>144476.00472188462</v>
      </c>
      <c r="AE38" s="158">
        <f t="shared" si="9"/>
        <v>139680.14200864872</v>
      </c>
      <c r="AF38" s="158">
        <f t="shared" si="9"/>
        <v>134884.27929541282</v>
      </c>
      <c r="AG38" s="158">
        <f t="shared" si="9"/>
        <v>130088.41658217739</v>
      </c>
      <c r="AH38" s="158">
        <f t="shared" si="9"/>
        <v>125292.5538689415</v>
      </c>
      <c r="AI38" s="158">
        <f t="shared" si="9"/>
        <v>120496.6911557056</v>
      </c>
      <c r="AJ38" s="158">
        <f t="shared" si="9"/>
        <v>115700.8284424697</v>
      </c>
      <c r="AK38" s="158">
        <f t="shared" si="9"/>
        <v>110904.96572923381</v>
      </c>
      <c r="AL38" s="158">
        <f t="shared" si="9"/>
        <v>106109.10301599791</v>
      </c>
      <c r="AM38" s="158">
        <f t="shared" si="9"/>
        <v>101313.24030276248</v>
      </c>
      <c r="AN38" s="158">
        <f t="shared" si="9"/>
        <v>96517.377589526586</v>
      </c>
      <c r="AO38" s="158">
        <f t="shared" si="9"/>
        <v>91721.51487629069</v>
      </c>
      <c r="AP38" s="158">
        <f t="shared" si="9"/>
        <v>86925.652163054794</v>
      </c>
      <c r="AQ38" s="158">
        <f t="shared" si="9"/>
        <v>82129.789449819131</v>
      </c>
      <c r="AR38" s="158">
        <f t="shared" si="9"/>
        <v>77333.926736583235</v>
      </c>
      <c r="AS38" s="158">
        <f t="shared" si="9"/>
        <v>4363.9761143147043</v>
      </c>
      <c r="AT38" s="158">
        <f t="shared" si="9"/>
        <v>4363.9761143147043</v>
      </c>
      <c r="AU38" s="163">
        <f t="shared" si="3"/>
        <v>7353523.660902258</v>
      </c>
    </row>
    <row r="39" spans="1:47" x14ac:dyDescent="0.25">
      <c r="A39" s="283">
        <f>A38+1</f>
        <v>9</v>
      </c>
      <c r="B39" s="25"/>
      <c r="C39" s="25" t="s">
        <v>61</v>
      </c>
      <c r="D39" s="288"/>
      <c r="E39" s="64">
        <f>SUM(E37:E38)</f>
        <v>7083256.8804140398</v>
      </c>
      <c r="F39" s="157">
        <f t="shared" ref="F39:AT39" si="10">SUM(F37:F38)</f>
        <v>6774758.768335294</v>
      </c>
      <c r="G39" s="157">
        <f t="shared" si="10"/>
        <v>6589498.4750629179</v>
      </c>
      <c r="H39" s="157">
        <f t="shared" si="10"/>
        <v>6410217.0689251367</v>
      </c>
      <c r="I39" s="157">
        <f t="shared" si="10"/>
        <v>6236466.9940711837</v>
      </c>
      <c r="J39" s="157">
        <f t="shared" si="10"/>
        <v>6067835.1220234316</v>
      </c>
      <c r="K39" s="157">
        <f t="shared" si="10"/>
        <v>5903937.0137818605</v>
      </c>
      <c r="L39" s="157">
        <f t="shared" si="10"/>
        <v>5744416.9198240684</v>
      </c>
      <c r="M39" s="157">
        <f t="shared" si="10"/>
        <v>5587341.1693589231</v>
      </c>
      <c r="N39" s="157">
        <f t="shared" si="10"/>
        <v>5430615.4305206584</v>
      </c>
      <c r="O39" s="157">
        <f t="shared" si="10"/>
        <v>5273889.6916823937</v>
      </c>
      <c r="P39" s="157">
        <f t="shared" si="10"/>
        <v>5117163.952844128</v>
      </c>
      <c r="Q39" s="157">
        <f t="shared" si="10"/>
        <v>4960438.2140058642</v>
      </c>
      <c r="R39" s="157">
        <f t="shared" si="10"/>
        <v>4803712.4751676004</v>
      </c>
      <c r="S39" s="157">
        <f t="shared" si="10"/>
        <v>4646986.7363293357</v>
      </c>
      <c r="T39" s="157">
        <f t="shared" si="10"/>
        <v>4490260.9974910701</v>
      </c>
      <c r="U39" s="157">
        <f t="shared" si="10"/>
        <v>4333535.2586528054</v>
      </c>
      <c r="V39" s="157">
        <f t="shared" si="10"/>
        <v>4176809.5198145411</v>
      </c>
      <c r="W39" s="157">
        <f t="shared" si="10"/>
        <v>4020083.7809762764</v>
      </c>
      <c r="X39" s="157">
        <f t="shared" si="10"/>
        <v>3863358.0421380121</v>
      </c>
      <c r="Y39" s="157">
        <f t="shared" si="10"/>
        <v>3719433.548210768</v>
      </c>
      <c r="Z39" s="157">
        <f t="shared" si="10"/>
        <v>3601105.8062100424</v>
      </c>
      <c r="AA39" s="157">
        <f t="shared" si="10"/>
        <v>3495579.309120337</v>
      </c>
      <c r="AB39" s="157">
        <f t="shared" si="10"/>
        <v>3390052.8120306325</v>
      </c>
      <c r="AC39" s="157">
        <f t="shared" si="10"/>
        <v>3284526.314940928</v>
      </c>
      <c r="AD39" s="157">
        <f t="shared" si="10"/>
        <v>3178999.8178512231</v>
      </c>
      <c r="AE39" s="157">
        <f t="shared" si="10"/>
        <v>3073473.3207615181</v>
      </c>
      <c r="AF39" s="157">
        <f t="shared" si="10"/>
        <v>2967946.8236718136</v>
      </c>
      <c r="AG39" s="157">
        <f t="shared" si="10"/>
        <v>2862420.3265821096</v>
      </c>
      <c r="AH39" s="157">
        <f t="shared" si="10"/>
        <v>2756893.8294924046</v>
      </c>
      <c r="AI39" s="157">
        <f t="shared" si="10"/>
        <v>2651367.3324026996</v>
      </c>
      <c r="AJ39" s="157">
        <f t="shared" si="10"/>
        <v>2545840.8353129951</v>
      </c>
      <c r="AK39" s="157">
        <f t="shared" si="10"/>
        <v>2440314.3382232902</v>
      </c>
      <c r="AL39" s="157">
        <f t="shared" si="10"/>
        <v>2334787.8411335857</v>
      </c>
      <c r="AM39" s="157">
        <f t="shared" si="10"/>
        <v>2229261.3440438812</v>
      </c>
      <c r="AN39" s="157">
        <f t="shared" si="10"/>
        <v>2123734.8469541767</v>
      </c>
      <c r="AO39" s="157">
        <f t="shared" si="10"/>
        <v>2018208.3498644717</v>
      </c>
      <c r="AP39" s="157">
        <f t="shared" si="10"/>
        <v>1912681.8527747672</v>
      </c>
      <c r="AQ39" s="157">
        <f t="shared" si="10"/>
        <v>1807155.3556850627</v>
      </c>
      <c r="AR39" s="157">
        <f t="shared" si="10"/>
        <v>1701628.858595358</v>
      </c>
      <c r="AS39" s="157">
        <f t="shared" si="10"/>
        <v>96023.41440171405</v>
      </c>
      <c r="AT39" s="157">
        <f t="shared" si="10"/>
        <v>96023.41440171405</v>
      </c>
      <c r="AU39" s="163">
        <f t="shared" si="3"/>
        <v>161802042.20408499</v>
      </c>
    </row>
    <row r="40" spans="1:47" x14ac:dyDescent="0.25">
      <c r="A40" s="283">
        <f t="shared" ref="A40:A66" si="11">A39+1</f>
        <v>10</v>
      </c>
      <c r="B40" s="25"/>
      <c r="C40" s="25"/>
      <c r="D40" s="288"/>
      <c r="E40" s="64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63">
        <f t="shared" si="3"/>
        <v>0</v>
      </c>
    </row>
    <row r="41" spans="1:47" x14ac:dyDescent="0.25">
      <c r="A41" s="283">
        <f t="shared" si="11"/>
        <v>11</v>
      </c>
      <c r="B41" s="25"/>
      <c r="C41" s="25"/>
      <c r="D41" s="288"/>
      <c r="E41" s="61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3">
        <f t="shared" si="3"/>
        <v>0</v>
      </c>
    </row>
    <row r="42" spans="1:47" x14ac:dyDescent="0.25">
      <c r="A42" s="283">
        <f t="shared" si="11"/>
        <v>12</v>
      </c>
      <c r="B42" s="25" t="s">
        <v>62</v>
      </c>
      <c r="C42" s="25"/>
      <c r="D42" s="288"/>
      <c r="E42" s="63">
        <f>E39</f>
        <v>7083256.8804140398</v>
      </c>
      <c r="F42" s="158">
        <f>F39</f>
        <v>6774758.768335294</v>
      </c>
      <c r="G42" s="158">
        <f t="shared" ref="G42:AT42" si="12">G39</f>
        <v>6589498.4750629179</v>
      </c>
      <c r="H42" s="158">
        <f t="shared" si="12"/>
        <v>6410217.0689251367</v>
      </c>
      <c r="I42" s="158">
        <f t="shared" si="12"/>
        <v>6236466.9940711837</v>
      </c>
      <c r="J42" s="158">
        <f t="shared" si="12"/>
        <v>6067835.1220234316</v>
      </c>
      <c r="K42" s="158">
        <f t="shared" si="12"/>
        <v>5903937.0137818605</v>
      </c>
      <c r="L42" s="158">
        <f t="shared" si="12"/>
        <v>5744416.9198240684</v>
      </c>
      <c r="M42" s="158">
        <f t="shared" si="12"/>
        <v>5587341.1693589231</v>
      </c>
      <c r="N42" s="158">
        <f t="shared" si="12"/>
        <v>5430615.4305206584</v>
      </c>
      <c r="O42" s="158">
        <f t="shared" si="12"/>
        <v>5273889.6916823937</v>
      </c>
      <c r="P42" s="158">
        <f t="shared" si="12"/>
        <v>5117163.952844128</v>
      </c>
      <c r="Q42" s="158">
        <f t="shared" si="12"/>
        <v>4960438.2140058642</v>
      </c>
      <c r="R42" s="158">
        <f t="shared" si="12"/>
        <v>4803712.4751676004</v>
      </c>
      <c r="S42" s="158">
        <f t="shared" si="12"/>
        <v>4646986.7363293357</v>
      </c>
      <c r="T42" s="158">
        <f t="shared" si="12"/>
        <v>4490260.9974910701</v>
      </c>
      <c r="U42" s="158">
        <f t="shared" si="12"/>
        <v>4333535.2586528054</v>
      </c>
      <c r="V42" s="158">
        <f t="shared" si="12"/>
        <v>4176809.5198145411</v>
      </c>
      <c r="W42" s="158">
        <f t="shared" si="12"/>
        <v>4020083.7809762764</v>
      </c>
      <c r="X42" s="158">
        <f t="shared" si="12"/>
        <v>3863358.0421380121</v>
      </c>
      <c r="Y42" s="158">
        <f t="shared" si="12"/>
        <v>3719433.548210768</v>
      </c>
      <c r="Z42" s="158">
        <f t="shared" si="12"/>
        <v>3601105.8062100424</v>
      </c>
      <c r="AA42" s="158">
        <f t="shared" si="12"/>
        <v>3495579.309120337</v>
      </c>
      <c r="AB42" s="158">
        <f t="shared" si="12"/>
        <v>3390052.8120306325</v>
      </c>
      <c r="AC42" s="158">
        <f t="shared" si="12"/>
        <v>3284526.314940928</v>
      </c>
      <c r="AD42" s="158">
        <f t="shared" si="12"/>
        <v>3178999.8178512231</v>
      </c>
      <c r="AE42" s="158">
        <f t="shared" si="12"/>
        <v>3073473.3207615181</v>
      </c>
      <c r="AF42" s="158">
        <f t="shared" si="12"/>
        <v>2967946.8236718136</v>
      </c>
      <c r="AG42" s="158">
        <f t="shared" si="12"/>
        <v>2862420.3265821096</v>
      </c>
      <c r="AH42" s="158">
        <f t="shared" si="12"/>
        <v>2756893.8294924046</v>
      </c>
      <c r="AI42" s="158">
        <f t="shared" si="12"/>
        <v>2651367.3324026996</v>
      </c>
      <c r="AJ42" s="158">
        <f t="shared" si="12"/>
        <v>2545840.8353129951</v>
      </c>
      <c r="AK42" s="158">
        <f t="shared" si="12"/>
        <v>2440314.3382232902</v>
      </c>
      <c r="AL42" s="158">
        <f t="shared" si="12"/>
        <v>2334787.8411335857</v>
      </c>
      <c r="AM42" s="158">
        <f t="shared" si="12"/>
        <v>2229261.3440438812</v>
      </c>
      <c r="AN42" s="158">
        <f t="shared" si="12"/>
        <v>2123734.8469541767</v>
      </c>
      <c r="AO42" s="158">
        <f t="shared" si="12"/>
        <v>2018208.3498644717</v>
      </c>
      <c r="AP42" s="158">
        <f t="shared" si="12"/>
        <v>1912681.8527747672</v>
      </c>
      <c r="AQ42" s="158">
        <f t="shared" si="12"/>
        <v>1807155.3556850627</v>
      </c>
      <c r="AR42" s="158">
        <f t="shared" si="12"/>
        <v>1701628.858595358</v>
      </c>
      <c r="AS42" s="158">
        <f t="shared" si="12"/>
        <v>96023.41440171405</v>
      </c>
      <c r="AT42" s="158">
        <f t="shared" si="12"/>
        <v>96023.41440171405</v>
      </c>
      <c r="AU42" s="163">
        <f t="shared" si="3"/>
        <v>161802042.20408499</v>
      </c>
    </row>
    <row r="43" spans="1:47" x14ac:dyDescent="0.25">
      <c r="A43" s="283">
        <f t="shared" si="11"/>
        <v>13</v>
      </c>
      <c r="B43" s="25"/>
      <c r="C43" s="25"/>
      <c r="D43" s="288"/>
      <c r="E43" s="138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</row>
    <row r="44" spans="1:47" outlineLevel="1" x14ac:dyDescent="0.25">
      <c r="A44" s="283">
        <f t="shared" si="11"/>
        <v>14</v>
      </c>
      <c r="B44" s="25"/>
      <c r="C44" s="25"/>
      <c r="D44" s="288"/>
      <c r="E44" s="66"/>
      <c r="F44" s="288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</row>
    <row r="45" spans="1:47" outlineLevel="1" x14ac:dyDescent="0.25">
      <c r="A45" s="283">
        <f t="shared" si="11"/>
        <v>15</v>
      </c>
      <c r="B45" s="25" t="s">
        <v>63</v>
      </c>
      <c r="C45" s="288"/>
      <c r="D45" s="288"/>
      <c r="E45" s="68">
        <f>+E42/$F$22</f>
        <v>0.11680911008804319</v>
      </c>
      <c r="F45" s="159">
        <f t="shared" ref="F45:AT45" si="13">+F42/$F$22</f>
        <v>0.11172170601049218</v>
      </c>
      <c r="G45" s="159">
        <f t="shared" si="13"/>
        <v>0.10866660150741629</v>
      </c>
      <c r="H45" s="159">
        <f t="shared" si="13"/>
        <v>0.10571009409001721</v>
      </c>
      <c r="I45" s="159">
        <f t="shared" si="13"/>
        <v>0.10284480317030757</v>
      </c>
      <c r="J45" s="159">
        <f t="shared" si="13"/>
        <v>0.1000639158978376</v>
      </c>
      <c r="K45" s="159">
        <f t="shared" si="13"/>
        <v>9.7361092536772012E-2</v>
      </c>
      <c r="L45" s="159">
        <f t="shared" si="13"/>
        <v>9.4730466465890117E-2</v>
      </c>
      <c r="M45" s="159">
        <f t="shared" si="13"/>
        <v>9.2140149760169751E-2</v>
      </c>
      <c r="N45" s="159">
        <f t="shared" si="13"/>
        <v>8.9555605052747164E-2</v>
      </c>
      <c r="O45" s="159">
        <f t="shared" si="13"/>
        <v>8.6971060345324563E-2</v>
      </c>
      <c r="P45" s="159">
        <f t="shared" si="13"/>
        <v>8.4386515637901963E-2</v>
      </c>
      <c r="Q45" s="159">
        <f t="shared" si="13"/>
        <v>8.180197093047939E-2</v>
      </c>
      <c r="R45" s="159">
        <f t="shared" si="13"/>
        <v>7.9217426223056803E-2</v>
      </c>
      <c r="S45" s="159">
        <f t="shared" si="13"/>
        <v>7.6632881515634216E-2</v>
      </c>
      <c r="T45" s="159">
        <f t="shared" si="13"/>
        <v>7.4048336808211601E-2</v>
      </c>
      <c r="U45" s="159">
        <f t="shared" si="13"/>
        <v>7.1463792100789014E-2</v>
      </c>
      <c r="V45" s="159">
        <f t="shared" si="13"/>
        <v>6.8879247393366427E-2</v>
      </c>
      <c r="W45" s="159">
        <f t="shared" si="13"/>
        <v>6.629470268594384E-2</v>
      </c>
      <c r="X45" s="159">
        <f t="shared" si="13"/>
        <v>6.3710157978521254E-2</v>
      </c>
      <c r="Y45" s="159">
        <f t="shared" si="13"/>
        <v>6.1336717012120685E-2</v>
      </c>
      <c r="Z45" s="159">
        <f t="shared" si="13"/>
        <v>5.9385388904841255E-2</v>
      </c>
      <c r="AA45" s="159">
        <f t="shared" si="13"/>
        <v>5.7645164538583843E-2</v>
      </c>
      <c r="AB45" s="159">
        <f t="shared" si="13"/>
        <v>5.5904940172326445E-2</v>
      </c>
      <c r="AC45" s="159">
        <f t="shared" si="13"/>
        <v>5.4164715806069054E-2</v>
      </c>
      <c r="AD45" s="159">
        <f t="shared" si="13"/>
        <v>5.2424491439811649E-2</v>
      </c>
      <c r="AE45" s="159">
        <f t="shared" si="13"/>
        <v>5.0684267073554244E-2</v>
      </c>
      <c r="AF45" s="159">
        <f t="shared" si="13"/>
        <v>4.8944042707296846E-2</v>
      </c>
      <c r="AG45" s="159">
        <f t="shared" si="13"/>
        <v>4.7203818341039462E-2</v>
      </c>
      <c r="AH45" s="159">
        <f t="shared" si="13"/>
        <v>4.5463593974782057E-2</v>
      </c>
      <c r="AI45" s="159">
        <f t="shared" si="13"/>
        <v>4.3723369608524652E-2</v>
      </c>
      <c r="AJ45" s="159">
        <f t="shared" si="13"/>
        <v>4.1983145242267254E-2</v>
      </c>
      <c r="AK45" s="159">
        <f t="shared" si="13"/>
        <v>4.0242920876009849E-2</v>
      </c>
      <c r="AL45" s="159">
        <f t="shared" si="13"/>
        <v>3.8502696509752458E-2</v>
      </c>
      <c r="AM45" s="159">
        <f t="shared" si="13"/>
        <v>3.676247214349506E-2</v>
      </c>
      <c r="AN45" s="159">
        <f t="shared" si="13"/>
        <v>3.5022247777237663E-2</v>
      </c>
      <c r="AO45" s="159">
        <f t="shared" si="13"/>
        <v>3.3282023410980258E-2</v>
      </c>
      <c r="AP45" s="159">
        <f t="shared" si="13"/>
        <v>3.1541799044722867E-2</v>
      </c>
      <c r="AQ45" s="159">
        <f t="shared" si="13"/>
        <v>2.9801574678465469E-2</v>
      </c>
      <c r="AR45" s="159">
        <f t="shared" si="13"/>
        <v>2.8061350312208067E-2</v>
      </c>
      <c r="AS45" s="159">
        <f t="shared" si="13"/>
        <v>1.5835102091093403E-3</v>
      </c>
      <c r="AT45" s="159">
        <f t="shared" si="13"/>
        <v>1.5835102091093403E-3</v>
      </c>
    </row>
    <row r="46" spans="1:47" outlineLevel="1" x14ac:dyDescent="0.25">
      <c r="A46" s="283">
        <f t="shared" si="11"/>
        <v>16</v>
      </c>
      <c r="B46" s="25"/>
      <c r="C46" s="25"/>
      <c r="D46" s="288"/>
      <c r="E46" s="66"/>
      <c r="F46" s="288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</row>
    <row r="47" spans="1:47" outlineLevel="1" x14ac:dyDescent="0.25">
      <c r="A47" s="283">
        <f t="shared" si="11"/>
        <v>17</v>
      </c>
      <c r="B47" s="25"/>
      <c r="C47" s="25"/>
      <c r="D47" s="288"/>
      <c r="E47" s="66">
        <f>+E27/2</f>
        <v>741135.08819157048</v>
      </c>
      <c r="F47" s="15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</row>
    <row r="48" spans="1:47" outlineLevel="1" x14ac:dyDescent="0.25">
      <c r="A48" s="283">
        <f t="shared" si="11"/>
        <v>18</v>
      </c>
      <c r="B48" s="25"/>
      <c r="C48" s="25"/>
      <c r="D48" s="288"/>
      <c r="E48" s="66">
        <f>+E60/2</f>
        <v>83130.028444770142</v>
      </c>
      <c r="F48" s="15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</row>
    <row r="49" spans="1:47" x14ac:dyDescent="0.25">
      <c r="A49" s="283">
        <f t="shared" si="11"/>
        <v>19</v>
      </c>
      <c r="B49" s="69" t="s">
        <v>64</v>
      </c>
      <c r="C49" s="25"/>
      <c r="D49" s="288"/>
      <c r="E49" s="64">
        <f>F22-E27/2-E60/2</f>
        <v>59815327.763363659</v>
      </c>
      <c r="F49" s="176">
        <f>$F$22-(SUM($E$27:E27)+F27/2)-(SUM($E$60:E60)+F60/2)</f>
        <v>57945920.845005214</v>
      </c>
      <c r="G49" s="176">
        <f>$F$22-(SUM($E$27:F27)+G27/2)-(SUM($E$60:F60)+G60/2)</f>
        <v>55890147.233869031</v>
      </c>
      <c r="H49" s="176">
        <f>$F$22-(SUM($E$27:G27)+H27/2)-(SUM($E$60:G60)+H60/2)</f>
        <v>53900719.401302852</v>
      </c>
      <c r="I49" s="176">
        <f>$F$22-(SUM($E$27:H27)+I27/2)-(SUM($E$60:H60)+I60/2)</f>
        <v>51972670.964649811</v>
      </c>
      <c r="J49" s="176">
        <f>$F$22-(SUM($E$27:I27)+J27/2)-(SUM($E$60:I60)+J60/2)</f>
        <v>50101417.570688181</v>
      </c>
      <c r="K49" s="176">
        <f>$F$22-(SUM($E$27:J27)+K27/2)-(SUM($E$60:J60)+K60/2)</f>
        <v>48282693.224058844</v>
      </c>
      <c r="L49" s="176">
        <f>$F$22-(SUM($E$27:K27)+L27/2)-(SUM($E$60:K60)+L60/2)</f>
        <v>46512550.287265323</v>
      </c>
      <c r="M49" s="176">
        <f>$F$22-(SUM($E$27:L27)+M27/2)-(SUM($E$60:L60)+M60/2)</f>
        <v>44769531.440367028</v>
      </c>
      <c r="N49" s="176">
        <f>$F$22-(SUM($E$27:M27)+N27/2)-(SUM($E$60:M60)+N60/2)</f>
        <v>43030396.559392698</v>
      </c>
      <c r="O49" s="176">
        <f>$F$22-(SUM($E$27:N27)+O27/2)-(SUM($E$60:N60)+O60/2)</f>
        <v>41291261.678418361</v>
      </c>
      <c r="P49" s="176">
        <f>$F$22-(SUM($E$27:O27)+P27/2)-(SUM($E$60:O60)+P60/2)</f>
        <v>39552126.797444023</v>
      </c>
      <c r="Q49" s="176">
        <f>$F$22-(SUM($E$27:P27)+Q27/2)-(SUM($E$60:P60)+Q60/2)</f>
        <v>37812991.916469693</v>
      </c>
      <c r="R49" s="176">
        <f>$F$22-(SUM($E$27:Q27)+R27/2)-(SUM($E$60:Q60)+R60/2)</f>
        <v>36073857.035495363</v>
      </c>
      <c r="S49" s="176">
        <f>$F$22-(SUM($E$27:R27)+S27/2)-(SUM($E$60:R60)+S60/2)</f>
        <v>34334722.154521033</v>
      </c>
      <c r="T49" s="176">
        <f>$F$22-(SUM($E$27:S27)+T27/2)-(SUM($E$60:S60)+T60/2)</f>
        <v>32595587.273546696</v>
      </c>
      <c r="U49" s="176">
        <f>$F$22-(SUM($E$27:T27)+U27/2)-(SUM($E$60:T60)+U60/2)</f>
        <v>30856452.392572358</v>
      </c>
      <c r="V49" s="176">
        <f>$F$22-(SUM($E$27:U27)+V27/2)-(SUM($E$60:U60)+V60/2)</f>
        <v>29117317.511598028</v>
      </c>
      <c r="W49" s="176">
        <f>$F$22-(SUM($E$27:V27)+W27/2)-(SUM($E$60:V60)+W60/2)</f>
        <v>27378182.630623695</v>
      </c>
      <c r="X49" s="176">
        <f>$F$22-(SUM($E$27:W27)+X27/2)-(SUM($E$60:W60)+X60/2)</f>
        <v>25639047.749649361</v>
      </c>
      <c r="Y49" s="176">
        <f>$F$22-(SUM($E$27:X27)+Y27/2)-(SUM($E$60:X60)+Y60/2)</f>
        <v>24041964.146976069</v>
      </c>
      <c r="Z49" s="176">
        <f>$F$22-(SUM($E$27:Y27)+Z27/2)-(SUM($E$60:Y60)+Z60/2)</f>
        <v>22728919.429332346</v>
      </c>
      <c r="AA49" s="176">
        <f>$F$22-(SUM($E$27:Z27)+AA27/2)-(SUM($E$60:Z60)+AA60/2)</f>
        <v>21557925.989989661</v>
      </c>
      <c r="AB49" s="176">
        <f>$F$22-(SUM($E$27:AA27)+AB27/2)-(SUM($E$60:AA60)+AB60/2)</f>
        <v>20386932.550646979</v>
      </c>
      <c r="AC49" s="176">
        <f>$F$22-(SUM($E$27:AB27)+AC27/2)-(SUM($E$60:AB60)+AC60/2)</f>
        <v>19215939.111304302</v>
      </c>
      <c r="AD49" s="176">
        <f>$F$22-(SUM($E$27:AC27)+AD27/2)-(SUM($E$60:AC60)+AD60/2)</f>
        <v>18044945.67196162</v>
      </c>
      <c r="AE49" s="176">
        <f>$F$22-(SUM($E$27:AD27)+AE27/2)-(SUM($E$60:AD60)+AE60/2)</f>
        <v>16873952.232618943</v>
      </c>
      <c r="AF49" s="176">
        <f>$F$22-(SUM($E$27:AE27)+AF27/2)-(SUM($E$60:AE60)+AF60/2)</f>
        <v>15702958.793276265</v>
      </c>
      <c r="AG49" s="176">
        <f>$F$22-(SUM($E$27:AF27)+AG27/2)-(SUM($E$60:AF60)+AG60/2)</f>
        <v>14531965.353933588</v>
      </c>
      <c r="AH49" s="176">
        <f>$F$22-(SUM($E$27:AG27)+AH27/2)-(SUM($E$60:AG60)+AH60/2)</f>
        <v>13360971.914590908</v>
      </c>
      <c r="AI49" s="176">
        <f>$F$22-(SUM($E$27:AH27)+AI27/2)-(SUM($E$60:AH60)+AI60/2)</f>
        <v>12189978.475248231</v>
      </c>
      <c r="AJ49" s="176">
        <f>$F$22-(SUM($E$27:AI27)+AJ27/2)-(SUM($E$60:AI60)+AJ60/2)</f>
        <v>11018985.035905553</v>
      </c>
      <c r="AK49" s="176">
        <f>$F$22-(SUM($E$27:AJ27)+AK27/2)-(SUM($E$60:AJ60)+AK60/2)</f>
        <v>9847991.5965628736</v>
      </c>
      <c r="AL49" s="176">
        <f>$F$22-(SUM($E$27:AK27)+AL27/2)-(SUM($E$60:AK60)+AL60/2)</f>
        <v>8676998.157220196</v>
      </c>
      <c r="AM49" s="176">
        <f>$F$22-(SUM($E$27:AL27)+AM27/2)-(SUM($E$60:AL60)+AM60/2)</f>
        <v>7506004.7178775184</v>
      </c>
      <c r="AN49" s="176">
        <f>$F$22-(SUM($E$27:AM27)+AN27/2)-(SUM($E$60:AM60)+AN60/2)</f>
        <v>6335011.2785348408</v>
      </c>
      <c r="AO49" s="176">
        <f>$F$22-(SUM($E$27:AN27)+AO27/2)-(SUM($E$60:AN60)+AO60/2)</f>
        <v>5164017.8391921623</v>
      </c>
      <c r="AP49" s="176">
        <f>$F$22-(SUM($E$27:AO27)+AP27/2)-(SUM($E$60:AO60)+AP60/2)</f>
        <v>3993024.3998494847</v>
      </c>
      <c r="AQ49" s="176">
        <f>$F$22-(SUM($E$27:AP27)+AQ27/2)-(SUM($E$60:AP60)+AQ60/2)</f>
        <v>2822030.9605068062</v>
      </c>
      <c r="AR49" s="176">
        <f>$F$22-(SUM($E$27:AQ27)+AR27/2)-(SUM($E$60:AQ60)+AR60/2)</f>
        <v>1651037.5211641283</v>
      </c>
      <c r="AS49" s="176">
        <f>$F$22-(SUM($E$27:AR27)+AS27/2)-(SUM($E$60:AR60)+AS60/2)</f>
        <v>1065540.8014927893</v>
      </c>
      <c r="AT49" s="176">
        <f>$F$22-(SUM($E$27:AR27)+AT27/2)-(SUM($E$60:AR60)+AT60/2)</f>
        <v>1065540.8014927893</v>
      </c>
      <c r="AU49" s="163">
        <f t="shared" ref="AU49:AU60" si="14">SUM(D49:AT49)</f>
        <v>1104655559.2099795</v>
      </c>
    </row>
    <row r="50" spans="1:47" x14ac:dyDescent="0.25">
      <c r="A50" s="283">
        <f t="shared" si="11"/>
        <v>20</v>
      </c>
      <c r="B50" s="25"/>
      <c r="C50" s="25"/>
      <c r="D50" s="288"/>
      <c r="E50" s="14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3">
        <f t="shared" si="14"/>
        <v>0</v>
      </c>
    </row>
    <row r="51" spans="1:47" x14ac:dyDescent="0.25">
      <c r="A51" s="283">
        <f t="shared" si="11"/>
        <v>21</v>
      </c>
      <c r="B51" s="25"/>
      <c r="C51" s="25"/>
      <c r="D51" s="288"/>
      <c r="E51" s="61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3">
        <f t="shared" si="14"/>
        <v>0</v>
      </c>
    </row>
    <row r="52" spans="1:47" x14ac:dyDescent="0.25">
      <c r="A52" s="283">
        <f t="shared" si="11"/>
        <v>22</v>
      </c>
      <c r="B52" s="25" t="s">
        <v>65</v>
      </c>
      <c r="C52" s="25"/>
      <c r="D52" s="288"/>
      <c r="E52" s="61">
        <f>(E34)/(1-$F$15)</f>
        <v>3490489.3796089427</v>
      </c>
      <c r="F52" s="160">
        <f>(F34)/(1-$G$15)</f>
        <v>3344726.5702939723</v>
      </c>
      <c r="G52" s="160">
        <f t="shared" ref="G52:AT52" si="15">(G34)/(1-$G$15)</f>
        <v>3226064.1947650984</v>
      </c>
      <c r="H52" s="160">
        <f t="shared" si="15"/>
        <v>3111231.3983536838</v>
      </c>
      <c r="I52" s="160">
        <f t="shared" si="15"/>
        <v>2999941.5139089008</v>
      </c>
      <c r="J52" s="160">
        <f t="shared" si="15"/>
        <v>2891929.9255992165</v>
      </c>
      <c r="K52" s="160">
        <f t="shared" si="15"/>
        <v>2786950.3936925107</v>
      </c>
      <c r="L52" s="160">
        <f t="shared" si="15"/>
        <v>2684775.0545560741</v>
      </c>
      <c r="M52" s="160">
        <f t="shared" si="15"/>
        <v>2584165.3590895399</v>
      </c>
      <c r="N52" s="160">
        <f t="shared" si="15"/>
        <v>2483779.8520358317</v>
      </c>
      <c r="O52" s="160">
        <f t="shared" si="15"/>
        <v>2383394.344982123</v>
      </c>
      <c r="P52" s="160">
        <f t="shared" si="15"/>
        <v>2283008.8379284143</v>
      </c>
      <c r="Q52" s="160">
        <f t="shared" si="15"/>
        <v>2182623.3308747062</v>
      </c>
      <c r="R52" s="160">
        <f t="shared" si="15"/>
        <v>2082237.8238209982</v>
      </c>
      <c r="S52" s="160">
        <f t="shared" si="15"/>
        <v>1981852.31676729</v>
      </c>
      <c r="T52" s="160">
        <f t="shared" si="15"/>
        <v>1881466.8097135813</v>
      </c>
      <c r="U52" s="160">
        <f t="shared" si="15"/>
        <v>1781081.3026598727</v>
      </c>
      <c r="V52" s="160">
        <f t="shared" si="15"/>
        <v>1680695.7956061647</v>
      </c>
      <c r="W52" s="160">
        <f t="shared" si="15"/>
        <v>1580310.2885524561</v>
      </c>
      <c r="X52" s="160">
        <f t="shared" si="15"/>
        <v>1479924.7814987479</v>
      </c>
      <c r="Y52" s="160">
        <f t="shared" si="15"/>
        <v>1387738.6900026693</v>
      </c>
      <c r="Z52" s="160">
        <f t="shared" si="15"/>
        <v>1311947.7544019683</v>
      </c>
      <c r="AA52" s="160">
        <f t="shared" si="15"/>
        <v>1244356.234358897</v>
      </c>
      <c r="AB52" s="160">
        <f t="shared" si="15"/>
        <v>1176764.7143158256</v>
      </c>
      <c r="AC52" s="160">
        <f t="shared" si="15"/>
        <v>1109173.1942727547</v>
      </c>
      <c r="AD52" s="160">
        <f t="shared" si="15"/>
        <v>1041581.6742296835</v>
      </c>
      <c r="AE52" s="160">
        <f t="shared" si="15"/>
        <v>973990.15418661246</v>
      </c>
      <c r="AF52" s="160">
        <f t="shared" si="15"/>
        <v>906398.63414354133</v>
      </c>
      <c r="AG52" s="160">
        <f t="shared" si="15"/>
        <v>838807.11410047032</v>
      </c>
      <c r="AH52" s="160">
        <f t="shared" si="15"/>
        <v>771215.5940573992</v>
      </c>
      <c r="AI52" s="160">
        <f t="shared" si="15"/>
        <v>703624.0740143283</v>
      </c>
      <c r="AJ52" s="160">
        <f t="shared" si="15"/>
        <v>636032.55397125718</v>
      </c>
      <c r="AK52" s="160">
        <f t="shared" si="15"/>
        <v>568441.03392818605</v>
      </c>
      <c r="AL52" s="160">
        <f t="shared" si="15"/>
        <v>500849.5138851151</v>
      </c>
      <c r="AM52" s="160">
        <f t="shared" si="15"/>
        <v>433257.99384204409</v>
      </c>
      <c r="AN52" s="160">
        <f t="shared" si="15"/>
        <v>365666.47379897308</v>
      </c>
      <c r="AO52" s="160">
        <f t="shared" si="15"/>
        <v>298074.95375590201</v>
      </c>
      <c r="AP52" s="160">
        <f t="shared" si="15"/>
        <v>230483.433712831</v>
      </c>
      <c r="AQ52" s="160">
        <f t="shared" si="15"/>
        <v>162891.91366975996</v>
      </c>
      <c r="AR52" s="160">
        <f t="shared" si="15"/>
        <v>95300.393626688921</v>
      </c>
      <c r="AS52" s="160">
        <f t="shared" si="15"/>
        <v>61504.633605153409</v>
      </c>
      <c r="AT52" s="160">
        <f t="shared" si="15"/>
        <v>61504.633605153409</v>
      </c>
      <c r="AU52" s="163">
        <f t="shared" si="14"/>
        <v>63800254.63779334</v>
      </c>
    </row>
    <row r="53" spans="1:47" x14ac:dyDescent="0.25">
      <c r="A53" s="283">
        <f t="shared" si="11"/>
        <v>23</v>
      </c>
      <c r="B53" s="25" t="s">
        <v>66</v>
      </c>
      <c r="C53" s="25"/>
      <c r="D53" s="288"/>
      <c r="E53" s="63">
        <f t="shared" ref="E53" si="16">E52*$F15</f>
        <v>733002.76971787796</v>
      </c>
      <c r="F53" s="158">
        <f>F52*$G15</f>
        <v>702392.57976173412</v>
      </c>
      <c r="G53" s="158">
        <f t="shared" ref="G53:AT53" si="17">G52*$G15</f>
        <v>677473.48090067063</v>
      </c>
      <c r="H53" s="158">
        <f t="shared" si="17"/>
        <v>653358.59365427354</v>
      </c>
      <c r="I53" s="158">
        <f t="shared" si="17"/>
        <v>629987.71792086912</v>
      </c>
      <c r="J53" s="158">
        <f t="shared" si="17"/>
        <v>607305.28437583544</v>
      </c>
      <c r="K53" s="158">
        <f t="shared" si="17"/>
        <v>585259.5826754272</v>
      </c>
      <c r="L53" s="158">
        <f t="shared" si="17"/>
        <v>563802.7614567756</v>
      </c>
      <c r="M53" s="158">
        <f t="shared" si="17"/>
        <v>542674.72540880332</v>
      </c>
      <c r="N53" s="158">
        <f t="shared" si="17"/>
        <v>521593.76892752462</v>
      </c>
      <c r="O53" s="158">
        <f t="shared" si="17"/>
        <v>500512.81244624581</v>
      </c>
      <c r="P53" s="158">
        <f t="shared" si="17"/>
        <v>479431.85596496699</v>
      </c>
      <c r="Q53" s="158">
        <f t="shared" si="17"/>
        <v>458350.89948368829</v>
      </c>
      <c r="R53" s="158">
        <f t="shared" si="17"/>
        <v>437269.94300240959</v>
      </c>
      <c r="S53" s="158">
        <f t="shared" si="17"/>
        <v>416188.98652113089</v>
      </c>
      <c r="T53" s="158">
        <f t="shared" si="17"/>
        <v>395108.03003985208</v>
      </c>
      <c r="U53" s="158">
        <f t="shared" si="17"/>
        <v>374027.07355857326</v>
      </c>
      <c r="V53" s="158">
        <f t="shared" si="17"/>
        <v>352946.11707729456</v>
      </c>
      <c r="W53" s="158">
        <f t="shared" si="17"/>
        <v>331865.16059601575</v>
      </c>
      <c r="X53" s="158">
        <f t="shared" si="17"/>
        <v>310784.20411473705</v>
      </c>
      <c r="Y53" s="158">
        <f t="shared" si="17"/>
        <v>291425.12490056054</v>
      </c>
      <c r="Z53" s="158">
        <f t="shared" si="17"/>
        <v>275509.02842441335</v>
      </c>
      <c r="AA53" s="158">
        <f t="shared" si="17"/>
        <v>261314.80921536835</v>
      </c>
      <c r="AB53" s="158">
        <f t="shared" si="17"/>
        <v>247120.59000632336</v>
      </c>
      <c r="AC53" s="158">
        <f t="shared" si="17"/>
        <v>232926.37079727848</v>
      </c>
      <c r="AD53" s="158">
        <f t="shared" si="17"/>
        <v>218732.15158823351</v>
      </c>
      <c r="AE53" s="158">
        <f t="shared" si="17"/>
        <v>204537.9323791886</v>
      </c>
      <c r="AF53" s="158">
        <f t="shared" si="17"/>
        <v>190343.71317014366</v>
      </c>
      <c r="AG53" s="158">
        <f t="shared" si="17"/>
        <v>176149.49396109875</v>
      </c>
      <c r="AH53" s="158">
        <f t="shared" si="17"/>
        <v>161955.27475205384</v>
      </c>
      <c r="AI53" s="158">
        <f t="shared" si="17"/>
        <v>147761.05554300893</v>
      </c>
      <c r="AJ53" s="158">
        <f t="shared" si="17"/>
        <v>133566.83633396399</v>
      </c>
      <c r="AK53" s="158">
        <f t="shared" si="17"/>
        <v>119372.61712491907</v>
      </c>
      <c r="AL53" s="158">
        <f t="shared" si="17"/>
        <v>105178.39791587417</v>
      </c>
      <c r="AM53" s="158">
        <f t="shared" si="17"/>
        <v>90984.178706829262</v>
      </c>
      <c r="AN53" s="158">
        <f t="shared" si="17"/>
        <v>76789.959497784337</v>
      </c>
      <c r="AO53" s="158">
        <f t="shared" si="17"/>
        <v>62595.74028873942</v>
      </c>
      <c r="AP53" s="158">
        <f t="shared" si="17"/>
        <v>48401.52107969451</v>
      </c>
      <c r="AQ53" s="158">
        <f t="shared" si="17"/>
        <v>34207.301870649593</v>
      </c>
      <c r="AR53" s="158">
        <f t="shared" si="17"/>
        <v>20013.082661604672</v>
      </c>
      <c r="AS53" s="158">
        <f t="shared" si="17"/>
        <v>12915.973057082216</v>
      </c>
      <c r="AT53" s="158">
        <f t="shared" si="17"/>
        <v>12915.973057082216</v>
      </c>
      <c r="AU53" s="163">
        <f t="shared" si="14"/>
        <v>13398053.473936601</v>
      </c>
    </row>
    <row r="54" spans="1:47" x14ac:dyDescent="0.25">
      <c r="A54" s="283">
        <f t="shared" si="11"/>
        <v>24</v>
      </c>
      <c r="B54" s="25" t="s">
        <v>67</v>
      </c>
      <c r="C54" s="25"/>
      <c r="D54" s="288"/>
      <c r="E54" s="61">
        <f>E52-E53</f>
        <v>2757486.6098910645</v>
      </c>
      <c r="F54" s="160">
        <f t="shared" ref="F54:AT54" si="18">F52-F53</f>
        <v>2642333.990532238</v>
      </c>
      <c r="G54" s="160">
        <f t="shared" si="18"/>
        <v>2548590.713864428</v>
      </c>
      <c r="H54" s="160">
        <f t="shared" si="18"/>
        <v>2457872.8046994102</v>
      </c>
      <c r="I54" s="160">
        <f t="shared" si="18"/>
        <v>2369953.7959880317</v>
      </c>
      <c r="J54" s="160">
        <f t="shared" si="18"/>
        <v>2284624.6412233813</v>
      </c>
      <c r="K54" s="160">
        <f t="shared" si="18"/>
        <v>2201690.8110170835</v>
      </c>
      <c r="L54" s="160">
        <f t="shared" si="18"/>
        <v>2120972.2930992986</v>
      </c>
      <c r="M54" s="160">
        <f t="shared" si="18"/>
        <v>2041490.6336807366</v>
      </c>
      <c r="N54" s="160">
        <f t="shared" si="18"/>
        <v>1962186.0831083071</v>
      </c>
      <c r="O54" s="160">
        <f t="shared" si="18"/>
        <v>1882881.5325358771</v>
      </c>
      <c r="P54" s="160">
        <f t="shared" si="18"/>
        <v>1803576.9819634473</v>
      </c>
      <c r="Q54" s="160">
        <f t="shared" si="18"/>
        <v>1724272.431391018</v>
      </c>
      <c r="R54" s="160">
        <f t="shared" si="18"/>
        <v>1644967.8808185887</v>
      </c>
      <c r="S54" s="160">
        <f t="shared" si="18"/>
        <v>1565663.3302461591</v>
      </c>
      <c r="T54" s="160">
        <f t="shared" si="18"/>
        <v>1486358.7796737293</v>
      </c>
      <c r="U54" s="160">
        <f t="shared" si="18"/>
        <v>1407054.2291012993</v>
      </c>
      <c r="V54" s="160">
        <f t="shared" si="18"/>
        <v>1327749.6785288702</v>
      </c>
      <c r="W54" s="160">
        <f t="shared" si="18"/>
        <v>1248445.1279564402</v>
      </c>
      <c r="X54" s="160">
        <f t="shared" si="18"/>
        <v>1169140.5773840109</v>
      </c>
      <c r="Y54" s="160">
        <f t="shared" si="18"/>
        <v>1096313.5651021088</v>
      </c>
      <c r="Z54" s="160">
        <f t="shared" si="18"/>
        <v>1036438.7259775549</v>
      </c>
      <c r="AA54" s="160">
        <f t="shared" si="18"/>
        <v>983041.42514352861</v>
      </c>
      <c r="AB54" s="160">
        <f t="shared" si="18"/>
        <v>929644.12430950231</v>
      </c>
      <c r="AC54" s="160">
        <f t="shared" si="18"/>
        <v>876246.82347547624</v>
      </c>
      <c r="AD54" s="160">
        <f t="shared" si="18"/>
        <v>822849.52264144993</v>
      </c>
      <c r="AE54" s="160">
        <f t="shared" si="18"/>
        <v>769452.22180742386</v>
      </c>
      <c r="AF54" s="160">
        <f t="shared" si="18"/>
        <v>716054.92097339767</v>
      </c>
      <c r="AG54" s="160">
        <f t="shared" si="18"/>
        <v>662657.6201393716</v>
      </c>
      <c r="AH54" s="160">
        <f t="shared" si="18"/>
        <v>609260.31930534542</v>
      </c>
      <c r="AI54" s="160">
        <f t="shared" si="18"/>
        <v>555863.01847131934</v>
      </c>
      <c r="AJ54" s="160">
        <f t="shared" si="18"/>
        <v>502465.71763729316</v>
      </c>
      <c r="AK54" s="160">
        <f t="shared" si="18"/>
        <v>449068.41680326697</v>
      </c>
      <c r="AL54" s="160">
        <f t="shared" si="18"/>
        <v>395671.1159692409</v>
      </c>
      <c r="AM54" s="160">
        <f t="shared" si="18"/>
        <v>342273.81513521483</v>
      </c>
      <c r="AN54" s="160">
        <f t="shared" si="18"/>
        <v>288876.51430118876</v>
      </c>
      <c r="AO54" s="160">
        <f t="shared" si="18"/>
        <v>235479.2134671626</v>
      </c>
      <c r="AP54" s="160">
        <f t="shared" si="18"/>
        <v>182081.9126331365</v>
      </c>
      <c r="AQ54" s="160">
        <f t="shared" si="18"/>
        <v>128684.61179911037</v>
      </c>
      <c r="AR54" s="160">
        <f t="shared" si="18"/>
        <v>75287.310965084253</v>
      </c>
      <c r="AS54" s="160">
        <f t="shared" si="18"/>
        <v>48588.660548071195</v>
      </c>
      <c r="AT54" s="160">
        <f t="shared" si="18"/>
        <v>48588.660548071195</v>
      </c>
      <c r="AU54" s="163">
        <f t="shared" si="14"/>
        <v>50402201.163856745</v>
      </c>
    </row>
    <row r="55" spans="1:47" x14ac:dyDescent="0.25">
      <c r="A55" s="283">
        <f t="shared" si="11"/>
        <v>25</v>
      </c>
      <c r="B55" s="25"/>
      <c r="C55" s="25"/>
      <c r="D55" s="288"/>
      <c r="E55" s="291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163">
        <f t="shared" si="14"/>
        <v>0</v>
      </c>
    </row>
    <row r="56" spans="1:47" x14ac:dyDescent="0.25">
      <c r="A56" s="283">
        <f t="shared" si="11"/>
        <v>26</v>
      </c>
      <c r="B56" s="25"/>
      <c r="C56" s="25"/>
      <c r="D56" s="288"/>
      <c r="E56" s="14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163">
        <f t="shared" si="14"/>
        <v>0</v>
      </c>
    </row>
    <row r="57" spans="1:47" x14ac:dyDescent="0.25">
      <c r="A57" s="283">
        <f t="shared" si="11"/>
        <v>27</v>
      </c>
      <c r="B57" s="25" t="s">
        <v>68</v>
      </c>
      <c r="C57" s="25"/>
      <c r="D57" s="288"/>
      <c r="E57" s="61">
        <f>E27</f>
        <v>1482270.176383141</v>
      </c>
      <c r="F57" s="160">
        <f>F27</f>
        <v>1482270.176383141</v>
      </c>
      <c r="G57" s="160">
        <f>G27</f>
        <v>1482270.176383141</v>
      </c>
      <c r="H57" s="160">
        <f t="shared" ref="H57:AT57" si="19">H27</f>
        <v>1482270.176383141</v>
      </c>
      <c r="I57" s="160">
        <f t="shared" si="19"/>
        <v>1482270.176383141</v>
      </c>
      <c r="J57" s="160">
        <f t="shared" si="19"/>
        <v>1482270.176383141</v>
      </c>
      <c r="K57" s="160">
        <f t="shared" si="19"/>
        <v>1482270.176383141</v>
      </c>
      <c r="L57" s="160">
        <f t="shared" si="19"/>
        <v>1482270.176383141</v>
      </c>
      <c r="M57" s="160">
        <f t="shared" si="19"/>
        <v>1482270.176383141</v>
      </c>
      <c r="N57" s="160">
        <f t="shared" si="19"/>
        <v>1482270.176383141</v>
      </c>
      <c r="O57" s="160">
        <f t="shared" si="19"/>
        <v>1482270.176383141</v>
      </c>
      <c r="P57" s="160">
        <f t="shared" si="19"/>
        <v>1482270.176383141</v>
      </c>
      <c r="Q57" s="160">
        <f t="shared" si="19"/>
        <v>1482270.176383141</v>
      </c>
      <c r="R57" s="160">
        <f t="shared" si="19"/>
        <v>1482270.176383141</v>
      </c>
      <c r="S57" s="160">
        <f t="shared" si="19"/>
        <v>1482270.176383141</v>
      </c>
      <c r="T57" s="160">
        <f t="shared" si="19"/>
        <v>1482270.176383141</v>
      </c>
      <c r="U57" s="160">
        <f t="shared" si="19"/>
        <v>1482270.176383141</v>
      </c>
      <c r="V57" s="160">
        <f t="shared" si="19"/>
        <v>1482270.176383141</v>
      </c>
      <c r="W57" s="160">
        <f t="shared" si="19"/>
        <v>1482270.176383141</v>
      </c>
      <c r="X57" s="160">
        <f t="shared" si="19"/>
        <v>1482270.176383141</v>
      </c>
      <c r="Y57" s="160">
        <f t="shared" si="19"/>
        <v>1482270.176383141</v>
      </c>
      <c r="Z57" s="160">
        <f t="shared" si="19"/>
        <v>1482270.176383141</v>
      </c>
      <c r="AA57" s="160">
        <f t="shared" si="19"/>
        <v>1482270.176383141</v>
      </c>
      <c r="AB57" s="160">
        <f t="shared" si="19"/>
        <v>1482270.176383141</v>
      </c>
      <c r="AC57" s="160">
        <f t="shared" si="19"/>
        <v>1482270.176383141</v>
      </c>
      <c r="AD57" s="160">
        <f t="shared" si="19"/>
        <v>1482270.176383141</v>
      </c>
      <c r="AE57" s="160">
        <f t="shared" si="19"/>
        <v>1482270.176383141</v>
      </c>
      <c r="AF57" s="160">
        <f t="shared" si="19"/>
        <v>1482270.176383141</v>
      </c>
      <c r="AG57" s="160">
        <f t="shared" si="19"/>
        <v>1482270.176383141</v>
      </c>
      <c r="AH57" s="160">
        <f t="shared" si="19"/>
        <v>1482270.176383141</v>
      </c>
      <c r="AI57" s="160">
        <f t="shared" si="19"/>
        <v>1482270.176383141</v>
      </c>
      <c r="AJ57" s="160">
        <f t="shared" si="19"/>
        <v>1482270.176383141</v>
      </c>
      <c r="AK57" s="160">
        <f t="shared" si="19"/>
        <v>1482270.176383141</v>
      </c>
      <c r="AL57" s="160">
        <f t="shared" si="19"/>
        <v>1482270.176383141</v>
      </c>
      <c r="AM57" s="160">
        <f t="shared" si="19"/>
        <v>1482270.176383141</v>
      </c>
      <c r="AN57" s="160">
        <f t="shared" si="19"/>
        <v>1482270.176383141</v>
      </c>
      <c r="AO57" s="160">
        <f t="shared" si="19"/>
        <v>1482270.176383141</v>
      </c>
      <c r="AP57" s="160">
        <f t="shared" si="19"/>
        <v>1482270.176383141</v>
      </c>
      <c r="AQ57" s="160">
        <f t="shared" si="19"/>
        <v>1482270.176383141</v>
      </c>
      <c r="AR57" s="160">
        <f t="shared" si="19"/>
        <v>1482270.176383141</v>
      </c>
      <c r="AS57" s="160">
        <f t="shared" si="19"/>
        <v>0</v>
      </c>
      <c r="AT57" s="160">
        <f t="shared" si="19"/>
        <v>0</v>
      </c>
      <c r="AU57" s="163">
        <f t="shared" si="14"/>
        <v>59290807.05532559</v>
      </c>
    </row>
    <row r="58" spans="1:47" x14ac:dyDescent="0.25">
      <c r="A58" s="283">
        <f t="shared" si="11"/>
        <v>28</v>
      </c>
      <c r="B58" s="25" t="s">
        <v>69</v>
      </c>
      <c r="C58" s="25"/>
      <c r="D58" s="288"/>
      <c r="E58" s="61">
        <f>$F22*E62</f>
        <v>2273984.7329999995</v>
      </c>
      <c r="F58" s="160">
        <f t="shared" ref="F58:AT58" si="20">$F22*F62</f>
        <v>4377572.2100072</v>
      </c>
      <c r="G58" s="160">
        <f t="shared" si="20"/>
        <v>4048905.6165975993</v>
      </c>
      <c r="H58" s="160">
        <f t="shared" si="20"/>
        <v>3745707.6521975994</v>
      </c>
      <c r="I58" s="160">
        <f t="shared" si="20"/>
        <v>3464339.9412343996</v>
      </c>
      <c r="J58" s="160">
        <f t="shared" si="20"/>
        <v>3204802.4837079998</v>
      </c>
      <c r="K58" s="160">
        <f t="shared" si="20"/>
        <v>2964063.2999743996</v>
      </c>
      <c r="L58" s="160">
        <f t="shared" si="20"/>
        <v>2742122.3900335999</v>
      </c>
      <c r="M58" s="160">
        <f t="shared" si="20"/>
        <v>2705738.6343055996</v>
      </c>
      <c r="N58" s="160">
        <f t="shared" si="20"/>
        <v>2705132.2383768</v>
      </c>
      <c r="O58" s="160">
        <f t="shared" si="20"/>
        <v>2705738.6343055996</v>
      </c>
      <c r="P58" s="160">
        <f t="shared" si="20"/>
        <v>2705132.2383768</v>
      </c>
      <c r="Q58" s="160">
        <f t="shared" si="20"/>
        <v>2705738.6343055996</v>
      </c>
      <c r="R58" s="160">
        <f t="shared" si="20"/>
        <v>2705132.2383768</v>
      </c>
      <c r="S58" s="160">
        <f t="shared" si="20"/>
        <v>2705738.6343055996</v>
      </c>
      <c r="T58" s="160">
        <f t="shared" si="20"/>
        <v>2705132.2383768</v>
      </c>
      <c r="U58" s="160">
        <f t="shared" si="20"/>
        <v>2705738.6343055996</v>
      </c>
      <c r="V58" s="160">
        <f t="shared" si="20"/>
        <v>2705132.2383768</v>
      </c>
      <c r="W58" s="160">
        <f t="shared" si="20"/>
        <v>2705738.6343055996</v>
      </c>
      <c r="X58" s="160">
        <f t="shared" si="20"/>
        <v>2705132.2383768</v>
      </c>
      <c r="Y58" s="160">
        <f t="shared" si="20"/>
        <v>1352869.3171527998</v>
      </c>
      <c r="Z58" s="160">
        <f t="shared" si="20"/>
        <v>0</v>
      </c>
      <c r="AA58" s="160">
        <f t="shared" si="20"/>
        <v>0</v>
      </c>
      <c r="AB58" s="160">
        <f t="shared" si="20"/>
        <v>0</v>
      </c>
      <c r="AC58" s="160">
        <f t="shared" si="20"/>
        <v>0</v>
      </c>
      <c r="AD58" s="160">
        <f t="shared" si="20"/>
        <v>0</v>
      </c>
      <c r="AE58" s="160">
        <f t="shared" si="20"/>
        <v>0</v>
      </c>
      <c r="AF58" s="160">
        <f t="shared" si="20"/>
        <v>0</v>
      </c>
      <c r="AG58" s="160">
        <f t="shared" si="20"/>
        <v>0</v>
      </c>
      <c r="AH58" s="160">
        <f t="shared" si="20"/>
        <v>0</v>
      </c>
      <c r="AI58" s="160">
        <f t="shared" si="20"/>
        <v>0</v>
      </c>
      <c r="AJ58" s="160">
        <f t="shared" si="20"/>
        <v>0</v>
      </c>
      <c r="AK58" s="160">
        <f t="shared" si="20"/>
        <v>0</v>
      </c>
      <c r="AL58" s="160">
        <f t="shared" si="20"/>
        <v>0</v>
      </c>
      <c r="AM58" s="160">
        <f t="shared" si="20"/>
        <v>0</v>
      </c>
      <c r="AN58" s="160">
        <f t="shared" si="20"/>
        <v>0</v>
      </c>
      <c r="AO58" s="160">
        <f t="shared" si="20"/>
        <v>0</v>
      </c>
      <c r="AP58" s="160">
        <f t="shared" si="20"/>
        <v>0</v>
      </c>
      <c r="AQ58" s="160">
        <f t="shared" si="20"/>
        <v>0</v>
      </c>
      <c r="AR58" s="160">
        <f t="shared" si="20"/>
        <v>0</v>
      </c>
      <c r="AS58" s="160">
        <f t="shared" si="20"/>
        <v>0</v>
      </c>
      <c r="AT58" s="160">
        <f t="shared" si="20"/>
        <v>0</v>
      </c>
      <c r="AU58" s="163">
        <f t="shared" si="14"/>
        <v>60639592.879999965</v>
      </c>
    </row>
    <row r="59" spans="1:47" x14ac:dyDescent="0.25">
      <c r="A59" s="283">
        <f t="shared" si="11"/>
        <v>29</v>
      </c>
      <c r="B59" s="25" t="s">
        <v>70</v>
      </c>
      <c r="C59" s="25"/>
      <c r="D59" s="288"/>
      <c r="E59" s="61">
        <f>E58-E57</f>
        <v>791714.55661685858</v>
      </c>
      <c r="F59" s="160">
        <f>F58-F57</f>
        <v>2895302.0336240591</v>
      </c>
      <c r="G59" s="160">
        <f>G58-G57</f>
        <v>2566635.4402144584</v>
      </c>
      <c r="H59" s="160">
        <f t="shared" ref="H59:AT59" si="21">H58-H57</f>
        <v>2263437.4758144584</v>
      </c>
      <c r="I59" s="160">
        <f t="shared" si="21"/>
        <v>1982069.7648512586</v>
      </c>
      <c r="J59" s="160">
        <f t="shared" si="21"/>
        <v>1722532.3073248588</v>
      </c>
      <c r="K59" s="160">
        <f t="shared" si="21"/>
        <v>1481793.1235912587</v>
      </c>
      <c r="L59" s="160">
        <f t="shared" si="21"/>
        <v>1259852.213650459</v>
      </c>
      <c r="M59" s="160">
        <f t="shared" si="21"/>
        <v>1223468.4579224586</v>
      </c>
      <c r="N59" s="160">
        <f t="shared" si="21"/>
        <v>1222862.061993659</v>
      </c>
      <c r="O59" s="160">
        <f t="shared" si="21"/>
        <v>1223468.4579224586</v>
      </c>
      <c r="P59" s="160">
        <f t="shared" si="21"/>
        <v>1222862.061993659</v>
      </c>
      <c r="Q59" s="160">
        <f t="shared" si="21"/>
        <v>1223468.4579224586</v>
      </c>
      <c r="R59" s="160">
        <f t="shared" si="21"/>
        <v>1222862.061993659</v>
      </c>
      <c r="S59" s="160">
        <f t="shared" si="21"/>
        <v>1223468.4579224586</v>
      </c>
      <c r="T59" s="160">
        <f t="shared" si="21"/>
        <v>1222862.061993659</v>
      </c>
      <c r="U59" s="160">
        <f t="shared" si="21"/>
        <v>1223468.4579224586</v>
      </c>
      <c r="V59" s="160">
        <f t="shared" si="21"/>
        <v>1222862.061993659</v>
      </c>
      <c r="W59" s="160">
        <f t="shared" si="21"/>
        <v>1223468.4579224586</v>
      </c>
      <c r="X59" s="160">
        <f t="shared" si="21"/>
        <v>1222862.061993659</v>
      </c>
      <c r="Y59" s="160">
        <f t="shared" si="21"/>
        <v>-129400.85923034116</v>
      </c>
      <c r="Z59" s="160">
        <f t="shared" si="21"/>
        <v>-1482270.176383141</v>
      </c>
      <c r="AA59" s="160">
        <f t="shared" si="21"/>
        <v>-1482270.176383141</v>
      </c>
      <c r="AB59" s="160">
        <f t="shared" si="21"/>
        <v>-1482270.176383141</v>
      </c>
      <c r="AC59" s="160">
        <f t="shared" si="21"/>
        <v>-1482270.176383141</v>
      </c>
      <c r="AD59" s="160">
        <f t="shared" si="21"/>
        <v>-1482270.176383141</v>
      </c>
      <c r="AE59" s="160">
        <f t="shared" si="21"/>
        <v>-1482270.176383141</v>
      </c>
      <c r="AF59" s="160">
        <f t="shared" si="21"/>
        <v>-1482270.176383141</v>
      </c>
      <c r="AG59" s="160">
        <f t="shared" si="21"/>
        <v>-1482270.176383141</v>
      </c>
      <c r="AH59" s="160">
        <f t="shared" si="21"/>
        <v>-1482270.176383141</v>
      </c>
      <c r="AI59" s="160">
        <f t="shared" si="21"/>
        <v>-1482270.176383141</v>
      </c>
      <c r="AJ59" s="160">
        <f t="shared" si="21"/>
        <v>-1482270.176383141</v>
      </c>
      <c r="AK59" s="160">
        <f t="shared" si="21"/>
        <v>-1482270.176383141</v>
      </c>
      <c r="AL59" s="160">
        <f t="shared" si="21"/>
        <v>-1482270.176383141</v>
      </c>
      <c r="AM59" s="160">
        <f t="shared" si="21"/>
        <v>-1482270.176383141</v>
      </c>
      <c r="AN59" s="160">
        <f t="shared" si="21"/>
        <v>-1482270.176383141</v>
      </c>
      <c r="AO59" s="160">
        <f t="shared" si="21"/>
        <v>-1482270.176383141</v>
      </c>
      <c r="AP59" s="160">
        <f t="shared" si="21"/>
        <v>-1482270.176383141</v>
      </c>
      <c r="AQ59" s="160">
        <f t="shared" si="21"/>
        <v>-1482270.176383141</v>
      </c>
      <c r="AR59" s="160">
        <f t="shared" si="21"/>
        <v>-1482270.176383141</v>
      </c>
      <c r="AS59" s="160">
        <f t="shared" si="21"/>
        <v>0</v>
      </c>
      <c r="AT59" s="160">
        <f t="shared" si="21"/>
        <v>0</v>
      </c>
      <c r="AU59" s="163">
        <f t="shared" si="14"/>
        <v>1348785.8246743502</v>
      </c>
    </row>
    <row r="60" spans="1:47" x14ac:dyDescent="0.25">
      <c r="A60" s="283">
        <f t="shared" si="11"/>
        <v>30</v>
      </c>
      <c r="B60" s="25" t="s">
        <v>71</v>
      </c>
      <c r="C60" s="25"/>
      <c r="D60" s="288"/>
      <c r="E60" s="61">
        <f>E59*$F$15</f>
        <v>166260.05688954028</v>
      </c>
      <c r="F60" s="160">
        <f>F59*$G$15</f>
        <v>608013.42706105241</v>
      </c>
      <c r="G60" s="160">
        <f t="shared" ref="G60:AT60" si="22">G59*$G$15</f>
        <v>538993.44244503626</v>
      </c>
      <c r="H60" s="160">
        <f t="shared" si="22"/>
        <v>475321.86992103624</v>
      </c>
      <c r="I60" s="160">
        <f t="shared" si="22"/>
        <v>416234.65061876428</v>
      </c>
      <c r="J60" s="160">
        <f t="shared" si="22"/>
        <v>361731.78453822032</v>
      </c>
      <c r="K60" s="160">
        <f t="shared" si="22"/>
        <v>311176.5559541643</v>
      </c>
      <c r="L60" s="160">
        <f t="shared" si="22"/>
        <v>264568.96486659639</v>
      </c>
      <c r="M60" s="160">
        <f t="shared" si="22"/>
        <v>256928.37616371631</v>
      </c>
      <c r="N60" s="160">
        <f t="shared" si="22"/>
        <v>256801.03301866839</v>
      </c>
      <c r="O60" s="160">
        <f t="shared" si="22"/>
        <v>256928.37616371631</v>
      </c>
      <c r="P60" s="160">
        <f t="shared" si="22"/>
        <v>256801.03301866839</v>
      </c>
      <c r="Q60" s="160">
        <f t="shared" si="22"/>
        <v>256928.37616371631</v>
      </c>
      <c r="R60" s="160">
        <f t="shared" si="22"/>
        <v>256801.03301866839</v>
      </c>
      <c r="S60" s="160">
        <f t="shared" si="22"/>
        <v>256928.37616371631</v>
      </c>
      <c r="T60" s="160">
        <f t="shared" si="22"/>
        <v>256801.03301866839</v>
      </c>
      <c r="U60" s="160">
        <f t="shared" si="22"/>
        <v>256928.37616371631</v>
      </c>
      <c r="V60" s="160">
        <f t="shared" si="22"/>
        <v>256801.03301866839</v>
      </c>
      <c r="W60" s="160">
        <f t="shared" si="22"/>
        <v>256928.37616371631</v>
      </c>
      <c r="X60" s="160">
        <f t="shared" si="22"/>
        <v>256801.03301866839</v>
      </c>
      <c r="Y60" s="160">
        <f t="shared" si="22"/>
        <v>-27174.180438371641</v>
      </c>
      <c r="Z60" s="160">
        <f t="shared" si="22"/>
        <v>-311276.73704045959</v>
      </c>
      <c r="AA60" s="160">
        <f t="shared" si="22"/>
        <v>-311276.73704045959</v>
      </c>
      <c r="AB60" s="160">
        <f t="shared" si="22"/>
        <v>-311276.73704045959</v>
      </c>
      <c r="AC60" s="160">
        <f t="shared" si="22"/>
        <v>-311276.73704045959</v>
      </c>
      <c r="AD60" s="160">
        <f t="shared" si="22"/>
        <v>-311276.73704045959</v>
      </c>
      <c r="AE60" s="160">
        <f t="shared" si="22"/>
        <v>-311276.73704045959</v>
      </c>
      <c r="AF60" s="160">
        <f t="shared" si="22"/>
        <v>-311276.73704045959</v>
      </c>
      <c r="AG60" s="160">
        <f t="shared" si="22"/>
        <v>-311276.73704045959</v>
      </c>
      <c r="AH60" s="160">
        <f t="shared" si="22"/>
        <v>-311276.73704045959</v>
      </c>
      <c r="AI60" s="160">
        <f t="shared" si="22"/>
        <v>-311276.73704045959</v>
      </c>
      <c r="AJ60" s="160">
        <f t="shared" si="22"/>
        <v>-311276.73704045959</v>
      </c>
      <c r="AK60" s="160">
        <f t="shared" si="22"/>
        <v>-311276.73704045959</v>
      </c>
      <c r="AL60" s="160">
        <f t="shared" si="22"/>
        <v>-311276.73704045959</v>
      </c>
      <c r="AM60" s="160">
        <f t="shared" si="22"/>
        <v>-311276.73704045959</v>
      </c>
      <c r="AN60" s="160">
        <f t="shared" si="22"/>
        <v>-311276.73704045959</v>
      </c>
      <c r="AO60" s="160">
        <f t="shared" si="22"/>
        <v>-311276.73704045959</v>
      </c>
      <c r="AP60" s="160">
        <f t="shared" si="22"/>
        <v>-311276.73704045959</v>
      </c>
      <c r="AQ60" s="160">
        <f t="shared" si="22"/>
        <v>-311276.73704045959</v>
      </c>
      <c r="AR60" s="160">
        <f t="shared" si="22"/>
        <v>-311276.73704045959</v>
      </c>
      <c r="AS60" s="160">
        <f t="shared" si="22"/>
        <v>0</v>
      </c>
      <c r="AT60" s="160">
        <f t="shared" si="22"/>
        <v>0</v>
      </c>
      <c r="AU60" s="163">
        <f t="shared" si="14"/>
        <v>283245.02318161592</v>
      </c>
    </row>
    <row r="61" spans="1:47" x14ac:dyDescent="0.25">
      <c r="A61" s="283">
        <f t="shared" si="11"/>
        <v>31</v>
      </c>
      <c r="B61" s="25"/>
      <c r="C61" s="25"/>
      <c r="D61" s="288"/>
      <c r="E61" s="140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288"/>
    </row>
    <row r="62" spans="1:47" s="73" customFormat="1" x14ac:dyDescent="0.25">
      <c r="A62" s="283">
        <f t="shared" si="11"/>
        <v>32</v>
      </c>
      <c r="B62" s="25" t="str">
        <f t="shared" ref="B62" si="23">IF($F$18=1,B66,B65)</f>
        <v>MACRS Depreciation - 20</v>
      </c>
      <c r="C62" s="25"/>
      <c r="D62" s="70"/>
      <c r="E62" s="85">
        <f t="shared" ref="E62" si="24">IF($F$18=1,E66,E65)</f>
        <v>3.7499999999999999E-2</v>
      </c>
      <c r="F62" s="81">
        <f>IF($F$18=1,F66,F65)</f>
        <v>7.2190000000000004E-2</v>
      </c>
      <c r="G62" s="81">
        <f t="shared" ref="G62:Y62" si="25">IF($F$18=1,G66,G65)</f>
        <v>6.6769999999999996E-2</v>
      </c>
      <c r="H62" s="81">
        <f t="shared" si="25"/>
        <v>6.1769999999999999E-2</v>
      </c>
      <c r="I62" s="81">
        <f t="shared" si="25"/>
        <v>5.713E-2</v>
      </c>
      <c r="J62" s="81">
        <f t="shared" si="25"/>
        <v>5.2850000000000001E-2</v>
      </c>
      <c r="K62" s="81">
        <f t="shared" si="25"/>
        <v>4.888E-2</v>
      </c>
      <c r="L62" s="81">
        <f t="shared" si="25"/>
        <v>4.5220000000000003E-2</v>
      </c>
      <c r="M62" s="81">
        <f t="shared" si="25"/>
        <v>4.462E-2</v>
      </c>
      <c r="N62" s="81">
        <f t="shared" si="25"/>
        <v>4.4610000000000004E-2</v>
      </c>
      <c r="O62" s="81">
        <f t="shared" si="25"/>
        <v>4.462E-2</v>
      </c>
      <c r="P62" s="81">
        <f t="shared" si="25"/>
        <v>4.4610000000000004E-2</v>
      </c>
      <c r="Q62" s="81">
        <f t="shared" si="25"/>
        <v>4.462E-2</v>
      </c>
      <c r="R62" s="81">
        <f t="shared" si="25"/>
        <v>4.4610000000000004E-2</v>
      </c>
      <c r="S62" s="81">
        <f t="shared" si="25"/>
        <v>4.462E-2</v>
      </c>
      <c r="T62" s="81">
        <f t="shared" si="25"/>
        <v>4.4610000000000004E-2</v>
      </c>
      <c r="U62" s="81">
        <f t="shared" si="25"/>
        <v>4.462E-2</v>
      </c>
      <c r="V62" s="81">
        <f t="shared" si="25"/>
        <v>4.4610000000000004E-2</v>
      </c>
      <c r="W62" s="81">
        <f t="shared" si="25"/>
        <v>4.462E-2</v>
      </c>
      <c r="X62" s="81">
        <f t="shared" si="25"/>
        <v>4.4610000000000004E-2</v>
      </c>
      <c r="Y62" s="81">
        <f t="shared" si="25"/>
        <v>2.231E-2</v>
      </c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0"/>
    </row>
    <row r="63" spans="1:47" outlineLevel="1" x14ac:dyDescent="0.35">
      <c r="A63" s="283">
        <f t="shared" si="11"/>
        <v>33</v>
      </c>
      <c r="B63" s="25"/>
      <c r="C63" s="292"/>
      <c r="E63" s="293"/>
      <c r="F63" s="294"/>
      <c r="G63" s="294"/>
      <c r="H63" s="294"/>
      <c r="I63" s="294"/>
      <c r="J63" s="294"/>
      <c r="K63" s="294"/>
      <c r="L63" s="294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6"/>
    </row>
    <row r="64" spans="1:47" outlineLevel="1" x14ac:dyDescent="0.35">
      <c r="A64" s="283">
        <f t="shared" si="11"/>
        <v>34</v>
      </c>
      <c r="B64" s="25"/>
      <c r="C64" s="292"/>
      <c r="E64" s="293"/>
      <c r="F64" s="294"/>
      <c r="G64" s="294"/>
      <c r="H64" s="294"/>
      <c r="I64" s="294"/>
      <c r="J64" s="294"/>
      <c r="K64" s="294"/>
      <c r="L64" s="294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6"/>
    </row>
    <row r="65" spans="1:42" s="73" customFormat="1" x14ac:dyDescent="0.35">
      <c r="A65" s="283">
        <f t="shared" si="11"/>
        <v>35</v>
      </c>
      <c r="B65" s="25" t="s">
        <v>72</v>
      </c>
      <c r="C65" s="25"/>
      <c r="D65" s="74">
        <v>0</v>
      </c>
      <c r="E65" s="82">
        <f>'MACRS 20'!B5</f>
        <v>3.7499999999999999E-2</v>
      </c>
      <c r="F65" s="81">
        <f>'MACRS 20'!C5</f>
        <v>7.2190000000000004E-2</v>
      </c>
      <c r="G65" s="81">
        <f>'MACRS 20'!D5</f>
        <v>6.6769999999999996E-2</v>
      </c>
      <c r="H65" s="83">
        <f>'MACRS 20'!E5</f>
        <v>6.1769999999999999E-2</v>
      </c>
      <c r="I65" s="83">
        <f>'MACRS 20'!F5</f>
        <v>5.713E-2</v>
      </c>
      <c r="J65" s="83">
        <f>'MACRS 20'!G5</f>
        <v>5.2850000000000001E-2</v>
      </c>
      <c r="K65" s="83">
        <f>'MACRS 20'!H5</f>
        <v>4.888E-2</v>
      </c>
      <c r="L65" s="83">
        <f>'MACRS 20'!I5</f>
        <v>4.5220000000000003E-2</v>
      </c>
      <c r="M65" s="83">
        <f>'MACRS 20'!J5</f>
        <v>4.462E-2</v>
      </c>
      <c r="N65" s="83">
        <f>'MACRS 20'!K5</f>
        <v>4.4610000000000004E-2</v>
      </c>
      <c r="O65" s="83">
        <f>'MACRS 20'!L5</f>
        <v>4.462E-2</v>
      </c>
      <c r="P65" s="83">
        <f>'MACRS 20'!M5</f>
        <v>4.4610000000000004E-2</v>
      </c>
      <c r="Q65" s="83">
        <f>'MACRS 20'!N5</f>
        <v>4.462E-2</v>
      </c>
      <c r="R65" s="83">
        <f>'MACRS 20'!O5</f>
        <v>4.4610000000000004E-2</v>
      </c>
      <c r="S65" s="83">
        <f>'MACRS 20'!P5</f>
        <v>4.462E-2</v>
      </c>
      <c r="T65" s="83">
        <f>'MACRS 20'!Q5</f>
        <v>4.4610000000000004E-2</v>
      </c>
      <c r="U65" s="83">
        <f>'MACRS 20'!R5</f>
        <v>4.462E-2</v>
      </c>
      <c r="V65" s="83">
        <f>'MACRS 20'!S5</f>
        <v>4.4610000000000004E-2</v>
      </c>
      <c r="W65" s="83">
        <f>'MACRS 20'!T5</f>
        <v>4.462E-2</v>
      </c>
      <c r="X65" s="83">
        <f>'MACRS 20'!U5</f>
        <v>4.4610000000000004E-2</v>
      </c>
      <c r="Y65" s="83">
        <f>'MACRS 20'!V5</f>
        <v>2.231E-2</v>
      </c>
      <c r="Z65" s="75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0"/>
      <c r="AP65" s="76"/>
    </row>
    <row r="66" spans="1:42" x14ac:dyDescent="0.25">
      <c r="A66" s="283">
        <f t="shared" si="11"/>
        <v>36</v>
      </c>
      <c r="B66" s="25" t="s">
        <v>73</v>
      </c>
      <c r="C66" s="25"/>
      <c r="D66" s="74">
        <v>0</v>
      </c>
      <c r="E66" s="82">
        <f>'MACRS 20'!B6</f>
        <v>0.51875000000000004</v>
      </c>
      <c r="F66" s="81">
        <f>'MACRS 20'!C6</f>
        <v>3.6095000000000002E-2</v>
      </c>
      <c r="G66" s="81">
        <f>'MACRS 20'!D6</f>
        <v>3.3384999999999998E-2</v>
      </c>
      <c r="H66" s="84">
        <f>'MACRS 20'!E6</f>
        <v>3.0884999999999999E-2</v>
      </c>
      <c r="I66" s="84">
        <f>'MACRS 20'!F6</f>
        <v>2.8565E-2</v>
      </c>
      <c r="J66" s="84">
        <f>'MACRS 20'!G6</f>
        <v>2.6425000000000001E-2</v>
      </c>
      <c r="K66" s="84">
        <f>'MACRS 20'!H6</f>
        <v>2.444E-2</v>
      </c>
      <c r="L66" s="84">
        <f>'MACRS 20'!I6</f>
        <v>2.2610000000000002E-2</v>
      </c>
      <c r="M66" s="84">
        <f>'MACRS 20'!J6</f>
        <v>2.231E-2</v>
      </c>
      <c r="N66" s="84">
        <f>'MACRS 20'!K6</f>
        <v>2.2305000000000002E-2</v>
      </c>
      <c r="O66" s="84">
        <f>'MACRS 20'!L6</f>
        <v>2.231E-2</v>
      </c>
      <c r="P66" s="84">
        <f>'MACRS 20'!M6</f>
        <v>2.2305000000000002E-2</v>
      </c>
      <c r="Q66" s="84">
        <f>'MACRS 20'!N6</f>
        <v>2.231E-2</v>
      </c>
      <c r="R66" s="84">
        <f>'MACRS 20'!O6</f>
        <v>2.2305000000000002E-2</v>
      </c>
      <c r="S66" s="84">
        <f>'MACRS 20'!P6</f>
        <v>2.231E-2</v>
      </c>
      <c r="T66" s="84">
        <f>'MACRS 20'!Q6</f>
        <v>2.2305000000000002E-2</v>
      </c>
      <c r="U66" s="84">
        <f>'MACRS 20'!R6</f>
        <v>2.231E-2</v>
      </c>
      <c r="V66" s="84">
        <f>'MACRS 20'!S6</f>
        <v>2.2305000000000002E-2</v>
      </c>
      <c r="W66" s="84">
        <f>'MACRS 20'!T6</f>
        <v>2.231E-2</v>
      </c>
      <c r="X66" s="84">
        <f>'MACRS 20'!U6</f>
        <v>2.2305000000000002E-2</v>
      </c>
      <c r="Y66" s="84">
        <f>'MACRS 20'!V6</f>
        <v>1.1155E-2</v>
      </c>
      <c r="Z66" s="72"/>
      <c r="AA66" s="72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288"/>
      <c r="AO66" s="26"/>
      <c r="AP66" s="76">
        <f>SUM(D66:AO66)</f>
        <v>1.0000000000000004</v>
      </c>
    </row>
    <row r="69" spans="1:42" x14ac:dyDescent="0.35">
      <c r="B69" s="78"/>
    </row>
  </sheetData>
  <mergeCells count="1">
    <mergeCell ref="E1:F1"/>
  </mergeCells>
  <printOptions horizontalCentered="1"/>
  <pageMargins left="0.75" right="0.5" top="0.5" bottom="0.5" header="0.5" footer="0.25"/>
  <pageSetup scale="15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V69"/>
  <sheetViews>
    <sheetView zoomScale="70" zoomScaleNormal="70" workbookViewId="0">
      <pane xSplit="4" ySplit="26" topLeftCell="E27" activePane="bottomRight" state="frozen"/>
      <selection activeCell="B2" sqref="B2:L2"/>
      <selection pane="topRight" activeCell="B2" sqref="B2:L2"/>
      <selection pane="bottomLeft" activeCell="B2" sqref="B2:L2"/>
      <selection pane="bottomRight" activeCell="B2" sqref="B2:L2"/>
    </sheetView>
  </sheetViews>
  <sheetFormatPr defaultColWidth="10.36328125" defaultRowHeight="14.5" outlineLevelRow="1" outlineLevelCol="1" x14ac:dyDescent="0.25"/>
  <cols>
    <col min="1" max="1" width="5.6328125" style="57" customWidth="1"/>
    <col min="2" max="2" width="7.453125" style="57" customWidth="1"/>
    <col min="3" max="3" width="26.453125" style="57" customWidth="1"/>
    <col min="4" max="4" width="15.54296875" style="26" customWidth="1"/>
    <col min="5" max="5" width="13.54296875" style="79" customWidth="1"/>
    <col min="6" max="6" width="13.453125" style="79" customWidth="1"/>
    <col min="7" max="7" width="14.54296875" style="79" bestFit="1" customWidth="1"/>
    <col min="8" max="8" width="12.54296875" style="79" customWidth="1"/>
    <col min="9" max="25" width="12.90625" style="79" bestFit="1" customWidth="1"/>
    <col min="26" max="38" width="12.36328125" style="79" bestFit="1" customWidth="1"/>
    <col min="39" max="39" width="17" style="79" customWidth="1" outlineLevel="1"/>
    <col min="40" max="40" width="13" style="79" customWidth="1" outlineLevel="1"/>
    <col min="41" max="41" width="14.36328125" style="79" customWidth="1" outlineLevel="1"/>
    <col min="42" max="42" width="12.6328125" style="26" bestFit="1" customWidth="1"/>
    <col min="43" max="43" width="12.36328125" style="26" customWidth="1"/>
    <col min="44" max="45" width="14" style="26" customWidth="1"/>
    <col min="46" max="46" width="14.36328125" style="26" bestFit="1" customWidth="1"/>
    <col min="47" max="47" width="16.54296875" style="26" customWidth="1"/>
    <col min="48" max="48" width="15" style="26" bestFit="1" customWidth="1"/>
    <col min="49" max="16384" width="10.36328125" style="26"/>
  </cols>
  <sheetData>
    <row r="1" spans="1:41" ht="17.25" customHeight="1" x14ac:dyDescent="0.35">
      <c r="A1" s="24" t="s">
        <v>0</v>
      </c>
      <c r="B1" s="25"/>
      <c r="C1" s="25"/>
      <c r="E1" s="402"/>
      <c r="F1" s="402"/>
      <c r="G1" s="26"/>
      <c r="H1" s="27"/>
      <c r="I1" s="28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1" ht="12.75" customHeight="1" x14ac:dyDescent="0.35">
      <c r="A2" s="29" t="s">
        <v>1</v>
      </c>
      <c r="B2" s="25"/>
      <c r="C2" s="25"/>
      <c r="E2" s="26"/>
      <c r="F2" s="28"/>
      <c r="G2" s="225" t="s">
        <v>376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1" x14ac:dyDescent="0.35">
      <c r="A3" s="29" t="s">
        <v>2</v>
      </c>
      <c r="B3" s="25"/>
      <c r="C3" s="283" t="s">
        <v>300</v>
      </c>
      <c r="D3" s="288" t="s">
        <v>3</v>
      </c>
      <c r="E3" s="26"/>
      <c r="F3" s="28"/>
      <c r="G3" s="28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ht="7.5" customHeight="1" thickBot="1" x14ac:dyDescent="0.3">
      <c r="A4" s="25"/>
      <c r="B4" s="25"/>
      <c r="C4" s="25"/>
      <c r="E4" s="26"/>
      <c r="F4" s="28"/>
      <c r="G4" s="28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x14ac:dyDescent="0.25">
      <c r="A5" s="30" t="s">
        <v>4</v>
      </c>
      <c r="B5" s="31"/>
      <c r="C5" s="31"/>
      <c r="D5" s="32"/>
      <c r="E5" s="32"/>
      <c r="F5" s="33"/>
      <c r="G5" s="34"/>
      <c r="H5" s="26"/>
      <c r="I5" s="26"/>
      <c r="J5" s="26"/>
      <c r="K5" s="26"/>
      <c r="L5" s="26"/>
      <c r="M5" s="26"/>
      <c r="N5" s="45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:41" x14ac:dyDescent="0.25">
      <c r="A6" s="35"/>
      <c r="B6" s="36"/>
      <c r="C6" s="36"/>
      <c r="D6" s="172" t="s">
        <v>290</v>
      </c>
      <c r="E6" s="172"/>
      <c r="F6" s="173"/>
      <c r="G6" s="34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41" x14ac:dyDescent="0.25">
      <c r="A7" s="35"/>
      <c r="B7" s="36"/>
      <c r="C7" s="36"/>
      <c r="D7" s="39"/>
      <c r="E7" s="39"/>
      <c r="F7" s="40" t="s">
        <v>5</v>
      </c>
      <c r="G7" s="41"/>
      <c r="H7" s="26"/>
      <c r="I7" s="26"/>
      <c r="J7" s="26"/>
      <c r="K7" s="26"/>
      <c r="L7" s="26"/>
      <c r="M7" s="174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x14ac:dyDescent="0.25">
      <c r="A8" s="35" t="s">
        <v>6</v>
      </c>
      <c r="B8" s="36"/>
      <c r="C8" s="36"/>
      <c r="D8" s="42" t="s">
        <v>7</v>
      </c>
      <c r="E8" s="42" t="s">
        <v>8</v>
      </c>
      <c r="F8" s="43" t="s">
        <v>8</v>
      </c>
      <c r="G8" s="41"/>
      <c r="H8" s="26"/>
      <c r="I8" s="26"/>
      <c r="J8" s="26"/>
      <c r="K8" s="26"/>
      <c r="L8" s="26"/>
      <c r="M8" s="164"/>
      <c r="N8" s="4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</row>
    <row r="9" spans="1:41" x14ac:dyDescent="0.25">
      <c r="A9" s="35"/>
      <c r="B9" s="36"/>
      <c r="C9" s="36"/>
      <c r="D9" s="37"/>
      <c r="E9" s="37"/>
      <c r="F9" s="44"/>
      <c r="G9" s="37"/>
      <c r="H9" s="26"/>
      <c r="I9" s="26"/>
      <c r="J9" s="26"/>
      <c r="K9" s="26"/>
      <c r="L9" s="26"/>
      <c r="M9" s="164"/>
      <c r="N9" s="45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</row>
    <row r="10" spans="1:41" x14ac:dyDescent="0.25">
      <c r="A10" s="35"/>
      <c r="B10" s="36"/>
      <c r="C10" s="36"/>
      <c r="D10" s="46"/>
      <c r="E10" s="46"/>
      <c r="F10" s="47"/>
      <c r="G10" s="45"/>
      <c r="H10" s="26"/>
      <c r="I10" s="26"/>
      <c r="J10" s="26"/>
      <c r="K10" s="26"/>
      <c r="L10" s="26"/>
      <c r="M10" s="164"/>
      <c r="N10" s="4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41" x14ac:dyDescent="0.25">
      <c r="A11" s="35" t="s">
        <v>178</v>
      </c>
      <c r="B11" s="36"/>
      <c r="C11" s="36"/>
      <c r="D11" s="46">
        <v>0.51500000000000001</v>
      </c>
      <c r="E11" s="46">
        <v>5.8058252427184473E-2</v>
      </c>
      <c r="F11" s="47">
        <v>2.9899999999999999E-2</v>
      </c>
      <c r="G11" s="45"/>
      <c r="H11" s="26"/>
      <c r="I11" s="26"/>
      <c r="J11" s="26"/>
      <c r="K11" s="26"/>
      <c r="L11" s="26"/>
      <c r="M11" s="164"/>
      <c r="N11" s="4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41" x14ac:dyDescent="0.25">
      <c r="A12" s="35" t="s">
        <v>9</v>
      </c>
      <c r="B12" s="36"/>
      <c r="C12" s="36"/>
      <c r="D12" s="48">
        <v>0.48499999999999999</v>
      </c>
      <c r="E12" s="46">
        <v>9.5000000000000001E-2</v>
      </c>
      <c r="F12" s="49">
        <v>4.6100000000000002E-2</v>
      </c>
      <c r="G12" s="45"/>
      <c r="H12" s="26"/>
      <c r="I12" s="26"/>
      <c r="J12" s="26"/>
      <c r="K12" s="26"/>
      <c r="L12" s="26"/>
      <c r="M12" s="164"/>
      <c r="N12" s="4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</row>
    <row r="13" spans="1:41" ht="15" thickBot="1" x14ac:dyDescent="0.3">
      <c r="A13" s="35" t="s">
        <v>10</v>
      </c>
      <c r="B13" s="36"/>
      <c r="C13" s="36"/>
      <c r="D13" s="50">
        <f>D10+D11+D12</f>
        <v>1</v>
      </c>
      <c r="E13" s="51"/>
      <c r="F13" s="52">
        <f>F10+F11+F12</f>
        <v>7.5999999999999998E-2</v>
      </c>
      <c r="G13" s="51"/>
      <c r="H13" s="26"/>
      <c r="I13" s="26"/>
      <c r="J13" s="26"/>
      <c r="K13" s="26"/>
      <c r="L13" s="26"/>
      <c r="M13" s="164"/>
      <c r="N13" s="45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ht="15" thickTop="1" x14ac:dyDescent="0.25">
      <c r="A14" s="35"/>
      <c r="B14" s="36"/>
      <c r="C14" s="36"/>
      <c r="D14" s="37"/>
      <c r="E14" s="37"/>
      <c r="F14" s="44"/>
      <c r="G14" s="37"/>
      <c r="H14" s="26"/>
      <c r="I14" s="26"/>
      <c r="J14" s="26"/>
      <c r="K14" s="26"/>
      <c r="L14" s="26"/>
      <c r="M14" s="164"/>
      <c r="N14" s="45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x14ac:dyDescent="0.25">
      <c r="A15" s="35" t="s">
        <v>11</v>
      </c>
      <c r="B15" s="36"/>
      <c r="C15" s="36"/>
      <c r="D15" s="37"/>
      <c r="E15" s="37"/>
      <c r="F15" s="47">
        <v>0.21</v>
      </c>
      <c r="G15" s="51"/>
      <c r="H15" s="26"/>
      <c r="I15" s="26"/>
      <c r="J15" s="26"/>
      <c r="K15" s="26"/>
      <c r="L15" s="26"/>
      <c r="M15" s="164"/>
      <c r="N15" s="45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x14ac:dyDescent="0.25">
      <c r="A16" s="35" t="s">
        <v>12</v>
      </c>
      <c r="B16" s="36"/>
      <c r="C16" s="36"/>
      <c r="D16" s="37"/>
      <c r="E16" s="37"/>
      <c r="F16" s="47">
        <v>4.5462000000000002E-2</v>
      </c>
      <c r="G16" s="51"/>
      <c r="H16" s="26"/>
      <c r="I16" s="26"/>
      <c r="J16" s="26"/>
      <c r="K16" s="26"/>
      <c r="L16" s="26"/>
      <c r="M16" s="164"/>
      <c r="N16" s="4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8" x14ac:dyDescent="0.25">
      <c r="A17" s="35" t="s">
        <v>13</v>
      </c>
      <c r="B17" s="36"/>
      <c r="C17" s="36"/>
      <c r="D17" s="37"/>
      <c r="E17" s="37"/>
      <c r="F17" s="47">
        <v>2.4445471369498754E-2</v>
      </c>
      <c r="H17" s="26"/>
      <c r="I17" s="26"/>
      <c r="J17" s="26"/>
      <c r="K17" s="26"/>
      <c r="L17" s="26"/>
      <c r="M17" s="164"/>
      <c r="N17" s="4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</row>
    <row r="18" spans="1:48" x14ac:dyDescent="0.25">
      <c r="A18" s="35" t="s">
        <v>14</v>
      </c>
      <c r="B18" s="36"/>
      <c r="C18" s="36"/>
      <c r="D18" s="37"/>
      <c r="E18" s="37"/>
      <c r="F18" s="53">
        <v>2</v>
      </c>
      <c r="G18" s="28"/>
      <c r="H18" s="26"/>
      <c r="I18" s="26"/>
      <c r="J18" s="26"/>
      <c r="K18" s="26"/>
      <c r="L18" s="26"/>
      <c r="M18" s="164"/>
      <c r="N18" s="4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</row>
    <row r="19" spans="1:48" x14ac:dyDescent="0.25">
      <c r="A19" s="35"/>
      <c r="B19" s="36"/>
      <c r="C19" s="36"/>
      <c r="D19" s="37"/>
      <c r="E19" s="37"/>
      <c r="F19" s="38"/>
      <c r="G19" s="28"/>
      <c r="H19" s="26"/>
      <c r="I19" s="26"/>
      <c r="J19" s="26"/>
      <c r="K19" s="26"/>
      <c r="L19" s="26"/>
      <c r="M19" s="164"/>
      <c r="N19" s="4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</row>
    <row r="20" spans="1:48" x14ac:dyDescent="0.25">
      <c r="A20" s="35" t="s">
        <v>15</v>
      </c>
      <c r="B20" s="36"/>
      <c r="C20" s="36"/>
      <c r="D20" s="37"/>
      <c r="E20" s="37"/>
      <c r="F20" s="38"/>
      <c r="G20" s="28"/>
      <c r="H20" s="26"/>
      <c r="I20" s="26"/>
      <c r="J20" s="26"/>
      <c r="K20" s="26"/>
      <c r="L20" s="26"/>
      <c r="N20" s="17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</row>
    <row r="21" spans="1:48" x14ac:dyDescent="0.25">
      <c r="A21" s="35" t="s">
        <v>16</v>
      </c>
      <c r="B21" s="36"/>
      <c r="C21" s="36"/>
      <c r="D21" s="37"/>
      <c r="E21" s="37"/>
      <c r="F21" s="3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spans="1:48" ht="15" thickBot="1" x14ac:dyDescent="0.3">
      <c r="A22" s="54" t="s">
        <v>17</v>
      </c>
      <c r="B22" s="55"/>
      <c r="C22" s="55"/>
      <c r="D22" s="55"/>
      <c r="E22" s="56"/>
      <c r="F22" s="80">
        <v>55399540.539999992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</row>
    <row r="23" spans="1:48" ht="6" customHeight="1" x14ac:dyDescent="0.25"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</row>
    <row r="24" spans="1:48" ht="6" customHeight="1" x14ac:dyDescent="0.25">
      <c r="B24" s="26"/>
      <c r="C24" s="26"/>
      <c r="D24" s="164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</row>
    <row r="25" spans="1:48" x14ac:dyDescent="0.25">
      <c r="A25" s="25"/>
      <c r="B25" s="25"/>
      <c r="C25" s="25"/>
      <c r="D25" s="288"/>
      <c r="E25" s="59" t="s">
        <v>18</v>
      </c>
      <c r="F25" s="153" t="s">
        <v>19</v>
      </c>
      <c r="G25" s="60" t="s">
        <v>20</v>
      </c>
      <c r="H25" s="60" t="s">
        <v>21</v>
      </c>
      <c r="I25" s="60" t="s">
        <v>22</v>
      </c>
      <c r="J25" s="60" t="s">
        <v>23</v>
      </c>
      <c r="K25" s="60" t="s">
        <v>24</v>
      </c>
      <c r="L25" s="60" t="s">
        <v>25</v>
      </c>
      <c r="M25" s="60" t="s">
        <v>26</v>
      </c>
      <c r="N25" s="60" t="s">
        <v>27</v>
      </c>
      <c r="O25" s="60" t="s">
        <v>28</v>
      </c>
      <c r="P25" s="60" t="s">
        <v>29</v>
      </c>
      <c r="Q25" s="60" t="s">
        <v>30</v>
      </c>
      <c r="R25" s="60" t="s">
        <v>31</v>
      </c>
      <c r="S25" s="60" t="s">
        <v>32</v>
      </c>
      <c r="T25" s="60" t="s">
        <v>33</v>
      </c>
      <c r="U25" s="60" t="s">
        <v>34</v>
      </c>
      <c r="V25" s="60" t="s">
        <v>35</v>
      </c>
      <c r="W25" s="60" t="s">
        <v>36</v>
      </c>
      <c r="X25" s="60" t="s">
        <v>37</v>
      </c>
      <c r="Y25" s="60" t="s">
        <v>38</v>
      </c>
      <c r="Z25" s="60" t="s">
        <v>39</v>
      </c>
      <c r="AA25" s="60" t="s">
        <v>40</v>
      </c>
      <c r="AB25" s="60" t="s">
        <v>41</v>
      </c>
      <c r="AC25" s="60" t="s">
        <v>42</v>
      </c>
      <c r="AD25" s="60" t="s">
        <v>43</v>
      </c>
      <c r="AE25" s="60" t="s">
        <v>44</v>
      </c>
      <c r="AF25" s="60" t="s">
        <v>45</v>
      </c>
      <c r="AG25" s="60" t="s">
        <v>46</v>
      </c>
      <c r="AH25" s="60" t="s">
        <v>47</v>
      </c>
      <c r="AI25" s="60" t="s">
        <v>48</v>
      </c>
      <c r="AJ25" s="60" t="s">
        <v>49</v>
      </c>
      <c r="AK25" s="60" t="s">
        <v>50</v>
      </c>
      <c r="AL25" s="60" t="s">
        <v>51</v>
      </c>
      <c r="AM25" s="60" t="s">
        <v>52</v>
      </c>
      <c r="AN25" s="60" t="s">
        <v>74</v>
      </c>
      <c r="AO25" s="60" t="s">
        <v>75</v>
      </c>
      <c r="AP25" s="60" t="s">
        <v>179</v>
      </c>
      <c r="AQ25" s="60" t="s">
        <v>180</v>
      </c>
      <c r="AR25" s="60" t="s">
        <v>181</v>
      </c>
      <c r="AS25" s="26" t="s">
        <v>182</v>
      </c>
    </row>
    <row r="26" spans="1:48" x14ac:dyDescent="0.25">
      <c r="A26" s="25"/>
      <c r="B26" s="25"/>
      <c r="C26" s="25"/>
      <c r="D26" s="288"/>
      <c r="E26" s="137">
        <v>2019</v>
      </c>
      <c r="F26" s="137">
        <v>2020</v>
      </c>
      <c r="G26" s="137">
        <v>2021</v>
      </c>
      <c r="H26" s="137">
        <v>2022</v>
      </c>
      <c r="I26" s="137">
        <v>2023</v>
      </c>
      <c r="J26" s="137">
        <v>2024</v>
      </c>
      <c r="K26" s="137">
        <v>2025</v>
      </c>
      <c r="L26" s="137">
        <v>2026</v>
      </c>
      <c r="M26" s="137">
        <v>2027</v>
      </c>
      <c r="N26" s="137">
        <v>2028</v>
      </c>
      <c r="O26" s="137">
        <v>2029</v>
      </c>
      <c r="P26" s="137">
        <v>2030</v>
      </c>
      <c r="Q26" s="137">
        <v>2031</v>
      </c>
      <c r="R26" s="137">
        <v>2032</v>
      </c>
      <c r="S26" s="137">
        <v>2033</v>
      </c>
      <c r="T26" s="137">
        <v>2034</v>
      </c>
      <c r="U26" s="137">
        <v>2035</v>
      </c>
      <c r="V26" s="137">
        <v>2036</v>
      </c>
      <c r="W26" s="137">
        <v>2037</v>
      </c>
      <c r="X26" s="137">
        <v>2038</v>
      </c>
      <c r="Y26" s="137">
        <v>2039</v>
      </c>
      <c r="Z26" s="137">
        <v>2040</v>
      </c>
      <c r="AA26" s="137">
        <v>2041</v>
      </c>
      <c r="AB26" s="137">
        <v>2042</v>
      </c>
      <c r="AC26" s="137">
        <v>2043</v>
      </c>
      <c r="AD26" s="137">
        <v>2044</v>
      </c>
      <c r="AE26" s="137">
        <v>2045</v>
      </c>
      <c r="AF26" s="137">
        <v>2046</v>
      </c>
      <c r="AG26" s="137">
        <v>2047</v>
      </c>
      <c r="AH26" s="137">
        <v>2048</v>
      </c>
      <c r="AI26" s="137">
        <v>2049</v>
      </c>
      <c r="AJ26" s="137">
        <v>2050</v>
      </c>
      <c r="AK26" s="137">
        <v>2051</v>
      </c>
      <c r="AL26" s="137">
        <v>2052</v>
      </c>
      <c r="AM26" s="137">
        <v>2053</v>
      </c>
      <c r="AN26" s="137">
        <v>2054</v>
      </c>
      <c r="AO26" s="137">
        <v>2055</v>
      </c>
      <c r="AP26" s="137">
        <v>2056</v>
      </c>
      <c r="AQ26" s="137">
        <v>2057</v>
      </c>
      <c r="AR26" s="137">
        <v>2058</v>
      </c>
      <c r="AS26" s="137">
        <v>2059</v>
      </c>
    </row>
    <row r="27" spans="1:48" x14ac:dyDescent="0.25">
      <c r="A27" s="283">
        <v>1</v>
      </c>
      <c r="B27" s="25" t="s">
        <v>53</v>
      </c>
      <c r="C27" s="25"/>
      <c r="D27" s="288"/>
      <c r="E27" s="160">
        <f>$F22*$F17</f>
        <v>1354267.8821539553</v>
      </c>
      <c r="F27" s="160">
        <f>$F22*$F17</f>
        <v>1354267.8821539553</v>
      </c>
      <c r="G27" s="160">
        <f t="shared" ref="G27:AR27" si="0">$F22*$F17</f>
        <v>1354267.8821539553</v>
      </c>
      <c r="H27" s="160">
        <f t="shared" si="0"/>
        <v>1354267.8821539553</v>
      </c>
      <c r="I27" s="160">
        <f t="shared" si="0"/>
        <v>1354267.8821539553</v>
      </c>
      <c r="J27" s="160">
        <f t="shared" si="0"/>
        <v>1354267.8821539553</v>
      </c>
      <c r="K27" s="160">
        <f t="shared" si="0"/>
        <v>1354267.8821539553</v>
      </c>
      <c r="L27" s="160">
        <f t="shared" si="0"/>
        <v>1354267.8821539553</v>
      </c>
      <c r="M27" s="160">
        <f t="shared" si="0"/>
        <v>1354267.8821539553</v>
      </c>
      <c r="N27" s="160">
        <f t="shared" si="0"/>
        <v>1354267.8821539553</v>
      </c>
      <c r="O27" s="160">
        <f t="shared" si="0"/>
        <v>1354267.8821539553</v>
      </c>
      <c r="P27" s="160">
        <f t="shared" si="0"/>
        <v>1354267.8821539553</v>
      </c>
      <c r="Q27" s="160">
        <f t="shared" si="0"/>
        <v>1354267.8821539553</v>
      </c>
      <c r="R27" s="160">
        <f t="shared" si="0"/>
        <v>1354267.8821539553</v>
      </c>
      <c r="S27" s="160">
        <f t="shared" si="0"/>
        <v>1354267.8821539553</v>
      </c>
      <c r="T27" s="160">
        <f t="shared" si="0"/>
        <v>1354267.8821539553</v>
      </c>
      <c r="U27" s="160">
        <f t="shared" si="0"/>
        <v>1354267.8821539553</v>
      </c>
      <c r="V27" s="160">
        <f t="shared" si="0"/>
        <v>1354267.8821539553</v>
      </c>
      <c r="W27" s="160">
        <f t="shared" si="0"/>
        <v>1354267.8821539553</v>
      </c>
      <c r="X27" s="160">
        <f t="shared" si="0"/>
        <v>1354267.8821539553</v>
      </c>
      <c r="Y27" s="160">
        <f t="shared" si="0"/>
        <v>1354267.8821539553</v>
      </c>
      <c r="Z27" s="160">
        <f t="shared" si="0"/>
        <v>1354267.8821539553</v>
      </c>
      <c r="AA27" s="160">
        <f t="shared" si="0"/>
        <v>1354267.8821539553</v>
      </c>
      <c r="AB27" s="160">
        <f t="shared" si="0"/>
        <v>1354267.8821539553</v>
      </c>
      <c r="AC27" s="160">
        <f t="shared" si="0"/>
        <v>1354267.8821539553</v>
      </c>
      <c r="AD27" s="160">
        <f t="shared" si="0"/>
        <v>1354267.8821539553</v>
      </c>
      <c r="AE27" s="160">
        <f t="shared" si="0"/>
        <v>1354267.8821539553</v>
      </c>
      <c r="AF27" s="160">
        <f t="shared" si="0"/>
        <v>1354267.8821539553</v>
      </c>
      <c r="AG27" s="160">
        <f t="shared" si="0"/>
        <v>1354267.8821539553</v>
      </c>
      <c r="AH27" s="160">
        <f t="shared" si="0"/>
        <v>1354267.8821539553</v>
      </c>
      <c r="AI27" s="160">
        <f t="shared" si="0"/>
        <v>1354267.8821539553</v>
      </c>
      <c r="AJ27" s="160">
        <f t="shared" si="0"/>
        <v>1354267.8821539553</v>
      </c>
      <c r="AK27" s="160">
        <f t="shared" si="0"/>
        <v>1354267.8821539553</v>
      </c>
      <c r="AL27" s="160">
        <f t="shared" si="0"/>
        <v>1354267.8821539553</v>
      </c>
      <c r="AM27" s="160">
        <f t="shared" si="0"/>
        <v>1354267.8821539553</v>
      </c>
      <c r="AN27" s="160">
        <f t="shared" si="0"/>
        <v>1354267.8821539553</v>
      </c>
      <c r="AO27" s="160">
        <f t="shared" si="0"/>
        <v>1354267.8821539553</v>
      </c>
      <c r="AP27" s="160">
        <f t="shared" si="0"/>
        <v>1354267.8821539553</v>
      </c>
      <c r="AQ27" s="160">
        <f t="shared" si="0"/>
        <v>1354267.8821539553</v>
      </c>
      <c r="AR27" s="160">
        <f t="shared" si="0"/>
        <v>1354267.8821539553</v>
      </c>
      <c r="AS27" s="160">
        <v>1228825.2538417773</v>
      </c>
      <c r="AT27" s="160"/>
      <c r="AU27" s="163">
        <f>SUM(D27:AT27)</f>
        <v>55399540.540000021</v>
      </c>
      <c r="AV27" s="45">
        <f>F22</f>
        <v>55399540.539999992</v>
      </c>
    </row>
    <row r="28" spans="1:48" x14ac:dyDescent="0.25">
      <c r="A28" s="25"/>
      <c r="B28" s="25"/>
      <c r="C28" s="25"/>
      <c r="D28" s="288"/>
      <c r="E28" s="61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62"/>
      <c r="AN28" s="160"/>
      <c r="AO28" s="160"/>
      <c r="AP28" s="290"/>
    </row>
    <row r="29" spans="1:48" x14ac:dyDescent="0.25">
      <c r="A29" s="283">
        <f>A27+1</f>
        <v>2</v>
      </c>
      <c r="B29" s="25" t="s">
        <v>54</v>
      </c>
      <c r="C29" s="25"/>
      <c r="D29" s="288"/>
      <c r="E29" s="61">
        <f>E53</f>
        <v>669816.44556032098</v>
      </c>
      <c r="F29" s="160">
        <f t="shared" ref="F29:AT29" si="1">F53</f>
        <v>649041.79398453434</v>
      </c>
      <c r="G29" s="160">
        <f t="shared" si="1"/>
        <v>626025.58113946416</v>
      </c>
      <c r="H29" s="160">
        <f t="shared" si="1"/>
        <v>603752.1416383785</v>
      </c>
      <c r="I29" s="160">
        <f t="shared" si="1"/>
        <v>582165.87440562423</v>
      </c>
      <c r="J29" s="160">
        <f t="shared" si="1"/>
        <v>561215.4553713674</v>
      </c>
      <c r="K29" s="160">
        <f t="shared" si="1"/>
        <v>540853.12463729037</v>
      </c>
      <c r="L29" s="160">
        <f t="shared" si="1"/>
        <v>521034.68647659174</v>
      </c>
      <c r="M29" s="160">
        <f t="shared" si="1"/>
        <v>501519.91572907689</v>
      </c>
      <c r="N29" s="160">
        <f t="shared" si="1"/>
        <v>482048.6278740603</v>
      </c>
      <c r="O29" s="160">
        <f t="shared" si="1"/>
        <v>462577.34001904365</v>
      </c>
      <c r="P29" s="160">
        <f t="shared" si="1"/>
        <v>443106.05216402694</v>
      </c>
      <c r="Q29" s="160">
        <f t="shared" si="1"/>
        <v>423634.76430901024</v>
      </c>
      <c r="R29" s="160">
        <f t="shared" si="1"/>
        <v>404163.47645399359</v>
      </c>
      <c r="S29" s="160">
        <f t="shared" si="1"/>
        <v>384692.18859897694</v>
      </c>
      <c r="T29" s="160">
        <f t="shared" si="1"/>
        <v>365220.90074396023</v>
      </c>
      <c r="U29" s="160">
        <f t="shared" si="1"/>
        <v>345749.61288894352</v>
      </c>
      <c r="V29" s="160">
        <f t="shared" si="1"/>
        <v>326278.32503392693</v>
      </c>
      <c r="W29" s="160">
        <f t="shared" si="1"/>
        <v>306807.03717891022</v>
      </c>
      <c r="X29" s="160">
        <f t="shared" si="1"/>
        <v>287335.74932389363</v>
      </c>
      <c r="Y29" s="160">
        <f t="shared" si="1"/>
        <v>269454.79479942378</v>
      </c>
      <c r="Z29" s="160">
        <f t="shared" si="1"/>
        <v>254753.79410174448</v>
      </c>
      <c r="AA29" s="160">
        <f t="shared" si="1"/>
        <v>241643.12673461207</v>
      </c>
      <c r="AB29" s="160">
        <f t="shared" si="1"/>
        <v>228532.45936747966</v>
      </c>
      <c r="AC29" s="160">
        <f t="shared" si="1"/>
        <v>215421.7920003472</v>
      </c>
      <c r="AD29" s="160">
        <f t="shared" si="1"/>
        <v>202311.1246332147</v>
      </c>
      <c r="AE29" s="160">
        <f t="shared" si="1"/>
        <v>189200.45726608223</v>
      </c>
      <c r="AF29" s="160">
        <f t="shared" si="1"/>
        <v>176089.78989894979</v>
      </c>
      <c r="AG29" s="160">
        <f t="shared" si="1"/>
        <v>162979.12253181729</v>
      </c>
      <c r="AH29" s="160">
        <f t="shared" si="1"/>
        <v>149868.45516468483</v>
      </c>
      <c r="AI29" s="160">
        <f t="shared" si="1"/>
        <v>136757.78779755236</v>
      </c>
      <c r="AJ29" s="160">
        <f t="shared" si="1"/>
        <v>123647.12043041988</v>
      </c>
      <c r="AK29" s="160">
        <f t="shared" si="1"/>
        <v>110536.45306328739</v>
      </c>
      <c r="AL29" s="160">
        <f t="shared" si="1"/>
        <v>97425.785696154926</v>
      </c>
      <c r="AM29" s="160">
        <f t="shared" si="1"/>
        <v>84315.118329022458</v>
      </c>
      <c r="AN29" s="160">
        <f t="shared" si="1"/>
        <v>71204.450961889946</v>
      </c>
      <c r="AO29" s="160">
        <f t="shared" si="1"/>
        <v>58093.7835947575</v>
      </c>
      <c r="AP29" s="160">
        <f t="shared" si="1"/>
        <v>44983.116227625025</v>
      </c>
      <c r="AQ29" s="160">
        <f t="shared" si="1"/>
        <v>31872.448860492543</v>
      </c>
      <c r="AR29" s="160">
        <f t="shared" si="1"/>
        <v>18761.781493360068</v>
      </c>
      <c r="AS29" s="160">
        <f t="shared" si="1"/>
        <v>6258.3191685727361</v>
      </c>
      <c r="AT29" s="160">
        <f t="shared" si="1"/>
        <v>12206.44780979383</v>
      </c>
      <c r="AU29" s="163">
        <f>SUM(D29:AT29)</f>
        <v>12373356.623462679</v>
      </c>
    </row>
    <row r="30" spans="1:48" x14ac:dyDescent="0.25">
      <c r="A30" s="25"/>
      <c r="B30" s="25"/>
      <c r="C30" s="25"/>
      <c r="D30" s="288"/>
      <c r="E30" s="61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</row>
    <row r="31" spans="1:48" x14ac:dyDescent="0.25">
      <c r="A31" s="25"/>
      <c r="B31" s="25" t="s">
        <v>55</v>
      </c>
      <c r="C31" s="25"/>
      <c r="D31" s="288"/>
      <c r="E31" s="61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</row>
    <row r="32" spans="1:48" x14ac:dyDescent="0.25">
      <c r="A32" s="283">
        <f>A29+1</f>
        <v>3</v>
      </c>
      <c r="B32" s="25"/>
      <c r="C32" s="25"/>
      <c r="D32" s="288"/>
      <c r="E32" s="61">
        <f>E49*$F10</f>
        <v>0</v>
      </c>
      <c r="F32" s="160">
        <f t="shared" ref="F32:AT32" si="2">F49*$F10</f>
        <v>0</v>
      </c>
      <c r="G32" s="160">
        <f t="shared" si="2"/>
        <v>0</v>
      </c>
      <c r="H32" s="160">
        <f t="shared" si="2"/>
        <v>0</v>
      </c>
      <c r="I32" s="160">
        <f t="shared" si="2"/>
        <v>0</v>
      </c>
      <c r="J32" s="160">
        <f t="shared" si="2"/>
        <v>0</v>
      </c>
      <c r="K32" s="160">
        <f t="shared" si="2"/>
        <v>0</v>
      </c>
      <c r="L32" s="160">
        <f t="shared" si="2"/>
        <v>0</v>
      </c>
      <c r="M32" s="160">
        <f t="shared" si="2"/>
        <v>0</v>
      </c>
      <c r="N32" s="160">
        <f t="shared" si="2"/>
        <v>0</v>
      </c>
      <c r="O32" s="160">
        <f t="shared" si="2"/>
        <v>0</v>
      </c>
      <c r="P32" s="160">
        <f t="shared" si="2"/>
        <v>0</v>
      </c>
      <c r="Q32" s="160">
        <f t="shared" si="2"/>
        <v>0</v>
      </c>
      <c r="R32" s="160">
        <f t="shared" si="2"/>
        <v>0</v>
      </c>
      <c r="S32" s="160">
        <f t="shared" si="2"/>
        <v>0</v>
      </c>
      <c r="T32" s="160">
        <f t="shared" si="2"/>
        <v>0</v>
      </c>
      <c r="U32" s="160">
        <f t="shared" si="2"/>
        <v>0</v>
      </c>
      <c r="V32" s="160">
        <f t="shared" si="2"/>
        <v>0</v>
      </c>
      <c r="W32" s="160">
        <f t="shared" si="2"/>
        <v>0</v>
      </c>
      <c r="X32" s="160">
        <f t="shared" si="2"/>
        <v>0</v>
      </c>
      <c r="Y32" s="160">
        <f t="shared" si="2"/>
        <v>0</v>
      </c>
      <c r="Z32" s="160">
        <f t="shared" si="2"/>
        <v>0</v>
      </c>
      <c r="AA32" s="160">
        <f t="shared" si="2"/>
        <v>0</v>
      </c>
      <c r="AB32" s="160">
        <f t="shared" si="2"/>
        <v>0</v>
      </c>
      <c r="AC32" s="160">
        <f t="shared" si="2"/>
        <v>0</v>
      </c>
      <c r="AD32" s="160">
        <f t="shared" si="2"/>
        <v>0</v>
      </c>
      <c r="AE32" s="160">
        <f t="shared" si="2"/>
        <v>0</v>
      </c>
      <c r="AF32" s="160">
        <f t="shared" si="2"/>
        <v>0</v>
      </c>
      <c r="AG32" s="160">
        <f t="shared" si="2"/>
        <v>0</v>
      </c>
      <c r="AH32" s="160">
        <f t="shared" si="2"/>
        <v>0</v>
      </c>
      <c r="AI32" s="160">
        <f t="shared" si="2"/>
        <v>0</v>
      </c>
      <c r="AJ32" s="160">
        <f t="shared" si="2"/>
        <v>0</v>
      </c>
      <c r="AK32" s="160">
        <f t="shared" si="2"/>
        <v>0</v>
      </c>
      <c r="AL32" s="160">
        <f t="shared" si="2"/>
        <v>0</v>
      </c>
      <c r="AM32" s="160">
        <f t="shared" si="2"/>
        <v>0</v>
      </c>
      <c r="AN32" s="160">
        <f t="shared" si="2"/>
        <v>0</v>
      </c>
      <c r="AO32" s="160">
        <f t="shared" si="2"/>
        <v>0</v>
      </c>
      <c r="AP32" s="160">
        <f t="shared" si="2"/>
        <v>0</v>
      </c>
      <c r="AQ32" s="160">
        <f t="shared" si="2"/>
        <v>0</v>
      </c>
      <c r="AR32" s="160">
        <f t="shared" si="2"/>
        <v>0</v>
      </c>
      <c r="AS32" s="160">
        <f t="shared" si="2"/>
        <v>0</v>
      </c>
      <c r="AT32" s="160">
        <f t="shared" si="2"/>
        <v>0</v>
      </c>
      <c r="AU32" s="163">
        <f t="shared" ref="AU32:AU42" si="3">SUM(D32:AT32)</f>
        <v>0</v>
      </c>
    </row>
    <row r="33" spans="1:47" x14ac:dyDescent="0.25">
      <c r="A33" s="283">
        <f>A32+1</f>
        <v>4</v>
      </c>
      <c r="B33" s="36"/>
      <c r="C33" s="36" t="s">
        <v>178</v>
      </c>
      <c r="D33" s="288"/>
      <c r="E33" s="61">
        <f>E49*$F11</f>
        <v>1634307.8463568168</v>
      </c>
      <c r="F33" s="160">
        <f t="shared" ref="F33:AT33" si="4">F49*$F11</f>
        <v>1583619.0699007013</v>
      </c>
      <c r="G33" s="160">
        <f t="shared" si="4"/>
        <v>1527461.0321346228</v>
      </c>
      <c r="H33" s="160">
        <f t="shared" si="4"/>
        <v>1473115.3122239581</v>
      </c>
      <c r="I33" s="160">
        <f t="shared" si="4"/>
        <v>1420446.247219838</v>
      </c>
      <c r="J33" s="160">
        <f t="shared" si="4"/>
        <v>1369328.6097848434</v>
      </c>
      <c r="K33" s="160">
        <f t="shared" si="4"/>
        <v>1319645.8689244331</v>
      </c>
      <c r="L33" s="160">
        <f t="shared" si="4"/>
        <v>1271290.1899869409</v>
      </c>
      <c r="M33" s="160">
        <f t="shared" si="4"/>
        <v>1223675.4394625067</v>
      </c>
      <c r="N33" s="160">
        <f t="shared" si="4"/>
        <v>1176166.7843211628</v>
      </c>
      <c r="O33" s="160">
        <f t="shared" si="4"/>
        <v>1128658.1291798193</v>
      </c>
      <c r="P33" s="160">
        <f t="shared" si="4"/>
        <v>1081149.4740384757</v>
      </c>
      <c r="Q33" s="160">
        <f t="shared" si="4"/>
        <v>1033640.8188971317</v>
      </c>
      <c r="R33" s="160">
        <f t="shared" si="4"/>
        <v>986132.16375578812</v>
      </c>
      <c r="S33" s="160">
        <f t="shared" si="4"/>
        <v>938623.50861444417</v>
      </c>
      <c r="T33" s="160">
        <f t="shared" si="4"/>
        <v>891114.85347310035</v>
      </c>
      <c r="U33" s="160">
        <f t="shared" si="4"/>
        <v>843606.19833175663</v>
      </c>
      <c r="V33" s="160">
        <f t="shared" si="4"/>
        <v>796097.54319041304</v>
      </c>
      <c r="W33" s="160">
        <f t="shared" si="4"/>
        <v>748588.88804906921</v>
      </c>
      <c r="X33" s="160">
        <f t="shared" si="4"/>
        <v>701080.2329077255</v>
      </c>
      <c r="Y33" s="160">
        <f t="shared" si="4"/>
        <v>657451.8859577718</v>
      </c>
      <c r="Z33" s="160">
        <f t="shared" si="4"/>
        <v>621582.41612202325</v>
      </c>
      <c r="AA33" s="160">
        <f t="shared" si="4"/>
        <v>589593.25447766471</v>
      </c>
      <c r="AB33" s="160">
        <f t="shared" si="4"/>
        <v>557604.09283330617</v>
      </c>
      <c r="AC33" s="160">
        <f t="shared" si="4"/>
        <v>525614.93118894764</v>
      </c>
      <c r="AD33" s="160">
        <f t="shared" si="4"/>
        <v>493625.76954458887</v>
      </c>
      <c r="AE33" s="160">
        <f t="shared" si="4"/>
        <v>461636.60790023027</v>
      </c>
      <c r="AF33" s="160">
        <f t="shared" si="4"/>
        <v>429647.44625587156</v>
      </c>
      <c r="AG33" s="160">
        <f t="shared" si="4"/>
        <v>397658.28461151291</v>
      </c>
      <c r="AH33" s="160">
        <f t="shared" si="4"/>
        <v>365669.12296715425</v>
      </c>
      <c r="AI33" s="160">
        <f t="shared" si="4"/>
        <v>333679.9613227956</v>
      </c>
      <c r="AJ33" s="160">
        <f t="shared" si="4"/>
        <v>301690.79967843689</v>
      </c>
      <c r="AK33" s="160">
        <f t="shared" si="4"/>
        <v>269701.63803407829</v>
      </c>
      <c r="AL33" s="160">
        <f t="shared" si="4"/>
        <v>237712.47638971958</v>
      </c>
      <c r="AM33" s="160">
        <f t="shared" si="4"/>
        <v>205723.31474536096</v>
      </c>
      <c r="AN33" s="160">
        <f t="shared" si="4"/>
        <v>173734.15310100224</v>
      </c>
      <c r="AO33" s="160">
        <f t="shared" si="4"/>
        <v>141744.99145664362</v>
      </c>
      <c r="AP33" s="160">
        <f t="shared" si="4"/>
        <v>109755.82981228495</v>
      </c>
      <c r="AQ33" s="160">
        <f t="shared" si="4"/>
        <v>77766.668167926284</v>
      </c>
      <c r="AR33" s="160">
        <f t="shared" si="4"/>
        <v>45777.506523567623</v>
      </c>
      <c r="AS33" s="160">
        <f t="shared" si="4"/>
        <v>15269.885040890054</v>
      </c>
      <c r="AT33" s="160">
        <f t="shared" si="4"/>
        <v>29782.925701388296</v>
      </c>
      <c r="AU33" s="163">
        <f t="shared" si="3"/>
        <v>30190172.172586717</v>
      </c>
    </row>
    <row r="34" spans="1:47" x14ac:dyDescent="0.25">
      <c r="A34" s="283">
        <f>A33+1</f>
        <v>5</v>
      </c>
      <c r="B34" s="25"/>
      <c r="C34" s="25" t="s">
        <v>9</v>
      </c>
      <c r="D34" s="288"/>
      <c r="E34" s="63">
        <f>E49*$F12</f>
        <v>2519785.6761554936</v>
      </c>
      <c r="F34" s="158">
        <f t="shared" ref="F34:AT34" si="5">F49*$F12</f>
        <v>2441633.4154656297</v>
      </c>
      <c r="G34" s="158">
        <f t="shared" si="5"/>
        <v>2355048.6147627463</v>
      </c>
      <c r="H34" s="158">
        <f t="shared" si="5"/>
        <v>2271258.0566396145</v>
      </c>
      <c r="I34" s="158">
        <f t="shared" si="5"/>
        <v>2190052.5751449675</v>
      </c>
      <c r="J34" s="158">
        <f t="shared" si="5"/>
        <v>2111239.0940160966</v>
      </c>
      <c r="K34" s="158">
        <f t="shared" si="5"/>
        <v>2034637.9450640925</v>
      </c>
      <c r="L34" s="158">
        <f t="shared" si="5"/>
        <v>1960082.8681738453</v>
      </c>
      <c r="M34" s="158">
        <f t="shared" si="5"/>
        <v>1886670.1591712895</v>
      </c>
      <c r="N34" s="158">
        <f t="shared" si="5"/>
        <v>1813421.0286690842</v>
      </c>
      <c r="O34" s="158">
        <f t="shared" si="5"/>
        <v>1740171.8981668786</v>
      </c>
      <c r="P34" s="158">
        <f t="shared" si="5"/>
        <v>1666922.767664673</v>
      </c>
      <c r="Q34" s="158">
        <f t="shared" si="5"/>
        <v>1593673.6371624672</v>
      </c>
      <c r="R34" s="158">
        <f t="shared" si="5"/>
        <v>1520424.5066602619</v>
      </c>
      <c r="S34" s="158">
        <f t="shared" si="5"/>
        <v>1447175.3761580561</v>
      </c>
      <c r="T34" s="158">
        <f t="shared" si="5"/>
        <v>1373926.2456558505</v>
      </c>
      <c r="U34" s="158">
        <f t="shared" si="5"/>
        <v>1300677.1151536449</v>
      </c>
      <c r="V34" s="158">
        <f t="shared" si="5"/>
        <v>1227427.9846514396</v>
      </c>
      <c r="W34" s="158">
        <f t="shared" si="5"/>
        <v>1154178.8541492338</v>
      </c>
      <c r="X34" s="158">
        <f t="shared" si="5"/>
        <v>1080929.7236470284</v>
      </c>
      <c r="Y34" s="158">
        <f t="shared" si="5"/>
        <v>1013663.2756740229</v>
      </c>
      <c r="Z34" s="158">
        <f t="shared" si="5"/>
        <v>958359.51114465785</v>
      </c>
      <c r="AA34" s="158">
        <f t="shared" si="5"/>
        <v>909038.42914449307</v>
      </c>
      <c r="AB34" s="158">
        <f t="shared" si="5"/>
        <v>859717.34714432829</v>
      </c>
      <c r="AC34" s="158">
        <f t="shared" si="5"/>
        <v>810396.26514416339</v>
      </c>
      <c r="AD34" s="158">
        <f t="shared" si="5"/>
        <v>761075.18314399826</v>
      </c>
      <c r="AE34" s="158">
        <f t="shared" si="5"/>
        <v>711754.10114383325</v>
      </c>
      <c r="AF34" s="158">
        <f t="shared" si="5"/>
        <v>662433.01914366824</v>
      </c>
      <c r="AG34" s="158">
        <f t="shared" si="5"/>
        <v>613111.93714350322</v>
      </c>
      <c r="AH34" s="158">
        <f t="shared" si="5"/>
        <v>563790.85514333821</v>
      </c>
      <c r="AI34" s="158">
        <f t="shared" si="5"/>
        <v>514469.7731431732</v>
      </c>
      <c r="AJ34" s="158">
        <f t="shared" si="5"/>
        <v>465148.69114300812</v>
      </c>
      <c r="AK34" s="158">
        <f t="shared" si="5"/>
        <v>415827.60914284311</v>
      </c>
      <c r="AL34" s="158">
        <f t="shared" si="5"/>
        <v>366506.52714267804</v>
      </c>
      <c r="AM34" s="158">
        <f t="shared" si="5"/>
        <v>317185.44514251308</v>
      </c>
      <c r="AN34" s="158">
        <f t="shared" si="5"/>
        <v>267864.36314234795</v>
      </c>
      <c r="AO34" s="158">
        <f t="shared" si="5"/>
        <v>218543.281142183</v>
      </c>
      <c r="AP34" s="158">
        <f t="shared" si="5"/>
        <v>169222.19914201795</v>
      </c>
      <c r="AQ34" s="158">
        <f t="shared" si="5"/>
        <v>119901.11714185291</v>
      </c>
      <c r="AR34" s="158">
        <f t="shared" si="5"/>
        <v>70580.035141687884</v>
      </c>
      <c r="AS34" s="158">
        <f t="shared" si="5"/>
        <v>23543.200681773629</v>
      </c>
      <c r="AT34" s="158">
        <f t="shared" si="5"/>
        <v>45919.49414160537</v>
      </c>
      <c r="AU34" s="163">
        <f t="shared" si="3"/>
        <v>46547389.202550098</v>
      </c>
    </row>
    <row r="35" spans="1:47" x14ac:dyDescent="0.25">
      <c r="A35" s="283">
        <f>A34+1</f>
        <v>6</v>
      </c>
      <c r="B35" s="25"/>
      <c r="C35" s="25" t="s">
        <v>58</v>
      </c>
      <c r="D35" s="288"/>
      <c r="E35" s="61">
        <f>E32+E33+E34</f>
        <v>4154093.5225123102</v>
      </c>
      <c r="F35" s="160">
        <f>F32+F33+F34</f>
        <v>4025252.4853663309</v>
      </c>
      <c r="G35" s="160">
        <f>G32+G33+G34</f>
        <v>3882509.6468973691</v>
      </c>
      <c r="H35" s="160">
        <f t="shared" ref="H35:AT35" si="6">H32+H33+H34</f>
        <v>3744373.3688635724</v>
      </c>
      <c r="I35" s="160">
        <f t="shared" si="6"/>
        <v>3610498.8223648053</v>
      </c>
      <c r="J35" s="160">
        <f t="shared" si="6"/>
        <v>3480567.70380094</v>
      </c>
      <c r="K35" s="160">
        <f t="shared" si="6"/>
        <v>3354283.8139885254</v>
      </c>
      <c r="L35" s="160">
        <f t="shared" si="6"/>
        <v>3231373.0581607865</v>
      </c>
      <c r="M35" s="160">
        <f t="shared" si="6"/>
        <v>3110345.598633796</v>
      </c>
      <c r="N35" s="160">
        <f t="shared" si="6"/>
        <v>2989587.8129902473</v>
      </c>
      <c r="O35" s="160">
        <f t="shared" si="6"/>
        <v>2868830.0273466976</v>
      </c>
      <c r="P35" s="160">
        <f t="shared" si="6"/>
        <v>2748072.2417031489</v>
      </c>
      <c r="Q35" s="160">
        <f t="shared" si="6"/>
        <v>2627314.4560595988</v>
      </c>
      <c r="R35" s="160">
        <f t="shared" si="6"/>
        <v>2506556.6704160501</v>
      </c>
      <c r="S35" s="160">
        <f t="shared" si="6"/>
        <v>2385798.8847725</v>
      </c>
      <c r="T35" s="160">
        <f t="shared" si="6"/>
        <v>2265041.0991289509</v>
      </c>
      <c r="U35" s="160">
        <f t="shared" si="6"/>
        <v>2144283.3134854017</v>
      </c>
      <c r="V35" s="160">
        <f t="shared" si="6"/>
        <v>2023525.5278418525</v>
      </c>
      <c r="W35" s="160">
        <f t="shared" si="6"/>
        <v>1902767.7421983029</v>
      </c>
      <c r="X35" s="160">
        <f t="shared" si="6"/>
        <v>1782009.9565547539</v>
      </c>
      <c r="Y35" s="160">
        <f t="shared" si="6"/>
        <v>1671115.1616317946</v>
      </c>
      <c r="Z35" s="160">
        <f t="shared" si="6"/>
        <v>1579941.9272666811</v>
      </c>
      <c r="AA35" s="160">
        <f t="shared" si="6"/>
        <v>1498631.6836221577</v>
      </c>
      <c r="AB35" s="160">
        <f t="shared" si="6"/>
        <v>1417321.4399776345</v>
      </c>
      <c r="AC35" s="160">
        <f t="shared" si="6"/>
        <v>1336011.196333111</v>
      </c>
      <c r="AD35" s="160">
        <f t="shared" si="6"/>
        <v>1254700.9526885871</v>
      </c>
      <c r="AE35" s="160">
        <f t="shared" si="6"/>
        <v>1173390.7090440635</v>
      </c>
      <c r="AF35" s="160">
        <f t="shared" si="6"/>
        <v>1092080.4653995398</v>
      </c>
      <c r="AG35" s="160">
        <f t="shared" si="6"/>
        <v>1010770.2217550161</v>
      </c>
      <c r="AH35" s="160">
        <f t="shared" si="6"/>
        <v>929459.97811049246</v>
      </c>
      <c r="AI35" s="160">
        <f t="shared" si="6"/>
        <v>848149.7344659688</v>
      </c>
      <c r="AJ35" s="160">
        <f t="shared" si="6"/>
        <v>766839.49082144501</v>
      </c>
      <c r="AK35" s="160">
        <f t="shared" si="6"/>
        <v>685529.24717692146</v>
      </c>
      <c r="AL35" s="160">
        <f t="shared" si="6"/>
        <v>604219.00353239756</v>
      </c>
      <c r="AM35" s="160">
        <f t="shared" si="6"/>
        <v>522908.75988787401</v>
      </c>
      <c r="AN35" s="160">
        <f t="shared" si="6"/>
        <v>441598.51624335023</v>
      </c>
      <c r="AO35" s="160">
        <f t="shared" si="6"/>
        <v>360288.27259882662</v>
      </c>
      <c r="AP35" s="160">
        <f t="shared" si="6"/>
        <v>278978.02895430289</v>
      </c>
      <c r="AQ35" s="160">
        <f t="shared" si="6"/>
        <v>197667.7853097792</v>
      </c>
      <c r="AR35" s="160">
        <f t="shared" si="6"/>
        <v>116357.5416652555</v>
      </c>
      <c r="AS35" s="160">
        <f t="shared" si="6"/>
        <v>38813.085722663687</v>
      </c>
      <c r="AT35" s="160">
        <f t="shared" si="6"/>
        <v>75702.419842993666</v>
      </c>
      <c r="AU35" s="163">
        <f t="shared" si="3"/>
        <v>76737561.375136793</v>
      </c>
    </row>
    <row r="36" spans="1:47" x14ac:dyDescent="0.25">
      <c r="A36" s="25"/>
      <c r="B36" s="25"/>
      <c r="C36" s="25"/>
      <c r="D36" s="288"/>
      <c r="E36" s="61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3">
        <f t="shared" si="3"/>
        <v>0</v>
      </c>
    </row>
    <row r="37" spans="1:47" x14ac:dyDescent="0.25">
      <c r="A37" s="283">
        <f>A35+1</f>
        <v>7</v>
      </c>
      <c r="B37" s="25" t="s">
        <v>59</v>
      </c>
      <c r="C37" s="25"/>
      <c r="D37" s="288"/>
      <c r="E37" s="64">
        <f>E27+E29+E35</f>
        <v>6178177.8502265867</v>
      </c>
      <c r="F37" s="157">
        <f>F27+F29+F35</f>
        <v>6028562.16150482</v>
      </c>
      <c r="G37" s="157">
        <f t="shared" ref="G37:AT37" si="7">G27+G29+G35</f>
        <v>5862803.1101907883</v>
      </c>
      <c r="H37" s="157">
        <f t="shared" si="7"/>
        <v>5702393.3926559063</v>
      </c>
      <c r="I37" s="157">
        <f t="shared" si="7"/>
        <v>5546932.5789243849</v>
      </c>
      <c r="J37" s="157">
        <f t="shared" si="7"/>
        <v>5396051.0413262621</v>
      </c>
      <c r="K37" s="157">
        <f t="shared" si="7"/>
        <v>5249404.8207797706</v>
      </c>
      <c r="L37" s="157">
        <f t="shared" si="7"/>
        <v>5106675.6267913338</v>
      </c>
      <c r="M37" s="157">
        <f t="shared" si="7"/>
        <v>4966133.3965168279</v>
      </c>
      <c r="N37" s="157">
        <f t="shared" si="7"/>
        <v>4825904.3230182631</v>
      </c>
      <c r="O37" s="157">
        <f t="shared" si="7"/>
        <v>4685675.2495196965</v>
      </c>
      <c r="P37" s="157">
        <f t="shared" si="7"/>
        <v>4545446.1760211308</v>
      </c>
      <c r="Q37" s="157">
        <f t="shared" si="7"/>
        <v>4405217.1025225641</v>
      </c>
      <c r="R37" s="157">
        <f t="shared" si="7"/>
        <v>4264988.0290239993</v>
      </c>
      <c r="S37" s="157">
        <f t="shared" si="7"/>
        <v>4124758.9555254322</v>
      </c>
      <c r="T37" s="157">
        <f t="shared" si="7"/>
        <v>3984529.8820268661</v>
      </c>
      <c r="U37" s="157">
        <f t="shared" si="7"/>
        <v>3844300.8085283004</v>
      </c>
      <c r="V37" s="157">
        <f t="shared" si="7"/>
        <v>3704071.7350297347</v>
      </c>
      <c r="W37" s="157">
        <f t="shared" si="7"/>
        <v>3563842.6615311685</v>
      </c>
      <c r="X37" s="157">
        <f t="shared" si="7"/>
        <v>3423613.5880326028</v>
      </c>
      <c r="Y37" s="157">
        <f t="shared" si="7"/>
        <v>3294837.8385851737</v>
      </c>
      <c r="Z37" s="157">
        <f t="shared" si="7"/>
        <v>3188963.6035223808</v>
      </c>
      <c r="AA37" s="157">
        <f t="shared" si="7"/>
        <v>3094542.692510725</v>
      </c>
      <c r="AB37" s="157">
        <f t="shared" si="7"/>
        <v>3000121.7814990692</v>
      </c>
      <c r="AC37" s="157">
        <f t="shared" si="7"/>
        <v>2905700.8704874134</v>
      </c>
      <c r="AD37" s="157">
        <f t="shared" si="7"/>
        <v>2811279.9594757571</v>
      </c>
      <c r="AE37" s="157">
        <f t="shared" si="7"/>
        <v>2716859.0484641008</v>
      </c>
      <c r="AF37" s="157">
        <f t="shared" si="7"/>
        <v>2622438.137452445</v>
      </c>
      <c r="AG37" s="157">
        <f t="shared" si="7"/>
        <v>2528017.2264407887</v>
      </c>
      <c r="AH37" s="157">
        <f t="shared" si="7"/>
        <v>2433596.3154291324</v>
      </c>
      <c r="AI37" s="157">
        <f t="shared" si="7"/>
        <v>2339175.4044174766</v>
      </c>
      <c r="AJ37" s="157">
        <f t="shared" si="7"/>
        <v>2244754.4934058203</v>
      </c>
      <c r="AK37" s="157">
        <f t="shared" si="7"/>
        <v>2150333.5823941641</v>
      </c>
      <c r="AL37" s="157">
        <f t="shared" si="7"/>
        <v>2055912.6713825078</v>
      </c>
      <c r="AM37" s="157">
        <f t="shared" si="7"/>
        <v>1961491.760370852</v>
      </c>
      <c r="AN37" s="157">
        <f t="shared" si="7"/>
        <v>1867070.8493591954</v>
      </c>
      <c r="AO37" s="157">
        <f t="shared" si="7"/>
        <v>1772649.9383475394</v>
      </c>
      <c r="AP37" s="157">
        <f t="shared" si="7"/>
        <v>1678229.0273358831</v>
      </c>
      <c r="AQ37" s="157">
        <f t="shared" si="7"/>
        <v>1583808.1163242271</v>
      </c>
      <c r="AR37" s="157">
        <f t="shared" si="7"/>
        <v>1489387.205312571</v>
      </c>
      <c r="AS37" s="157">
        <f t="shared" si="7"/>
        <v>1273896.6587330138</v>
      </c>
      <c r="AT37" s="157">
        <f t="shared" si="7"/>
        <v>87908.867652787492</v>
      </c>
      <c r="AU37" s="163">
        <f t="shared" si="3"/>
        <v>144510458.5385994</v>
      </c>
    </row>
    <row r="38" spans="1:47" x14ac:dyDescent="0.25">
      <c r="A38" s="283">
        <f>A37+1</f>
        <v>8</v>
      </c>
      <c r="B38" s="25" t="s">
        <v>60</v>
      </c>
      <c r="C38" s="25"/>
      <c r="D38" s="288"/>
      <c r="E38" s="63">
        <f t="shared" ref="E38:AT38" si="8">E37/(1-$F16)-E37</f>
        <v>294249.49182431865</v>
      </c>
      <c r="F38" s="158">
        <f t="shared" si="8"/>
        <v>287123.71114228293</v>
      </c>
      <c r="G38" s="158">
        <f t="shared" si="8"/>
        <v>279229.06683180109</v>
      </c>
      <c r="H38" s="158">
        <f t="shared" si="8"/>
        <v>271589.19646669179</v>
      </c>
      <c r="I38" s="158">
        <f t="shared" si="8"/>
        <v>264185.02867676318</v>
      </c>
      <c r="J38" s="158">
        <f t="shared" si="8"/>
        <v>256998.95912030153</v>
      </c>
      <c r="K38" s="158">
        <f t="shared" si="8"/>
        <v>250014.60597932152</v>
      </c>
      <c r="L38" s="158">
        <f t="shared" si="8"/>
        <v>243216.80995956995</v>
      </c>
      <c r="M38" s="158">
        <f t="shared" si="8"/>
        <v>236523.17296162993</v>
      </c>
      <c r="N38" s="158">
        <f t="shared" si="8"/>
        <v>229844.45075319801</v>
      </c>
      <c r="O38" s="158">
        <f t="shared" si="8"/>
        <v>223165.72854476701</v>
      </c>
      <c r="P38" s="158">
        <f t="shared" si="8"/>
        <v>216487.00633633509</v>
      </c>
      <c r="Q38" s="158">
        <f t="shared" si="8"/>
        <v>209808.28412790317</v>
      </c>
      <c r="R38" s="158">
        <f t="shared" si="8"/>
        <v>203129.56191947218</v>
      </c>
      <c r="S38" s="158">
        <f t="shared" si="8"/>
        <v>196450.83971104072</v>
      </c>
      <c r="T38" s="158">
        <f t="shared" si="8"/>
        <v>189772.1175026088</v>
      </c>
      <c r="U38" s="158">
        <f t="shared" si="8"/>
        <v>183093.39529417735</v>
      </c>
      <c r="V38" s="158">
        <f t="shared" si="8"/>
        <v>176414.67308574589</v>
      </c>
      <c r="W38" s="158">
        <f t="shared" si="8"/>
        <v>169735.95087731443</v>
      </c>
      <c r="X38" s="158">
        <f t="shared" si="8"/>
        <v>163057.22866888298</v>
      </c>
      <c r="Y38" s="158">
        <f t="shared" si="8"/>
        <v>156923.99654886359</v>
      </c>
      <c r="Z38" s="158">
        <f t="shared" si="8"/>
        <v>151881.50010092277</v>
      </c>
      <c r="AA38" s="158">
        <f t="shared" si="8"/>
        <v>147384.49374139402</v>
      </c>
      <c r="AB38" s="158">
        <f t="shared" si="8"/>
        <v>142887.48738186527</v>
      </c>
      <c r="AC38" s="158">
        <f t="shared" si="8"/>
        <v>138390.48102233605</v>
      </c>
      <c r="AD38" s="158">
        <f t="shared" si="8"/>
        <v>133893.4746628073</v>
      </c>
      <c r="AE38" s="158">
        <f t="shared" si="8"/>
        <v>129396.46830327855</v>
      </c>
      <c r="AF38" s="158">
        <f t="shared" si="8"/>
        <v>124899.4619437498</v>
      </c>
      <c r="AG38" s="158">
        <f t="shared" si="8"/>
        <v>120402.45558422105</v>
      </c>
      <c r="AH38" s="158">
        <f t="shared" si="8"/>
        <v>115905.4492246923</v>
      </c>
      <c r="AI38" s="158">
        <f t="shared" si="8"/>
        <v>111408.44286516355</v>
      </c>
      <c r="AJ38" s="158">
        <f t="shared" si="8"/>
        <v>106911.43650563434</v>
      </c>
      <c r="AK38" s="158">
        <f t="shared" si="8"/>
        <v>102414.43014610559</v>
      </c>
      <c r="AL38" s="158">
        <f t="shared" si="8"/>
        <v>97917.423786576837</v>
      </c>
      <c r="AM38" s="158">
        <f t="shared" si="8"/>
        <v>93420.417427048087</v>
      </c>
      <c r="AN38" s="158">
        <f t="shared" si="8"/>
        <v>88923.411067519337</v>
      </c>
      <c r="AO38" s="158">
        <f t="shared" si="8"/>
        <v>84426.404707990587</v>
      </c>
      <c r="AP38" s="158">
        <f t="shared" si="8"/>
        <v>79929.398348461604</v>
      </c>
      <c r="AQ38" s="158">
        <f t="shared" si="8"/>
        <v>75432.391988932854</v>
      </c>
      <c r="AR38" s="158">
        <f t="shared" si="8"/>
        <v>70935.385629404103</v>
      </c>
      <c r="AS38" s="158">
        <f t="shared" si="8"/>
        <v>60672.168000980979</v>
      </c>
      <c r="AT38" s="158">
        <f t="shared" si="8"/>
        <v>4186.8557786395395</v>
      </c>
      <c r="AU38" s="163">
        <f t="shared" si="3"/>
        <v>6882632.7145507121</v>
      </c>
    </row>
    <row r="39" spans="1:47" x14ac:dyDescent="0.25">
      <c r="A39" s="283">
        <f>A38+1</f>
        <v>9</v>
      </c>
      <c r="B39" s="25"/>
      <c r="C39" s="25" t="s">
        <v>61</v>
      </c>
      <c r="D39" s="288"/>
      <c r="E39" s="64">
        <f>SUM(E37:E38)</f>
        <v>6472427.3420509053</v>
      </c>
      <c r="F39" s="157">
        <f t="shared" ref="F39:AT39" si="9">SUM(F37:F38)</f>
        <v>6315685.8726471029</v>
      </c>
      <c r="G39" s="157">
        <f t="shared" si="9"/>
        <v>6142032.1770225894</v>
      </c>
      <c r="H39" s="157">
        <f t="shared" si="9"/>
        <v>5973982.5891225981</v>
      </c>
      <c r="I39" s="157">
        <f t="shared" si="9"/>
        <v>5811117.6076011481</v>
      </c>
      <c r="J39" s="157">
        <f t="shared" si="9"/>
        <v>5653050.0004465636</v>
      </c>
      <c r="K39" s="157">
        <f t="shared" si="9"/>
        <v>5499419.4267590921</v>
      </c>
      <c r="L39" s="157">
        <f t="shared" si="9"/>
        <v>5349892.4367509037</v>
      </c>
      <c r="M39" s="157">
        <f t="shared" si="9"/>
        <v>5202656.5694784578</v>
      </c>
      <c r="N39" s="157">
        <f t="shared" si="9"/>
        <v>5055748.7737714611</v>
      </c>
      <c r="O39" s="157">
        <f t="shared" si="9"/>
        <v>4908840.9780644635</v>
      </c>
      <c r="P39" s="157">
        <f t="shared" si="9"/>
        <v>4761933.1823574658</v>
      </c>
      <c r="Q39" s="157">
        <f t="shared" si="9"/>
        <v>4615025.3866504673</v>
      </c>
      <c r="R39" s="157">
        <f t="shared" si="9"/>
        <v>4468117.5909434715</v>
      </c>
      <c r="S39" s="157">
        <f t="shared" si="9"/>
        <v>4321209.795236473</v>
      </c>
      <c r="T39" s="157">
        <f t="shared" si="9"/>
        <v>4174301.9995294749</v>
      </c>
      <c r="U39" s="157">
        <f t="shared" si="9"/>
        <v>4027394.2038224777</v>
      </c>
      <c r="V39" s="157">
        <f t="shared" si="9"/>
        <v>3880486.4081154806</v>
      </c>
      <c r="W39" s="157">
        <f t="shared" si="9"/>
        <v>3733578.6124084829</v>
      </c>
      <c r="X39" s="157">
        <f t="shared" si="9"/>
        <v>3586670.8167014858</v>
      </c>
      <c r="Y39" s="157">
        <f t="shared" si="9"/>
        <v>3451761.8351340373</v>
      </c>
      <c r="Z39" s="157">
        <f t="shared" si="9"/>
        <v>3340845.1036233036</v>
      </c>
      <c r="AA39" s="157">
        <f t="shared" si="9"/>
        <v>3241927.186252119</v>
      </c>
      <c r="AB39" s="157">
        <f t="shared" si="9"/>
        <v>3143009.2688809345</v>
      </c>
      <c r="AC39" s="157">
        <f t="shared" si="9"/>
        <v>3044091.3515097494</v>
      </c>
      <c r="AD39" s="157">
        <f t="shared" si="9"/>
        <v>2945173.4341385644</v>
      </c>
      <c r="AE39" s="157">
        <f t="shared" si="9"/>
        <v>2846255.5167673794</v>
      </c>
      <c r="AF39" s="157">
        <f t="shared" si="9"/>
        <v>2747337.5993961948</v>
      </c>
      <c r="AG39" s="157">
        <f t="shared" si="9"/>
        <v>2648419.6820250098</v>
      </c>
      <c r="AH39" s="157">
        <f t="shared" si="9"/>
        <v>2549501.7646538247</v>
      </c>
      <c r="AI39" s="157">
        <f t="shared" si="9"/>
        <v>2450583.8472826402</v>
      </c>
      <c r="AJ39" s="157">
        <f t="shared" si="9"/>
        <v>2351665.9299114547</v>
      </c>
      <c r="AK39" s="157">
        <f t="shared" si="9"/>
        <v>2252748.0125402696</v>
      </c>
      <c r="AL39" s="157">
        <f t="shared" si="9"/>
        <v>2153830.0951690846</v>
      </c>
      <c r="AM39" s="157">
        <f t="shared" si="9"/>
        <v>2054912.1777979</v>
      </c>
      <c r="AN39" s="157">
        <f t="shared" si="9"/>
        <v>1955994.2604267148</v>
      </c>
      <c r="AO39" s="157">
        <f t="shared" si="9"/>
        <v>1857076.34305553</v>
      </c>
      <c r="AP39" s="157">
        <f t="shared" si="9"/>
        <v>1758158.4256843447</v>
      </c>
      <c r="AQ39" s="157">
        <f t="shared" si="9"/>
        <v>1659240.5083131599</v>
      </c>
      <c r="AR39" s="157">
        <f t="shared" si="9"/>
        <v>1560322.5909419751</v>
      </c>
      <c r="AS39" s="157">
        <f t="shared" si="9"/>
        <v>1334568.8267339948</v>
      </c>
      <c r="AT39" s="157">
        <f t="shared" si="9"/>
        <v>92095.723431427032</v>
      </c>
      <c r="AU39" s="163">
        <f t="shared" si="3"/>
        <v>151393091.25315019</v>
      </c>
    </row>
    <row r="40" spans="1:47" x14ac:dyDescent="0.25">
      <c r="A40" s="283">
        <f t="shared" ref="A40:A66" si="10">A39+1</f>
        <v>10</v>
      </c>
      <c r="B40" s="25"/>
      <c r="C40" s="25"/>
      <c r="D40" s="288"/>
      <c r="E40" s="64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63">
        <f t="shared" si="3"/>
        <v>0</v>
      </c>
    </row>
    <row r="41" spans="1:47" x14ac:dyDescent="0.25">
      <c r="A41" s="283">
        <f t="shared" si="10"/>
        <v>11</v>
      </c>
      <c r="B41" s="25"/>
      <c r="C41" s="25"/>
      <c r="D41" s="288"/>
      <c r="E41" s="61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3">
        <f t="shared" si="3"/>
        <v>0</v>
      </c>
    </row>
    <row r="42" spans="1:47" x14ac:dyDescent="0.25">
      <c r="A42" s="283">
        <f t="shared" si="10"/>
        <v>12</v>
      </c>
      <c r="B42" s="25" t="s">
        <v>62</v>
      </c>
      <c r="C42" s="25"/>
      <c r="D42" s="288"/>
      <c r="E42" s="63">
        <f>E39</f>
        <v>6472427.3420509053</v>
      </c>
      <c r="F42" s="158">
        <f>F39</f>
        <v>6315685.8726471029</v>
      </c>
      <c r="G42" s="158">
        <f t="shared" ref="G42:AT42" si="11">G39</f>
        <v>6142032.1770225894</v>
      </c>
      <c r="H42" s="158">
        <f t="shared" si="11"/>
        <v>5973982.5891225981</v>
      </c>
      <c r="I42" s="158">
        <f t="shared" si="11"/>
        <v>5811117.6076011481</v>
      </c>
      <c r="J42" s="158">
        <f t="shared" si="11"/>
        <v>5653050.0004465636</v>
      </c>
      <c r="K42" s="158">
        <f t="shared" si="11"/>
        <v>5499419.4267590921</v>
      </c>
      <c r="L42" s="158">
        <f t="shared" si="11"/>
        <v>5349892.4367509037</v>
      </c>
      <c r="M42" s="158">
        <f t="shared" si="11"/>
        <v>5202656.5694784578</v>
      </c>
      <c r="N42" s="158">
        <f t="shared" si="11"/>
        <v>5055748.7737714611</v>
      </c>
      <c r="O42" s="158">
        <f t="shared" si="11"/>
        <v>4908840.9780644635</v>
      </c>
      <c r="P42" s="158">
        <f t="shared" si="11"/>
        <v>4761933.1823574658</v>
      </c>
      <c r="Q42" s="158">
        <f t="shared" si="11"/>
        <v>4615025.3866504673</v>
      </c>
      <c r="R42" s="158">
        <f t="shared" si="11"/>
        <v>4468117.5909434715</v>
      </c>
      <c r="S42" s="158">
        <f t="shared" si="11"/>
        <v>4321209.795236473</v>
      </c>
      <c r="T42" s="158">
        <f t="shared" si="11"/>
        <v>4174301.9995294749</v>
      </c>
      <c r="U42" s="158">
        <f t="shared" si="11"/>
        <v>4027394.2038224777</v>
      </c>
      <c r="V42" s="158">
        <f t="shared" si="11"/>
        <v>3880486.4081154806</v>
      </c>
      <c r="W42" s="158">
        <f t="shared" si="11"/>
        <v>3733578.6124084829</v>
      </c>
      <c r="X42" s="158">
        <f t="shared" si="11"/>
        <v>3586670.8167014858</v>
      </c>
      <c r="Y42" s="158">
        <f t="shared" si="11"/>
        <v>3451761.8351340373</v>
      </c>
      <c r="Z42" s="158">
        <f t="shared" si="11"/>
        <v>3340845.1036233036</v>
      </c>
      <c r="AA42" s="158">
        <f t="shared" si="11"/>
        <v>3241927.186252119</v>
      </c>
      <c r="AB42" s="158">
        <f t="shared" si="11"/>
        <v>3143009.2688809345</v>
      </c>
      <c r="AC42" s="158">
        <f t="shared" si="11"/>
        <v>3044091.3515097494</v>
      </c>
      <c r="AD42" s="158">
        <f t="shared" si="11"/>
        <v>2945173.4341385644</v>
      </c>
      <c r="AE42" s="158">
        <f t="shared" si="11"/>
        <v>2846255.5167673794</v>
      </c>
      <c r="AF42" s="158">
        <f t="shared" si="11"/>
        <v>2747337.5993961948</v>
      </c>
      <c r="AG42" s="158">
        <f t="shared" si="11"/>
        <v>2648419.6820250098</v>
      </c>
      <c r="AH42" s="158">
        <f t="shared" si="11"/>
        <v>2549501.7646538247</v>
      </c>
      <c r="AI42" s="158">
        <f t="shared" si="11"/>
        <v>2450583.8472826402</v>
      </c>
      <c r="AJ42" s="158">
        <f t="shared" si="11"/>
        <v>2351665.9299114547</v>
      </c>
      <c r="AK42" s="158">
        <f t="shared" si="11"/>
        <v>2252748.0125402696</v>
      </c>
      <c r="AL42" s="158">
        <f t="shared" si="11"/>
        <v>2153830.0951690846</v>
      </c>
      <c r="AM42" s="158">
        <f t="shared" si="11"/>
        <v>2054912.1777979</v>
      </c>
      <c r="AN42" s="158">
        <f t="shared" si="11"/>
        <v>1955994.2604267148</v>
      </c>
      <c r="AO42" s="158">
        <f t="shared" si="11"/>
        <v>1857076.34305553</v>
      </c>
      <c r="AP42" s="158">
        <f t="shared" si="11"/>
        <v>1758158.4256843447</v>
      </c>
      <c r="AQ42" s="158">
        <f t="shared" si="11"/>
        <v>1659240.5083131599</v>
      </c>
      <c r="AR42" s="158">
        <f t="shared" si="11"/>
        <v>1560322.5909419751</v>
      </c>
      <c r="AS42" s="158">
        <f t="shared" si="11"/>
        <v>1334568.8267339948</v>
      </c>
      <c r="AT42" s="158">
        <f t="shared" si="11"/>
        <v>92095.723431427032</v>
      </c>
      <c r="AU42" s="163">
        <f t="shared" si="3"/>
        <v>151393091.25315019</v>
      </c>
    </row>
    <row r="43" spans="1:47" x14ac:dyDescent="0.25">
      <c r="A43" s="283">
        <f t="shared" si="10"/>
        <v>13</v>
      </c>
      <c r="B43" s="25"/>
      <c r="C43" s="25"/>
      <c r="D43" s="288"/>
      <c r="E43" s="138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</row>
    <row r="44" spans="1:47" outlineLevel="1" x14ac:dyDescent="0.25">
      <c r="A44" s="283">
        <f t="shared" si="10"/>
        <v>14</v>
      </c>
      <c r="B44" s="25"/>
      <c r="C44" s="25"/>
      <c r="D44" s="288"/>
      <c r="E44" s="66"/>
      <c r="F44" s="288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</row>
    <row r="45" spans="1:47" outlineLevel="1" x14ac:dyDescent="0.25">
      <c r="A45" s="283">
        <f t="shared" si="10"/>
        <v>15</v>
      </c>
      <c r="B45" s="25" t="s">
        <v>63</v>
      </c>
      <c r="C45" s="288"/>
      <c r="D45" s="288"/>
      <c r="E45" s="68">
        <f>+E42/$F$22</f>
        <v>0.11683178739321196</v>
      </c>
      <c r="F45" s="159">
        <f t="shared" ref="F45:AT45" si="12">+F42/$F$22</f>
        <v>0.1140024955276841</v>
      </c>
      <c r="G45" s="159">
        <f t="shared" si="12"/>
        <v>0.11086792628880872</v>
      </c>
      <c r="H45" s="159">
        <f t="shared" si="12"/>
        <v>0.10783451506803055</v>
      </c>
      <c r="I45" s="159">
        <f t="shared" si="12"/>
        <v>0.10489468957608704</v>
      </c>
      <c r="J45" s="159">
        <f t="shared" si="12"/>
        <v>0.10204146000750504</v>
      </c>
      <c r="K45" s="159">
        <f t="shared" si="12"/>
        <v>9.9268321959969333E-2</v>
      </c>
      <c r="L45" s="159">
        <f t="shared" si="12"/>
        <v>9.6569256434322487E-2</v>
      </c>
      <c r="M45" s="159">
        <f t="shared" si="12"/>
        <v>9.3911547257724937E-2</v>
      </c>
      <c r="N45" s="159">
        <f t="shared" si="12"/>
        <v>9.1259759999653273E-2</v>
      </c>
      <c r="O45" s="159">
        <f t="shared" si="12"/>
        <v>8.8607972741581595E-2</v>
      </c>
      <c r="P45" s="159">
        <f t="shared" si="12"/>
        <v>8.5956185483509903E-2</v>
      </c>
      <c r="Q45" s="159">
        <f t="shared" si="12"/>
        <v>8.3304398225438211E-2</v>
      </c>
      <c r="R45" s="159">
        <f t="shared" si="12"/>
        <v>8.0652610967366561E-2</v>
      </c>
      <c r="S45" s="159">
        <f t="shared" si="12"/>
        <v>7.8000823709294856E-2</v>
      </c>
      <c r="T45" s="159">
        <f t="shared" si="12"/>
        <v>7.5349036451223164E-2</v>
      </c>
      <c r="U45" s="159">
        <f t="shared" si="12"/>
        <v>7.2697249193151486E-2</v>
      </c>
      <c r="V45" s="159">
        <f t="shared" si="12"/>
        <v>7.0045461935079822E-2</v>
      </c>
      <c r="W45" s="159">
        <f t="shared" si="12"/>
        <v>6.7393674677008131E-2</v>
      </c>
      <c r="X45" s="159">
        <f t="shared" si="12"/>
        <v>6.4741887418936453E-2</v>
      </c>
      <c r="Y45" s="159">
        <f t="shared" si="12"/>
        <v>6.2306687049900174E-2</v>
      </c>
      <c r="Z45" s="159">
        <f t="shared" si="12"/>
        <v>6.0304563378303137E-2</v>
      </c>
      <c r="AA45" s="159">
        <f t="shared" si="12"/>
        <v>5.85190265957415E-2</v>
      </c>
      <c r="AB45" s="159">
        <f t="shared" si="12"/>
        <v>5.6733489813179862E-2</v>
      </c>
      <c r="AC45" s="159">
        <f t="shared" si="12"/>
        <v>5.4947953030618217E-2</v>
      </c>
      <c r="AD45" s="159">
        <f t="shared" si="12"/>
        <v>5.3162416248056572E-2</v>
      </c>
      <c r="AE45" s="159">
        <f t="shared" si="12"/>
        <v>5.1376879465494928E-2</v>
      </c>
      <c r="AF45" s="159">
        <f t="shared" si="12"/>
        <v>4.959134268293329E-2</v>
      </c>
      <c r="AG45" s="159">
        <f t="shared" si="12"/>
        <v>4.7805805900371645E-2</v>
      </c>
      <c r="AH45" s="159">
        <f t="shared" si="12"/>
        <v>4.602026911781E-2</v>
      </c>
      <c r="AI45" s="159">
        <f t="shared" si="12"/>
        <v>4.4234732335248363E-2</v>
      </c>
      <c r="AJ45" s="159">
        <f t="shared" si="12"/>
        <v>4.2449195552686711E-2</v>
      </c>
      <c r="AK45" s="159">
        <f t="shared" si="12"/>
        <v>4.0663658770125066E-2</v>
      </c>
      <c r="AL45" s="159">
        <f t="shared" si="12"/>
        <v>3.8878121987563415E-2</v>
      </c>
      <c r="AM45" s="159">
        <f t="shared" si="12"/>
        <v>3.7092585205001784E-2</v>
      </c>
      <c r="AN45" s="159">
        <f t="shared" si="12"/>
        <v>3.5307048422440132E-2</v>
      </c>
      <c r="AO45" s="159">
        <f t="shared" si="12"/>
        <v>3.3521511639878487E-2</v>
      </c>
      <c r="AP45" s="159">
        <f t="shared" si="12"/>
        <v>3.1735974857316843E-2</v>
      </c>
      <c r="AQ45" s="159">
        <f t="shared" si="12"/>
        <v>2.9950438074755198E-2</v>
      </c>
      <c r="AR45" s="159">
        <f t="shared" si="12"/>
        <v>2.8164901292193557E-2</v>
      </c>
      <c r="AS45" s="159">
        <f t="shared" si="12"/>
        <v>2.4089889802793571E-2</v>
      </c>
      <c r="AT45" s="159">
        <f t="shared" si="12"/>
        <v>1.6623914663142629E-3</v>
      </c>
    </row>
    <row r="46" spans="1:47" outlineLevel="1" x14ac:dyDescent="0.25">
      <c r="A46" s="283">
        <f t="shared" si="10"/>
        <v>16</v>
      </c>
      <c r="B46" s="25"/>
      <c r="C46" s="25"/>
      <c r="D46" s="288"/>
      <c r="E46" s="66"/>
      <c r="F46" s="288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</row>
    <row r="47" spans="1:47" outlineLevel="1" x14ac:dyDescent="0.25">
      <c r="A47" s="283">
        <f t="shared" si="10"/>
        <v>17</v>
      </c>
      <c r="B47" s="25"/>
      <c r="C47" s="25"/>
      <c r="D47" s="288"/>
      <c r="E47" s="66">
        <f>+E27/2</f>
        <v>677133.94107697764</v>
      </c>
      <c r="F47" s="15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</row>
    <row r="48" spans="1:47" outlineLevel="1" x14ac:dyDescent="0.25">
      <c r="A48" s="283">
        <f t="shared" si="10"/>
        <v>18</v>
      </c>
      <c r="B48" s="25"/>
      <c r="C48" s="25"/>
      <c r="D48" s="288"/>
      <c r="E48" s="66">
        <f>+E60/2</f>
        <v>63281.302708403877</v>
      </c>
      <c r="F48" s="15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</row>
    <row r="49" spans="1:47" x14ac:dyDescent="0.25">
      <c r="A49" s="283">
        <f t="shared" si="10"/>
        <v>19</v>
      </c>
      <c r="B49" s="69" t="s">
        <v>64</v>
      </c>
      <c r="C49" s="25"/>
      <c r="D49" s="288"/>
      <c r="E49" s="64">
        <f>F22-E27/2-E60/2</f>
        <v>54659125.29621461</v>
      </c>
      <c r="F49" s="176">
        <f>$F$22-(SUM($E$27:E27)+F27/2)-(SUM($E$60:E60)+F60/2)</f>
        <v>52963848.491662249</v>
      </c>
      <c r="G49" s="176">
        <f>$F$22-(SUM($E$27:F27)+G27/2)-(SUM($E$60:F60)+G60/2)</f>
        <v>51085653.24864959</v>
      </c>
      <c r="H49" s="176">
        <f>$F$22-(SUM($E$27:G27)+H27/2)-(SUM($E$60:G60)+H60/2)</f>
        <v>49268070.642941743</v>
      </c>
      <c r="I49" s="176">
        <f>$F$22-(SUM($E$27:H27)+I27/2)-(SUM($E$60:H60)+I60/2)</f>
        <v>47506563.452168494</v>
      </c>
      <c r="J49" s="176">
        <f>$F$22-(SUM($E$27:I27)+J27/2)-(SUM($E$60:I60)+J60/2)</f>
        <v>45796943.471065</v>
      </c>
      <c r="K49" s="176">
        <f>$F$22-(SUM($E$27:J27)+K27/2)-(SUM($E$60:J60)+K60/2)</f>
        <v>44135313.341954283</v>
      </c>
      <c r="L49" s="176">
        <f>$F$22-(SUM($E$27:K27)+L27/2)-(SUM($E$60:K60)+L60/2)</f>
        <v>42518066.554747187</v>
      </c>
      <c r="M49" s="176">
        <f>$F$22-(SUM($E$27:L27)+M27/2)-(SUM($E$60:L60)+M60/2)</f>
        <v>40925599.982023634</v>
      </c>
      <c r="N49" s="176">
        <f>$F$22-(SUM($E$27:M27)+N27/2)-(SUM($E$60:M60)+N60/2)</f>
        <v>39336681.749871671</v>
      </c>
      <c r="O49" s="176">
        <f>$F$22-(SUM($E$27:N27)+O27/2)-(SUM($E$60:N60)+O60/2)</f>
        <v>37747763.517719708</v>
      </c>
      <c r="P49" s="176">
        <f>$F$22-(SUM($E$27:O27)+P27/2)-(SUM($E$60:O60)+P60/2)</f>
        <v>36158845.285567746</v>
      </c>
      <c r="Q49" s="176">
        <f>$F$22-(SUM($E$27:P27)+Q27/2)-(SUM($E$60:P60)+Q60/2)</f>
        <v>34569927.053415775</v>
      </c>
      <c r="R49" s="176">
        <f>$F$22-(SUM($E$27:Q27)+R27/2)-(SUM($E$60:Q60)+R60/2)</f>
        <v>32981008.821263816</v>
      </c>
      <c r="S49" s="176">
        <f>$F$22-(SUM($E$27:R27)+S27/2)-(SUM($E$60:R60)+S60/2)</f>
        <v>31392090.589111846</v>
      </c>
      <c r="T49" s="176">
        <f>$F$22-(SUM($E$27:S27)+T27/2)-(SUM($E$60:S60)+T60/2)</f>
        <v>29803172.356959879</v>
      </c>
      <c r="U49" s="176">
        <f>$F$22-(SUM($E$27:T27)+U27/2)-(SUM($E$60:T60)+U60/2)</f>
        <v>28214254.124807917</v>
      </c>
      <c r="V49" s="176">
        <f>$F$22-(SUM($E$27:U27)+V27/2)-(SUM($E$60:U60)+V60/2)</f>
        <v>26625335.892655954</v>
      </c>
      <c r="W49" s="176">
        <f>$F$22-(SUM($E$27:V27)+W27/2)-(SUM($E$60:V60)+W60/2)</f>
        <v>25036417.660503987</v>
      </c>
      <c r="X49" s="176">
        <f>$F$22-(SUM($E$27:W27)+X27/2)-(SUM($E$60:W60)+X60/2)</f>
        <v>23447499.428352024</v>
      </c>
      <c r="Y49" s="176">
        <f>$F$22-(SUM($E$27:X27)+Y27/2)-(SUM($E$60:X60)+Y60/2)</f>
        <v>21988357.389892034</v>
      </c>
      <c r="Z49" s="176">
        <f>$F$22-(SUM($E$27:Y27)+Z27/2)-(SUM($E$60:Y60)+Z60/2)</f>
        <v>20788709.569298435</v>
      </c>
      <c r="AA49" s="176">
        <f>$F$22-(SUM($E$27:Z27)+AA27/2)-(SUM($E$60:Z60)+AA60/2)</f>
        <v>19718837.942396812</v>
      </c>
      <c r="AB49" s="176">
        <f>$F$22-(SUM($E$27:AA27)+AB27/2)-(SUM($E$60:AA60)+AB60/2)</f>
        <v>18648966.315495189</v>
      </c>
      <c r="AC49" s="176">
        <f>$F$22-(SUM($E$27:AB27)+AC27/2)-(SUM($E$60:AB60)+AC60/2)</f>
        <v>17579094.688593566</v>
      </c>
      <c r="AD49" s="176">
        <f>$F$22-(SUM($E$27:AC27)+AD27/2)-(SUM($E$60:AC60)+AD60/2)</f>
        <v>16509223.061691936</v>
      </c>
      <c r="AE49" s="176">
        <f>$F$22-(SUM($E$27:AD27)+AE27/2)-(SUM($E$60:AD60)+AE60/2)</f>
        <v>15439351.43479031</v>
      </c>
      <c r="AF49" s="176">
        <f>$F$22-(SUM($E$27:AE27)+AF27/2)-(SUM($E$60:AE60)+AF60/2)</f>
        <v>14369479.807888681</v>
      </c>
      <c r="AG49" s="176">
        <f>$F$22-(SUM($E$27:AF27)+AG27/2)-(SUM($E$60:AF60)+AG60/2)</f>
        <v>13299608.180987054</v>
      </c>
      <c r="AH49" s="176">
        <f>$F$22-(SUM($E$27:AG27)+AH27/2)-(SUM($E$60:AG60)+AH60/2)</f>
        <v>12229736.554085426</v>
      </c>
      <c r="AI49" s="176">
        <f>$F$22-(SUM($E$27:AH27)+AI27/2)-(SUM($E$60:AH60)+AI60/2)</f>
        <v>11159864.927183799</v>
      </c>
      <c r="AJ49" s="176">
        <f>$F$22-(SUM($E$27:AI27)+AJ27/2)-(SUM($E$60:AI60)+AJ60/2)</f>
        <v>10089993.300282171</v>
      </c>
      <c r="AK49" s="176">
        <f>$F$22-(SUM($E$27:AJ27)+AK27/2)-(SUM($E$60:AJ60)+AK60/2)</f>
        <v>9020121.6733805444</v>
      </c>
      <c r="AL49" s="176">
        <f>$F$22-(SUM($E$27:AK27)+AL27/2)-(SUM($E$60:AK60)+AL60/2)</f>
        <v>7950250.046478916</v>
      </c>
      <c r="AM49" s="176">
        <f>$F$22-(SUM($E$27:AL27)+AM27/2)-(SUM($E$60:AL60)+AM60/2)</f>
        <v>6880378.4195772894</v>
      </c>
      <c r="AN49" s="176">
        <f>$F$22-(SUM($E$27:AM27)+AN27/2)-(SUM($E$60:AM60)+AN60/2)</f>
        <v>5810506.7926756609</v>
      </c>
      <c r="AO49" s="176">
        <f>$F$22-(SUM($E$27:AN27)+AO27/2)-(SUM($E$60:AN60)+AO60/2)</f>
        <v>4740635.1657740343</v>
      </c>
      <c r="AP49" s="176">
        <f>$F$22-(SUM($E$27:AO27)+AP27/2)-(SUM($E$60:AO60)+AP60/2)</f>
        <v>3670763.5388724064</v>
      </c>
      <c r="AQ49" s="176">
        <f>$F$22-(SUM($E$27:AP27)+AQ27/2)-(SUM($E$60:AP60)+AQ60/2)</f>
        <v>2600891.9119707788</v>
      </c>
      <c r="AR49" s="176">
        <f>$F$22-(SUM($E$27:AQ27)+AR27/2)-(SUM($E$60:AQ60)+AR60/2)</f>
        <v>1531020.2850691513</v>
      </c>
      <c r="AS49" s="176">
        <f>$F$22-(SUM($E$27:AR27)+AS27/2)-(SUM($E$60:AR60)+AS60/2)</f>
        <v>510698.49635083793</v>
      </c>
      <c r="AT49" s="176">
        <f>$F$22-(SUM($E$27:AR27)+AT27/2)-(SUM($E$60:AR60)+AT60/2)</f>
        <v>996084.47161833767</v>
      </c>
      <c r="AU49" s="163">
        <f t="shared" ref="AU49:AU60" si="13">SUM(D49:AT49)</f>
        <v>1009704754.9360095</v>
      </c>
    </row>
    <row r="50" spans="1:47" x14ac:dyDescent="0.25">
      <c r="A50" s="283">
        <f t="shared" si="10"/>
        <v>20</v>
      </c>
      <c r="B50" s="25"/>
      <c r="C50" s="25"/>
      <c r="D50" s="288"/>
      <c r="E50" s="14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3">
        <f t="shared" si="13"/>
        <v>0</v>
      </c>
    </row>
    <row r="51" spans="1:47" x14ac:dyDescent="0.25">
      <c r="A51" s="283">
        <f t="shared" si="10"/>
        <v>21</v>
      </c>
      <c r="B51" s="25"/>
      <c r="C51" s="25"/>
      <c r="D51" s="288"/>
      <c r="E51" s="61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3">
        <f t="shared" si="13"/>
        <v>0</v>
      </c>
    </row>
    <row r="52" spans="1:47" x14ac:dyDescent="0.25">
      <c r="A52" s="283">
        <f t="shared" si="10"/>
        <v>22</v>
      </c>
      <c r="B52" s="25" t="s">
        <v>65</v>
      </c>
      <c r="C52" s="25"/>
      <c r="D52" s="288"/>
      <c r="E52" s="61">
        <f>(E34)/(1-$F$15)</f>
        <v>3189602.1217158143</v>
      </c>
      <c r="F52" s="160">
        <f t="shared" ref="F52:AT52" si="14">(F34)/(1-$F$15)</f>
        <v>3090675.2094501639</v>
      </c>
      <c r="G52" s="160">
        <f t="shared" si="14"/>
        <v>2981074.1959022102</v>
      </c>
      <c r="H52" s="160">
        <f t="shared" si="14"/>
        <v>2875010.1982779931</v>
      </c>
      <c r="I52" s="160">
        <f t="shared" si="14"/>
        <v>2772218.4495505919</v>
      </c>
      <c r="J52" s="160">
        <f t="shared" si="14"/>
        <v>2672454.5493874638</v>
      </c>
      <c r="K52" s="160">
        <f t="shared" si="14"/>
        <v>2575491.0697013829</v>
      </c>
      <c r="L52" s="160">
        <f t="shared" si="14"/>
        <v>2481117.5546504371</v>
      </c>
      <c r="M52" s="160">
        <f t="shared" si="14"/>
        <v>2388190.0749003664</v>
      </c>
      <c r="N52" s="160">
        <f t="shared" si="14"/>
        <v>2295469.6565431445</v>
      </c>
      <c r="O52" s="160">
        <f t="shared" si="14"/>
        <v>2202749.2381859221</v>
      </c>
      <c r="P52" s="160">
        <f t="shared" si="14"/>
        <v>2110028.8198286998</v>
      </c>
      <c r="Q52" s="160">
        <f t="shared" si="14"/>
        <v>2017308.4014714775</v>
      </c>
      <c r="R52" s="160">
        <f t="shared" si="14"/>
        <v>1924587.9831142554</v>
      </c>
      <c r="S52" s="160">
        <f t="shared" si="14"/>
        <v>1831867.564757033</v>
      </c>
      <c r="T52" s="160">
        <f t="shared" si="14"/>
        <v>1739147.1463998107</v>
      </c>
      <c r="U52" s="160">
        <f t="shared" si="14"/>
        <v>1646426.7280425883</v>
      </c>
      <c r="V52" s="160">
        <f t="shared" si="14"/>
        <v>1553706.3096853665</v>
      </c>
      <c r="W52" s="160">
        <f t="shared" si="14"/>
        <v>1460985.8913281439</v>
      </c>
      <c r="X52" s="160">
        <f t="shared" si="14"/>
        <v>1368265.472970922</v>
      </c>
      <c r="Y52" s="160">
        <f t="shared" si="14"/>
        <v>1283118.0704734465</v>
      </c>
      <c r="Z52" s="160">
        <f t="shared" si="14"/>
        <v>1213113.3052464023</v>
      </c>
      <c r="AA52" s="160">
        <f t="shared" si="14"/>
        <v>1150681.5558791051</v>
      </c>
      <c r="AB52" s="160">
        <f t="shared" si="14"/>
        <v>1088249.806511808</v>
      </c>
      <c r="AC52" s="160">
        <f t="shared" si="14"/>
        <v>1025818.0571445106</v>
      </c>
      <c r="AD52" s="160">
        <f t="shared" si="14"/>
        <v>963386.30777721293</v>
      </c>
      <c r="AE52" s="160">
        <f t="shared" si="14"/>
        <v>900954.55840991542</v>
      </c>
      <c r="AF52" s="160">
        <f t="shared" si="14"/>
        <v>838522.80904261803</v>
      </c>
      <c r="AG52" s="160">
        <f t="shared" si="14"/>
        <v>776091.05967532052</v>
      </c>
      <c r="AH52" s="160">
        <f t="shared" si="14"/>
        <v>713659.31030802301</v>
      </c>
      <c r="AI52" s="160">
        <f t="shared" si="14"/>
        <v>651227.5609407255</v>
      </c>
      <c r="AJ52" s="160">
        <f t="shared" si="14"/>
        <v>588795.81157342799</v>
      </c>
      <c r="AK52" s="160">
        <f t="shared" si="14"/>
        <v>526364.06220613047</v>
      </c>
      <c r="AL52" s="160">
        <f t="shared" si="14"/>
        <v>463932.31283883296</v>
      </c>
      <c r="AM52" s="160">
        <f t="shared" si="14"/>
        <v>401500.56347153551</v>
      </c>
      <c r="AN52" s="160">
        <f t="shared" si="14"/>
        <v>339068.81410423788</v>
      </c>
      <c r="AO52" s="160">
        <f t="shared" si="14"/>
        <v>276637.06473694049</v>
      </c>
      <c r="AP52" s="160">
        <f t="shared" si="14"/>
        <v>214205.31536964298</v>
      </c>
      <c r="AQ52" s="160">
        <f t="shared" si="14"/>
        <v>151773.56600234544</v>
      </c>
      <c r="AR52" s="160">
        <f t="shared" si="14"/>
        <v>89341.816635047944</v>
      </c>
      <c r="AS52" s="160">
        <f t="shared" si="14"/>
        <v>29801.519850346365</v>
      </c>
      <c r="AT52" s="160">
        <f t="shared" si="14"/>
        <v>58125.941951399196</v>
      </c>
      <c r="AU52" s="163">
        <f t="shared" si="13"/>
        <v>58920745.82601276</v>
      </c>
    </row>
    <row r="53" spans="1:47" x14ac:dyDescent="0.25">
      <c r="A53" s="283">
        <f t="shared" si="10"/>
        <v>23</v>
      </c>
      <c r="B53" s="25" t="s">
        <v>66</v>
      </c>
      <c r="C53" s="25"/>
      <c r="D53" s="288"/>
      <c r="E53" s="63">
        <f t="shared" ref="E53:AT53" si="15">E52*$F15</f>
        <v>669816.44556032098</v>
      </c>
      <c r="F53" s="158">
        <f t="shared" si="15"/>
        <v>649041.79398453434</v>
      </c>
      <c r="G53" s="158">
        <f t="shared" si="15"/>
        <v>626025.58113946416</v>
      </c>
      <c r="H53" s="158">
        <f t="shared" si="15"/>
        <v>603752.1416383785</v>
      </c>
      <c r="I53" s="158">
        <f t="shared" si="15"/>
        <v>582165.87440562423</v>
      </c>
      <c r="J53" s="158">
        <f t="shared" si="15"/>
        <v>561215.4553713674</v>
      </c>
      <c r="K53" s="158">
        <f t="shared" si="15"/>
        <v>540853.12463729037</v>
      </c>
      <c r="L53" s="158">
        <f t="shared" si="15"/>
        <v>521034.68647659174</v>
      </c>
      <c r="M53" s="158">
        <f t="shared" si="15"/>
        <v>501519.91572907689</v>
      </c>
      <c r="N53" s="158">
        <f t="shared" si="15"/>
        <v>482048.6278740603</v>
      </c>
      <c r="O53" s="158">
        <f t="shared" si="15"/>
        <v>462577.34001904365</v>
      </c>
      <c r="P53" s="158">
        <f t="shared" si="15"/>
        <v>443106.05216402694</v>
      </c>
      <c r="Q53" s="158">
        <f t="shared" si="15"/>
        <v>423634.76430901024</v>
      </c>
      <c r="R53" s="158">
        <f t="shared" si="15"/>
        <v>404163.47645399359</v>
      </c>
      <c r="S53" s="158">
        <f t="shared" si="15"/>
        <v>384692.18859897694</v>
      </c>
      <c r="T53" s="158">
        <f t="shared" si="15"/>
        <v>365220.90074396023</v>
      </c>
      <c r="U53" s="158">
        <f t="shared" si="15"/>
        <v>345749.61288894352</v>
      </c>
      <c r="V53" s="158">
        <f t="shared" si="15"/>
        <v>326278.32503392693</v>
      </c>
      <c r="W53" s="158">
        <f t="shared" si="15"/>
        <v>306807.03717891022</v>
      </c>
      <c r="X53" s="158">
        <f t="shared" si="15"/>
        <v>287335.74932389363</v>
      </c>
      <c r="Y53" s="158">
        <f t="shared" si="15"/>
        <v>269454.79479942378</v>
      </c>
      <c r="Z53" s="158">
        <f t="shared" si="15"/>
        <v>254753.79410174448</v>
      </c>
      <c r="AA53" s="158">
        <f t="shared" si="15"/>
        <v>241643.12673461207</v>
      </c>
      <c r="AB53" s="158">
        <f t="shared" si="15"/>
        <v>228532.45936747966</v>
      </c>
      <c r="AC53" s="158">
        <f t="shared" si="15"/>
        <v>215421.7920003472</v>
      </c>
      <c r="AD53" s="158">
        <f t="shared" si="15"/>
        <v>202311.1246332147</v>
      </c>
      <c r="AE53" s="158">
        <f t="shared" si="15"/>
        <v>189200.45726608223</v>
      </c>
      <c r="AF53" s="158">
        <f t="shared" si="15"/>
        <v>176089.78989894979</v>
      </c>
      <c r="AG53" s="158">
        <f t="shared" si="15"/>
        <v>162979.12253181729</v>
      </c>
      <c r="AH53" s="158">
        <f t="shared" si="15"/>
        <v>149868.45516468483</v>
      </c>
      <c r="AI53" s="158">
        <f t="shared" si="15"/>
        <v>136757.78779755236</v>
      </c>
      <c r="AJ53" s="158">
        <f t="shared" si="15"/>
        <v>123647.12043041988</v>
      </c>
      <c r="AK53" s="158">
        <f t="shared" si="15"/>
        <v>110536.45306328739</v>
      </c>
      <c r="AL53" s="158">
        <f t="shared" si="15"/>
        <v>97425.785696154926</v>
      </c>
      <c r="AM53" s="158">
        <f t="shared" si="15"/>
        <v>84315.118329022458</v>
      </c>
      <c r="AN53" s="158">
        <f t="shared" si="15"/>
        <v>71204.450961889946</v>
      </c>
      <c r="AO53" s="158">
        <f t="shared" si="15"/>
        <v>58093.7835947575</v>
      </c>
      <c r="AP53" s="158">
        <f t="shared" si="15"/>
        <v>44983.116227625025</v>
      </c>
      <c r="AQ53" s="158">
        <f t="shared" si="15"/>
        <v>31872.448860492543</v>
      </c>
      <c r="AR53" s="158">
        <f t="shared" si="15"/>
        <v>18761.781493360068</v>
      </c>
      <c r="AS53" s="158">
        <f t="shared" si="15"/>
        <v>6258.3191685727361</v>
      </c>
      <c r="AT53" s="158">
        <f t="shared" si="15"/>
        <v>12206.44780979383</v>
      </c>
      <c r="AU53" s="163">
        <f t="shared" si="13"/>
        <v>12373356.623462679</v>
      </c>
    </row>
    <row r="54" spans="1:47" x14ac:dyDescent="0.25">
      <c r="A54" s="283">
        <f t="shared" si="10"/>
        <v>24</v>
      </c>
      <c r="B54" s="25" t="s">
        <v>67</v>
      </c>
      <c r="C54" s="25"/>
      <c r="D54" s="288"/>
      <c r="E54" s="61">
        <f>E52-E53</f>
        <v>2519785.6761554936</v>
      </c>
      <c r="F54" s="160">
        <f t="shared" ref="F54:AT54" si="16">F52-F53</f>
        <v>2441633.4154656297</v>
      </c>
      <c r="G54" s="160">
        <f t="shared" si="16"/>
        <v>2355048.6147627458</v>
      </c>
      <c r="H54" s="160">
        <f t="shared" si="16"/>
        <v>2271258.0566396145</v>
      </c>
      <c r="I54" s="160">
        <f t="shared" si="16"/>
        <v>2190052.5751449675</v>
      </c>
      <c r="J54" s="160">
        <f t="shared" si="16"/>
        <v>2111239.0940160966</v>
      </c>
      <c r="K54" s="160">
        <f t="shared" si="16"/>
        <v>2034637.9450640925</v>
      </c>
      <c r="L54" s="160">
        <f t="shared" si="16"/>
        <v>1960082.8681738453</v>
      </c>
      <c r="M54" s="160">
        <f t="shared" si="16"/>
        <v>1886670.1591712895</v>
      </c>
      <c r="N54" s="160">
        <f t="shared" si="16"/>
        <v>1813421.0286690842</v>
      </c>
      <c r="O54" s="160">
        <f t="shared" si="16"/>
        <v>1740171.8981668786</v>
      </c>
      <c r="P54" s="160">
        <f t="shared" si="16"/>
        <v>1666922.7676646728</v>
      </c>
      <c r="Q54" s="160">
        <f t="shared" si="16"/>
        <v>1593673.6371624672</v>
      </c>
      <c r="R54" s="160">
        <f t="shared" si="16"/>
        <v>1520424.5066602617</v>
      </c>
      <c r="S54" s="160">
        <f t="shared" si="16"/>
        <v>1447175.3761580561</v>
      </c>
      <c r="T54" s="160">
        <f t="shared" si="16"/>
        <v>1373926.2456558505</v>
      </c>
      <c r="U54" s="160">
        <f t="shared" si="16"/>
        <v>1300677.1151536447</v>
      </c>
      <c r="V54" s="160">
        <f t="shared" si="16"/>
        <v>1227427.9846514396</v>
      </c>
      <c r="W54" s="160">
        <f t="shared" si="16"/>
        <v>1154178.8541492335</v>
      </c>
      <c r="X54" s="160">
        <f t="shared" si="16"/>
        <v>1080929.7236470284</v>
      </c>
      <c r="Y54" s="160">
        <f t="shared" si="16"/>
        <v>1013663.2756740227</v>
      </c>
      <c r="Z54" s="160">
        <f t="shared" si="16"/>
        <v>958359.51114465785</v>
      </c>
      <c r="AA54" s="160">
        <f t="shared" si="16"/>
        <v>909038.42914449307</v>
      </c>
      <c r="AB54" s="160">
        <f t="shared" si="16"/>
        <v>859717.34714432829</v>
      </c>
      <c r="AC54" s="160">
        <f t="shared" si="16"/>
        <v>810396.26514416339</v>
      </c>
      <c r="AD54" s="160">
        <f t="shared" si="16"/>
        <v>761075.18314399826</v>
      </c>
      <c r="AE54" s="160">
        <f t="shared" si="16"/>
        <v>711754.10114383325</v>
      </c>
      <c r="AF54" s="160">
        <f t="shared" si="16"/>
        <v>662433.01914366824</v>
      </c>
      <c r="AG54" s="160">
        <f t="shared" si="16"/>
        <v>613111.93714350322</v>
      </c>
      <c r="AH54" s="160">
        <f t="shared" si="16"/>
        <v>563790.85514333821</v>
      </c>
      <c r="AI54" s="160">
        <f t="shared" si="16"/>
        <v>514469.77314317314</v>
      </c>
      <c r="AJ54" s="160">
        <f t="shared" si="16"/>
        <v>465148.69114300812</v>
      </c>
      <c r="AK54" s="160">
        <f t="shared" si="16"/>
        <v>415827.60914284305</v>
      </c>
      <c r="AL54" s="160">
        <f t="shared" si="16"/>
        <v>366506.52714267804</v>
      </c>
      <c r="AM54" s="160">
        <f t="shared" si="16"/>
        <v>317185.44514251302</v>
      </c>
      <c r="AN54" s="160">
        <f t="shared" si="16"/>
        <v>267864.36314234795</v>
      </c>
      <c r="AO54" s="160">
        <f t="shared" si="16"/>
        <v>218543.281142183</v>
      </c>
      <c r="AP54" s="160">
        <f t="shared" si="16"/>
        <v>169222.19914201795</v>
      </c>
      <c r="AQ54" s="160">
        <f t="shared" si="16"/>
        <v>119901.1171418529</v>
      </c>
      <c r="AR54" s="160">
        <f t="shared" si="16"/>
        <v>70580.035141687869</v>
      </c>
      <c r="AS54" s="160">
        <f t="shared" si="16"/>
        <v>23543.200681773629</v>
      </c>
      <c r="AT54" s="160">
        <f t="shared" si="16"/>
        <v>45919.494141605363</v>
      </c>
      <c r="AU54" s="163">
        <f t="shared" si="13"/>
        <v>46547389.202550083</v>
      </c>
    </row>
    <row r="55" spans="1:47" x14ac:dyDescent="0.25">
      <c r="A55" s="283">
        <f t="shared" si="10"/>
        <v>25</v>
      </c>
      <c r="B55" s="25"/>
      <c r="C55" s="25"/>
      <c r="D55" s="288"/>
      <c r="E55" s="291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163">
        <f t="shared" si="13"/>
        <v>0</v>
      </c>
    </row>
    <row r="56" spans="1:47" x14ac:dyDescent="0.25">
      <c r="A56" s="283">
        <f t="shared" si="10"/>
        <v>26</v>
      </c>
      <c r="B56" s="25"/>
      <c r="C56" s="25"/>
      <c r="D56" s="288"/>
      <c r="E56" s="14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163">
        <f t="shared" si="13"/>
        <v>0</v>
      </c>
    </row>
    <row r="57" spans="1:47" x14ac:dyDescent="0.25">
      <c r="A57" s="283">
        <f t="shared" si="10"/>
        <v>27</v>
      </c>
      <c r="B57" s="25" t="s">
        <v>68</v>
      </c>
      <c r="C57" s="25"/>
      <c r="D57" s="288"/>
      <c r="E57" s="61">
        <f>E27</f>
        <v>1354267.8821539553</v>
      </c>
      <c r="F57" s="160">
        <f>F27</f>
        <v>1354267.8821539553</v>
      </c>
      <c r="G57" s="160">
        <f>G27</f>
        <v>1354267.8821539553</v>
      </c>
      <c r="H57" s="160">
        <f t="shared" ref="H57:AT57" si="17">H27</f>
        <v>1354267.8821539553</v>
      </c>
      <c r="I57" s="160">
        <f t="shared" si="17"/>
        <v>1354267.8821539553</v>
      </c>
      <c r="J57" s="160">
        <f t="shared" si="17"/>
        <v>1354267.8821539553</v>
      </c>
      <c r="K57" s="160">
        <f t="shared" si="17"/>
        <v>1354267.8821539553</v>
      </c>
      <c r="L57" s="160">
        <f t="shared" si="17"/>
        <v>1354267.8821539553</v>
      </c>
      <c r="M57" s="160">
        <f t="shared" si="17"/>
        <v>1354267.8821539553</v>
      </c>
      <c r="N57" s="160">
        <f t="shared" si="17"/>
        <v>1354267.8821539553</v>
      </c>
      <c r="O57" s="160">
        <f t="shared" si="17"/>
        <v>1354267.8821539553</v>
      </c>
      <c r="P57" s="160">
        <f t="shared" si="17"/>
        <v>1354267.8821539553</v>
      </c>
      <c r="Q57" s="160">
        <f t="shared" si="17"/>
        <v>1354267.8821539553</v>
      </c>
      <c r="R57" s="160">
        <f t="shared" si="17"/>
        <v>1354267.8821539553</v>
      </c>
      <c r="S57" s="160">
        <f t="shared" si="17"/>
        <v>1354267.8821539553</v>
      </c>
      <c r="T57" s="160">
        <f t="shared" si="17"/>
        <v>1354267.8821539553</v>
      </c>
      <c r="U57" s="160">
        <f t="shared" si="17"/>
        <v>1354267.8821539553</v>
      </c>
      <c r="V57" s="160">
        <f t="shared" si="17"/>
        <v>1354267.8821539553</v>
      </c>
      <c r="W57" s="160">
        <f t="shared" si="17"/>
        <v>1354267.8821539553</v>
      </c>
      <c r="X57" s="160">
        <f t="shared" si="17"/>
        <v>1354267.8821539553</v>
      </c>
      <c r="Y57" s="160">
        <f t="shared" si="17"/>
        <v>1354267.8821539553</v>
      </c>
      <c r="Z57" s="160">
        <f t="shared" si="17"/>
        <v>1354267.8821539553</v>
      </c>
      <c r="AA57" s="160">
        <f t="shared" si="17"/>
        <v>1354267.8821539553</v>
      </c>
      <c r="AB57" s="160">
        <f t="shared" si="17"/>
        <v>1354267.8821539553</v>
      </c>
      <c r="AC57" s="160">
        <f t="shared" si="17"/>
        <v>1354267.8821539553</v>
      </c>
      <c r="AD57" s="160">
        <f t="shared" si="17"/>
        <v>1354267.8821539553</v>
      </c>
      <c r="AE57" s="160">
        <f t="shared" si="17"/>
        <v>1354267.8821539553</v>
      </c>
      <c r="AF57" s="160">
        <f t="shared" si="17"/>
        <v>1354267.8821539553</v>
      </c>
      <c r="AG57" s="160">
        <f t="shared" si="17"/>
        <v>1354267.8821539553</v>
      </c>
      <c r="AH57" s="160">
        <f t="shared" si="17"/>
        <v>1354267.8821539553</v>
      </c>
      <c r="AI57" s="160">
        <f t="shared" si="17"/>
        <v>1354267.8821539553</v>
      </c>
      <c r="AJ57" s="160">
        <f t="shared" si="17"/>
        <v>1354267.8821539553</v>
      </c>
      <c r="AK57" s="160">
        <f t="shared" si="17"/>
        <v>1354267.8821539553</v>
      </c>
      <c r="AL57" s="160">
        <f t="shared" si="17"/>
        <v>1354267.8821539553</v>
      </c>
      <c r="AM57" s="160">
        <f t="shared" si="17"/>
        <v>1354267.8821539553</v>
      </c>
      <c r="AN57" s="160">
        <f t="shared" si="17"/>
        <v>1354267.8821539553</v>
      </c>
      <c r="AO57" s="160">
        <f t="shared" si="17"/>
        <v>1354267.8821539553</v>
      </c>
      <c r="AP57" s="160">
        <f t="shared" si="17"/>
        <v>1354267.8821539553</v>
      </c>
      <c r="AQ57" s="160">
        <f t="shared" si="17"/>
        <v>1354267.8821539553</v>
      </c>
      <c r="AR57" s="160">
        <f t="shared" si="17"/>
        <v>1354267.8821539553</v>
      </c>
      <c r="AS57" s="160">
        <f t="shared" si="17"/>
        <v>1228825.2538417773</v>
      </c>
      <c r="AT57" s="160">
        <f t="shared" si="17"/>
        <v>0</v>
      </c>
      <c r="AU57" s="163">
        <f t="shared" si="13"/>
        <v>55399540.540000021</v>
      </c>
    </row>
    <row r="58" spans="1:47" x14ac:dyDescent="0.25">
      <c r="A58" s="283">
        <f t="shared" si="10"/>
        <v>28</v>
      </c>
      <c r="B58" s="25" t="s">
        <v>69</v>
      </c>
      <c r="C58" s="25"/>
      <c r="D58" s="288"/>
      <c r="E58" s="61">
        <f>$F22*E62</f>
        <v>2077482.7702499996</v>
      </c>
      <c r="F58" s="160">
        <f t="shared" ref="F58:AT58" si="18">$F22*F62</f>
        <v>3999292.8315825998</v>
      </c>
      <c r="G58" s="160">
        <f t="shared" si="18"/>
        <v>3699027.3218557993</v>
      </c>
      <c r="H58" s="160">
        <f t="shared" si="18"/>
        <v>3422029.6191557995</v>
      </c>
      <c r="I58" s="160">
        <f t="shared" si="18"/>
        <v>3164975.7510501994</v>
      </c>
      <c r="J58" s="160">
        <f t="shared" si="18"/>
        <v>2927865.7175389994</v>
      </c>
      <c r="K58" s="160">
        <f t="shared" si="18"/>
        <v>2707929.5415951996</v>
      </c>
      <c r="L58" s="160">
        <f t="shared" si="18"/>
        <v>2505167.2232188</v>
      </c>
      <c r="M58" s="160">
        <f t="shared" si="18"/>
        <v>2471927.4988947995</v>
      </c>
      <c r="N58" s="160">
        <f t="shared" si="18"/>
        <v>2471373.5034893998</v>
      </c>
      <c r="O58" s="160">
        <f t="shared" si="18"/>
        <v>2471927.4988947995</v>
      </c>
      <c r="P58" s="160">
        <f t="shared" si="18"/>
        <v>2471373.5034893998</v>
      </c>
      <c r="Q58" s="160">
        <f t="shared" si="18"/>
        <v>2471927.4988947995</v>
      </c>
      <c r="R58" s="160">
        <f t="shared" si="18"/>
        <v>2471373.5034893998</v>
      </c>
      <c r="S58" s="160">
        <f t="shared" si="18"/>
        <v>2471927.4988947995</v>
      </c>
      <c r="T58" s="160">
        <f t="shared" si="18"/>
        <v>2471373.5034893998</v>
      </c>
      <c r="U58" s="160">
        <f t="shared" si="18"/>
        <v>2471927.4988947995</v>
      </c>
      <c r="V58" s="160">
        <f t="shared" si="18"/>
        <v>2471373.5034893998</v>
      </c>
      <c r="W58" s="160">
        <f t="shared" si="18"/>
        <v>2471927.4988947995</v>
      </c>
      <c r="X58" s="160">
        <f t="shared" si="18"/>
        <v>2471373.5034893998</v>
      </c>
      <c r="Y58" s="160">
        <f t="shared" si="18"/>
        <v>1235963.7494473998</v>
      </c>
      <c r="Z58" s="160">
        <f t="shared" si="18"/>
        <v>0</v>
      </c>
      <c r="AA58" s="160">
        <f t="shared" si="18"/>
        <v>0</v>
      </c>
      <c r="AB58" s="160">
        <f t="shared" si="18"/>
        <v>0</v>
      </c>
      <c r="AC58" s="160">
        <f t="shared" si="18"/>
        <v>0</v>
      </c>
      <c r="AD58" s="160">
        <f t="shared" si="18"/>
        <v>0</v>
      </c>
      <c r="AE58" s="160">
        <f t="shared" si="18"/>
        <v>0</v>
      </c>
      <c r="AF58" s="160">
        <f t="shared" si="18"/>
        <v>0</v>
      </c>
      <c r="AG58" s="160">
        <f t="shared" si="18"/>
        <v>0</v>
      </c>
      <c r="AH58" s="160">
        <f t="shared" si="18"/>
        <v>0</v>
      </c>
      <c r="AI58" s="160">
        <f t="shared" si="18"/>
        <v>0</v>
      </c>
      <c r="AJ58" s="160">
        <f t="shared" si="18"/>
        <v>0</v>
      </c>
      <c r="AK58" s="160">
        <f t="shared" si="18"/>
        <v>0</v>
      </c>
      <c r="AL58" s="160">
        <f t="shared" si="18"/>
        <v>0</v>
      </c>
      <c r="AM58" s="160">
        <f t="shared" si="18"/>
        <v>0</v>
      </c>
      <c r="AN58" s="160">
        <f t="shared" si="18"/>
        <v>0</v>
      </c>
      <c r="AO58" s="160">
        <f t="shared" si="18"/>
        <v>0</v>
      </c>
      <c r="AP58" s="160">
        <f t="shared" si="18"/>
        <v>0</v>
      </c>
      <c r="AQ58" s="160">
        <f t="shared" si="18"/>
        <v>0</v>
      </c>
      <c r="AR58" s="160">
        <f t="shared" si="18"/>
        <v>0</v>
      </c>
      <c r="AS58" s="160">
        <f t="shared" si="18"/>
        <v>0</v>
      </c>
      <c r="AT58" s="160">
        <f t="shared" si="18"/>
        <v>0</v>
      </c>
      <c r="AU58" s="163">
        <f t="shared" si="13"/>
        <v>55399540.539999992</v>
      </c>
    </row>
    <row r="59" spans="1:47" x14ac:dyDescent="0.25">
      <c r="A59" s="283">
        <f t="shared" si="10"/>
        <v>29</v>
      </c>
      <c r="B59" s="25" t="s">
        <v>70</v>
      </c>
      <c r="C59" s="25"/>
      <c r="D59" s="288"/>
      <c r="E59" s="61">
        <f>E58-E57</f>
        <v>723214.88809604431</v>
      </c>
      <c r="F59" s="160">
        <f>F58-F57</f>
        <v>2645024.9494286445</v>
      </c>
      <c r="G59" s="160">
        <f>G58-G57</f>
        <v>2344759.439701844</v>
      </c>
      <c r="H59" s="160">
        <f t="shared" ref="H59:AT59" si="19">H58-H57</f>
        <v>2067761.7370018442</v>
      </c>
      <c r="I59" s="160">
        <f t="shared" si="19"/>
        <v>1810707.8688962441</v>
      </c>
      <c r="J59" s="160">
        <f t="shared" si="19"/>
        <v>1573597.8353850441</v>
      </c>
      <c r="K59" s="160">
        <f t="shared" si="19"/>
        <v>1353661.6594412443</v>
      </c>
      <c r="L59" s="160">
        <f t="shared" si="19"/>
        <v>1150899.3410648447</v>
      </c>
      <c r="M59" s="160">
        <f t="shared" si="19"/>
        <v>1117659.6167408442</v>
      </c>
      <c r="N59" s="160">
        <f t="shared" si="19"/>
        <v>1117105.6213354445</v>
      </c>
      <c r="O59" s="160">
        <f t="shared" si="19"/>
        <v>1117659.6167408442</v>
      </c>
      <c r="P59" s="160">
        <f t="shared" si="19"/>
        <v>1117105.6213354445</v>
      </c>
      <c r="Q59" s="160">
        <f t="shared" si="19"/>
        <v>1117659.6167408442</v>
      </c>
      <c r="R59" s="160">
        <f t="shared" si="19"/>
        <v>1117105.6213354445</v>
      </c>
      <c r="S59" s="160">
        <f t="shared" si="19"/>
        <v>1117659.6167408442</v>
      </c>
      <c r="T59" s="160">
        <f t="shared" si="19"/>
        <v>1117105.6213354445</v>
      </c>
      <c r="U59" s="160">
        <f t="shared" si="19"/>
        <v>1117659.6167408442</v>
      </c>
      <c r="V59" s="160">
        <f t="shared" si="19"/>
        <v>1117105.6213354445</v>
      </c>
      <c r="W59" s="160">
        <f t="shared" si="19"/>
        <v>1117659.6167408442</v>
      </c>
      <c r="X59" s="160">
        <f t="shared" si="19"/>
        <v>1117105.6213354445</v>
      </c>
      <c r="Y59" s="160">
        <f t="shared" si="19"/>
        <v>-118304.13270655554</v>
      </c>
      <c r="Z59" s="160">
        <f t="shared" si="19"/>
        <v>-1354267.8821539553</v>
      </c>
      <c r="AA59" s="160">
        <f t="shared" si="19"/>
        <v>-1354267.8821539553</v>
      </c>
      <c r="AB59" s="160">
        <f t="shared" si="19"/>
        <v>-1354267.8821539553</v>
      </c>
      <c r="AC59" s="160">
        <f t="shared" si="19"/>
        <v>-1354267.8821539553</v>
      </c>
      <c r="AD59" s="160">
        <f t="shared" si="19"/>
        <v>-1354267.8821539553</v>
      </c>
      <c r="AE59" s="160">
        <f t="shared" si="19"/>
        <v>-1354267.8821539553</v>
      </c>
      <c r="AF59" s="160">
        <f t="shared" si="19"/>
        <v>-1354267.8821539553</v>
      </c>
      <c r="AG59" s="160">
        <f t="shared" si="19"/>
        <v>-1354267.8821539553</v>
      </c>
      <c r="AH59" s="160">
        <f t="shared" si="19"/>
        <v>-1354267.8821539553</v>
      </c>
      <c r="AI59" s="160">
        <f t="shared" si="19"/>
        <v>-1354267.8821539553</v>
      </c>
      <c r="AJ59" s="160">
        <f t="shared" si="19"/>
        <v>-1354267.8821539553</v>
      </c>
      <c r="AK59" s="160">
        <f t="shared" si="19"/>
        <v>-1354267.8821539553</v>
      </c>
      <c r="AL59" s="160">
        <f t="shared" si="19"/>
        <v>-1354267.8821539553</v>
      </c>
      <c r="AM59" s="160">
        <f t="shared" si="19"/>
        <v>-1354267.8821539553</v>
      </c>
      <c r="AN59" s="160">
        <f t="shared" si="19"/>
        <v>-1354267.8821539553</v>
      </c>
      <c r="AO59" s="160">
        <f t="shared" si="19"/>
        <v>-1354267.8821539553</v>
      </c>
      <c r="AP59" s="160">
        <f t="shared" si="19"/>
        <v>-1354267.8821539553</v>
      </c>
      <c r="AQ59" s="160">
        <f t="shared" si="19"/>
        <v>-1354267.8821539553</v>
      </c>
      <c r="AR59" s="160">
        <f t="shared" si="19"/>
        <v>-1354267.8821539553</v>
      </c>
      <c r="AS59" s="160">
        <f t="shared" si="19"/>
        <v>-1228825.2538417773</v>
      </c>
      <c r="AT59" s="160">
        <f t="shared" si="19"/>
        <v>0</v>
      </c>
      <c r="AU59" s="163">
        <f t="shared" si="13"/>
        <v>1.2107193470001221E-8</v>
      </c>
    </row>
    <row r="60" spans="1:47" x14ac:dyDescent="0.25">
      <c r="A60" s="283">
        <f t="shared" si="10"/>
        <v>30</v>
      </c>
      <c r="B60" s="25" t="s">
        <v>71</v>
      </c>
      <c r="C60" s="25"/>
      <c r="D60" s="288"/>
      <c r="E60" s="61">
        <f>E59/12*2*J15+E59/12*10*F15</f>
        <v>126562.60541680775</v>
      </c>
      <c r="F60" s="160">
        <f t="shared" ref="F60:AT60" si="20">F59*$F$15</f>
        <v>555455.23938001529</v>
      </c>
      <c r="G60" s="160">
        <f t="shared" si="20"/>
        <v>492399.48233738722</v>
      </c>
      <c r="H60" s="160">
        <f t="shared" si="20"/>
        <v>434229.96477038728</v>
      </c>
      <c r="I60" s="160">
        <f t="shared" si="20"/>
        <v>380248.65246821125</v>
      </c>
      <c r="J60" s="160">
        <f t="shared" si="20"/>
        <v>330455.54543085926</v>
      </c>
      <c r="K60" s="160">
        <f t="shared" si="20"/>
        <v>284268.94848266128</v>
      </c>
      <c r="L60" s="160">
        <f t="shared" si="20"/>
        <v>241688.86162361738</v>
      </c>
      <c r="M60" s="160">
        <f t="shared" si="20"/>
        <v>234708.51951557727</v>
      </c>
      <c r="N60" s="160">
        <f t="shared" si="20"/>
        <v>234592.18048044335</v>
      </c>
      <c r="O60" s="160">
        <f t="shared" si="20"/>
        <v>234708.51951557727</v>
      </c>
      <c r="P60" s="160">
        <f t="shared" si="20"/>
        <v>234592.18048044335</v>
      </c>
      <c r="Q60" s="160">
        <f t="shared" si="20"/>
        <v>234708.51951557727</v>
      </c>
      <c r="R60" s="160">
        <f t="shared" si="20"/>
        <v>234592.18048044335</v>
      </c>
      <c r="S60" s="160">
        <f t="shared" si="20"/>
        <v>234708.51951557727</v>
      </c>
      <c r="T60" s="160">
        <f t="shared" si="20"/>
        <v>234592.18048044335</v>
      </c>
      <c r="U60" s="160">
        <f t="shared" si="20"/>
        <v>234708.51951557727</v>
      </c>
      <c r="V60" s="160">
        <f t="shared" si="20"/>
        <v>234592.18048044335</v>
      </c>
      <c r="W60" s="160">
        <f t="shared" si="20"/>
        <v>234708.51951557727</v>
      </c>
      <c r="X60" s="160">
        <f t="shared" si="20"/>
        <v>234592.18048044335</v>
      </c>
      <c r="Y60" s="160">
        <f t="shared" si="20"/>
        <v>-24843.867868376663</v>
      </c>
      <c r="Z60" s="160">
        <f t="shared" si="20"/>
        <v>-284396.25525233062</v>
      </c>
      <c r="AA60" s="160">
        <f t="shared" si="20"/>
        <v>-284396.25525233062</v>
      </c>
      <c r="AB60" s="160">
        <f t="shared" si="20"/>
        <v>-284396.25525233062</v>
      </c>
      <c r="AC60" s="160">
        <f t="shared" si="20"/>
        <v>-284396.25525233062</v>
      </c>
      <c r="AD60" s="160">
        <f t="shared" si="20"/>
        <v>-284396.25525233062</v>
      </c>
      <c r="AE60" s="160">
        <f t="shared" si="20"/>
        <v>-284396.25525233062</v>
      </c>
      <c r="AF60" s="160">
        <f t="shared" si="20"/>
        <v>-284396.25525233062</v>
      </c>
      <c r="AG60" s="160">
        <f t="shared" si="20"/>
        <v>-284396.25525233062</v>
      </c>
      <c r="AH60" s="160">
        <f t="shared" si="20"/>
        <v>-284396.25525233062</v>
      </c>
      <c r="AI60" s="160">
        <f t="shared" si="20"/>
        <v>-284396.25525233062</v>
      </c>
      <c r="AJ60" s="160">
        <f t="shared" si="20"/>
        <v>-284396.25525233062</v>
      </c>
      <c r="AK60" s="160">
        <f t="shared" si="20"/>
        <v>-284396.25525233062</v>
      </c>
      <c r="AL60" s="160">
        <f t="shared" si="20"/>
        <v>-284396.25525233062</v>
      </c>
      <c r="AM60" s="160">
        <f t="shared" si="20"/>
        <v>-284396.25525233062</v>
      </c>
      <c r="AN60" s="160">
        <f t="shared" si="20"/>
        <v>-284396.25525233062</v>
      </c>
      <c r="AO60" s="160">
        <f t="shared" si="20"/>
        <v>-284396.25525233062</v>
      </c>
      <c r="AP60" s="160">
        <f t="shared" si="20"/>
        <v>-284396.25525233062</v>
      </c>
      <c r="AQ60" s="160">
        <f t="shared" si="20"/>
        <v>-284396.25525233062</v>
      </c>
      <c r="AR60" s="160">
        <f t="shared" si="20"/>
        <v>-284396.25525233062</v>
      </c>
      <c r="AS60" s="160">
        <f t="shared" si="20"/>
        <v>-258053.30330677322</v>
      </c>
      <c r="AT60" s="160">
        <f t="shared" si="20"/>
        <v>0</v>
      </c>
      <c r="AU60" s="163">
        <f t="shared" si="13"/>
        <v>-25312.521083360567</v>
      </c>
    </row>
    <row r="61" spans="1:47" x14ac:dyDescent="0.25">
      <c r="A61" s="283">
        <f t="shared" si="10"/>
        <v>31</v>
      </c>
      <c r="B61" s="25"/>
      <c r="C61" s="25"/>
      <c r="D61" s="288"/>
      <c r="E61" s="140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288"/>
    </row>
    <row r="62" spans="1:47" s="73" customFormat="1" x14ac:dyDescent="0.25">
      <c r="A62" s="283">
        <f t="shared" si="10"/>
        <v>32</v>
      </c>
      <c r="B62" s="25" t="str">
        <f t="shared" ref="B62" si="21">IF($F$18=1,B66,B65)</f>
        <v>MACRS Depreciation - 20</v>
      </c>
      <c r="C62" s="25"/>
      <c r="D62" s="70"/>
      <c r="E62" s="85">
        <f t="shared" ref="E62:Y62" si="22">IF($F$18=1,E66,E65)</f>
        <v>3.7499999999999999E-2</v>
      </c>
      <c r="F62" s="81">
        <f t="shared" si="22"/>
        <v>7.2190000000000004E-2</v>
      </c>
      <c r="G62" s="81">
        <f t="shared" si="22"/>
        <v>6.6769999999999996E-2</v>
      </c>
      <c r="H62" s="84">
        <f t="shared" si="22"/>
        <v>6.1769999999999999E-2</v>
      </c>
      <c r="I62" s="84">
        <f t="shared" si="22"/>
        <v>5.713E-2</v>
      </c>
      <c r="J62" s="84">
        <f t="shared" si="22"/>
        <v>5.2850000000000001E-2</v>
      </c>
      <c r="K62" s="84">
        <f t="shared" si="22"/>
        <v>4.888E-2</v>
      </c>
      <c r="L62" s="84">
        <f t="shared" si="22"/>
        <v>4.5220000000000003E-2</v>
      </c>
      <c r="M62" s="84">
        <f t="shared" si="22"/>
        <v>4.462E-2</v>
      </c>
      <c r="N62" s="84">
        <f t="shared" si="22"/>
        <v>4.4610000000000004E-2</v>
      </c>
      <c r="O62" s="84">
        <f t="shared" si="22"/>
        <v>4.462E-2</v>
      </c>
      <c r="P62" s="84">
        <f t="shared" si="22"/>
        <v>4.4610000000000004E-2</v>
      </c>
      <c r="Q62" s="84">
        <f t="shared" si="22"/>
        <v>4.462E-2</v>
      </c>
      <c r="R62" s="84">
        <f t="shared" si="22"/>
        <v>4.4610000000000004E-2</v>
      </c>
      <c r="S62" s="84">
        <f t="shared" si="22"/>
        <v>4.462E-2</v>
      </c>
      <c r="T62" s="84">
        <f t="shared" si="22"/>
        <v>4.4610000000000004E-2</v>
      </c>
      <c r="U62" s="84">
        <f t="shared" si="22"/>
        <v>4.462E-2</v>
      </c>
      <c r="V62" s="84">
        <f t="shared" si="22"/>
        <v>4.4610000000000004E-2</v>
      </c>
      <c r="W62" s="84">
        <f t="shared" si="22"/>
        <v>4.462E-2</v>
      </c>
      <c r="X62" s="84">
        <f t="shared" si="22"/>
        <v>4.4610000000000004E-2</v>
      </c>
      <c r="Y62" s="84">
        <f t="shared" si="22"/>
        <v>2.231E-2</v>
      </c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0"/>
    </row>
    <row r="63" spans="1:47" outlineLevel="1" x14ac:dyDescent="0.35">
      <c r="A63" s="283">
        <f t="shared" si="10"/>
        <v>33</v>
      </c>
      <c r="B63" s="25"/>
      <c r="C63" s="292"/>
      <c r="E63" s="293"/>
      <c r="F63" s="294"/>
      <c r="G63" s="294"/>
      <c r="H63" s="294"/>
      <c r="I63" s="294"/>
      <c r="J63" s="294"/>
      <c r="K63" s="294"/>
      <c r="L63" s="294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6"/>
    </row>
    <row r="64" spans="1:47" outlineLevel="1" x14ac:dyDescent="0.35">
      <c r="A64" s="283">
        <f t="shared" si="10"/>
        <v>34</v>
      </c>
      <c r="B64" s="25"/>
      <c r="C64" s="292"/>
      <c r="E64" s="293"/>
      <c r="F64" s="294"/>
      <c r="G64" s="294"/>
      <c r="H64" s="294"/>
      <c r="I64" s="294"/>
      <c r="J64" s="294"/>
      <c r="K64" s="294"/>
      <c r="L64" s="294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6"/>
    </row>
    <row r="65" spans="1:42" s="73" customFormat="1" x14ac:dyDescent="0.35">
      <c r="A65" s="283">
        <f t="shared" si="10"/>
        <v>35</v>
      </c>
      <c r="B65" s="25" t="s">
        <v>72</v>
      </c>
      <c r="C65" s="25"/>
      <c r="D65" s="74">
        <v>0</v>
      </c>
      <c r="E65" s="82">
        <v>3.7499999999999999E-2</v>
      </c>
      <c r="F65" s="81">
        <v>7.2190000000000004E-2</v>
      </c>
      <c r="G65" s="81">
        <v>6.6769999999999996E-2</v>
      </c>
      <c r="H65" s="83">
        <v>6.1769999999999999E-2</v>
      </c>
      <c r="I65" s="83">
        <v>5.713E-2</v>
      </c>
      <c r="J65" s="83">
        <v>5.2850000000000001E-2</v>
      </c>
      <c r="K65" s="83">
        <v>4.888E-2</v>
      </c>
      <c r="L65" s="83">
        <v>4.5220000000000003E-2</v>
      </c>
      <c r="M65" s="83">
        <v>4.462E-2</v>
      </c>
      <c r="N65" s="83">
        <v>4.4610000000000004E-2</v>
      </c>
      <c r="O65" s="83">
        <v>4.462E-2</v>
      </c>
      <c r="P65" s="83">
        <v>4.4610000000000004E-2</v>
      </c>
      <c r="Q65" s="83">
        <v>4.462E-2</v>
      </c>
      <c r="R65" s="83">
        <v>4.4610000000000004E-2</v>
      </c>
      <c r="S65" s="83">
        <v>4.462E-2</v>
      </c>
      <c r="T65" s="83">
        <v>4.4610000000000004E-2</v>
      </c>
      <c r="U65" s="83">
        <v>4.462E-2</v>
      </c>
      <c r="V65" s="83">
        <v>4.4610000000000004E-2</v>
      </c>
      <c r="W65" s="83">
        <v>4.462E-2</v>
      </c>
      <c r="X65" s="83">
        <v>4.4610000000000004E-2</v>
      </c>
      <c r="Y65" s="83">
        <v>2.231E-2</v>
      </c>
      <c r="Z65" s="75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0"/>
      <c r="AP65" s="76"/>
    </row>
    <row r="66" spans="1:42" x14ac:dyDescent="0.25">
      <c r="A66" s="283">
        <f t="shared" si="10"/>
        <v>36</v>
      </c>
      <c r="B66" s="25" t="s">
        <v>73</v>
      </c>
      <c r="C66" s="25"/>
      <c r="D66" s="74">
        <v>0</v>
      </c>
      <c r="E66" s="82">
        <v>0.51875000000000004</v>
      </c>
      <c r="F66" s="81">
        <v>3.6095000000000002E-2</v>
      </c>
      <c r="G66" s="81">
        <v>3.3384999999999998E-2</v>
      </c>
      <c r="H66" s="84">
        <v>3.0884999999999999E-2</v>
      </c>
      <c r="I66" s="84">
        <v>2.8565E-2</v>
      </c>
      <c r="J66" s="84">
        <v>2.6425000000000001E-2</v>
      </c>
      <c r="K66" s="84">
        <v>2.444E-2</v>
      </c>
      <c r="L66" s="84">
        <v>2.2610000000000002E-2</v>
      </c>
      <c r="M66" s="84">
        <v>2.231E-2</v>
      </c>
      <c r="N66" s="84">
        <v>2.2305000000000002E-2</v>
      </c>
      <c r="O66" s="84">
        <v>2.231E-2</v>
      </c>
      <c r="P66" s="84">
        <v>2.2305000000000002E-2</v>
      </c>
      <c r="Q66" s="84">
        <v>2.231E-2</v>
      </c>
      <c r="R66" s="84">
        <v>2.2305000000000002E-2</v>
      </c>
      <c r="S66" s="84">
        <v>2.231E-2</v>
      </c>
      <c r="T66" s="84">
        <v>2.2305000000000002E-2</v>
      </c>
      <c r="U66" s="84">
        <v>2.231E-2</v>
      </c>
      <c r="V66" s="84">
        <v>2.2305000000000002E-2</v>
      </c>
      <c r="W66" s="84">
        <v>2.231E-2</v>
      </c>
      <c r="X66" s="84">
        <v>2.2305000000000002E-2</v>
      </c>
      <c r="Y66" s="84">
        <v>1.1155E-2</v>
      </c>
      <c r="Z66" s="72"/>
      <c r="AA66" s="72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288"/>
      <c r="AO66" s="26"/>
      <c r="AP66" s="76">
        <f>SUM(D66:AO66)</f>
        <v>1.0000000000000004</v>
      </c>
    </row>
    <row r="69" spans="1:42" x14ac:dyDescent="0.35">
      <c r="B69" s="78"/>
    </row>
  </sheetData>
  <mergeCells count="1">
    <mergeCell ref="E1:F1"/>
  </mergeCells>
  <printOptions horizontalCentered="1"/>
  <pageMargins left="0.75" right="0.5" top="0.5" bottom="0.5" header="0.5" footer="0.25"/>
  <pageSetup scale="1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L44"/>
  <sheetViews>
    <sheetView topLeftCell="A8" zoomScale="70" zoomScaleNormal="70" workbookViewId="0">
      <selection activeCell="B2" sqref="B2:L2"/>
    </sheetView>
  </sheetViews>
  <sheetFormatPr defaultColWidth="9.08984375" defaultRowHeight="14.5" x14ac:dyDescent="0.35"/>
  <cols>
    <col min="1" max="1" width="3" style="338" bestFit="1" customWidth="1"/>
    <col min="2" max="2" width="24.36328125" style="338" customWidth="1"/>
    <col min="3" max="3" width="19.54296875" style="338" bestFit="1" customWidth="1"/>
    <col min="4" max="5" width="19.6328125" style="292" bestFit="1" customWidth="1"/>
    <col min="6" max="6" width="12.36328125" style="292" bestFit="1" customWidth="1"/>
    <col min="7" max="8" width="9.08984375" style="338"/>
    <col min="9" max="10" width="12.54296875" style="338" bestFit="1" customWidth="1"/>
    <col min="11" max="11" width="12.453125" style="338" bestFit="1" customWidth="1"/>
    <col min="12" max="16384" width="9.08984375" style="338"/>
  </cols>
  <sheetData>
    <row r="2" spans="1:12" ht="15.5" x14ac:dyDescent="0.35">
      <c r="B2" s="149" t="s">
        <v>345</v>
      </c>
      <c r="C2" s="149"/>
      <c r="D2" s="150"/>
      <c r="E2" s="150"/>
      <c r="F2" s="150"/>
    </row>
    <row r="3" spans="1:12" ht="15.5" x14ac:dyDescent="0.35">
      <c r="B3" s="149"/>
      <c r="C3" s="149"/>
      <c r="D3" s="150"/>
      <c r="E3" s="150"/>
      <c r="F3" s="150"/>
    </row>
    <row r="4" spans="1:12" ht="16" thickBot="1" x14ac:dyDescent="0.4">
      <c r="B4" s="226" t="s">
        <v>377</v>
      </c>
      <c r="C4" s="227"/>
      <c r="D4" s="228">
        <f>D23</f>
        <v>6472427.3420509053</v>
      </c>
      <c r="E4" s="228">
        <f t="shared" ref="E4:F4" si="0">E23</f>
        <v>7083256.8804140398</v>
      </c>
      <c r="F4" s="228">
        <f t="shared" si="0"/>
        <v>610829.53836313449</v>
      </c>
    </row>
    <row r="5" spans="1:12" ht="15.5" x14ac:dyDescent="0.35">
      <c r="B5" s="149"/>
      <c r="C5" s="149"/>
      <c r="D5" s="151" t="s">
        <v>346</v>
      </c>
      <c r="E5" s="151" t="s">
        <v>346</v>
      </c>
      <c r="F5" s="150"/>
    </row>
    <row r="6" spans="1:12" x14ac:dyDescent="0.35">
      <c r="A6" s="152"/>
      <c r="B6" s="152"/>
      <c r="C6" s="152"/>
      <c r="D6" s="153" t="s">
        <v>118</v>
      </c>
      <c r="E6" s="153" t="s">
        <v>119</v>
      </c>
      <c r="F6" s="153"/>
      <c r="I6"/>
      <c r="J6"/>
      <c r="K6"/>
      <c r="L6"/>
    </row>
    <row r="7" spans="1:12" x14ac:dyDescent="0.35">
      <c r="A7" s="154"/>
      <c r="B7" s="154"/>
      <c r="C7" s="154"/>
      <c r="D7" s="155"/>
      <c r="I7"/>
      <c r="J7"/>
      <c r="K7"/>
      <c r="L7"/>
    </row>
    <row r="8" spans="1:12" x14ac:dyDescent="0.35">
      <c r="A8" s="156">
        <v>1</v>
      </c>
      <c r="B8" s="25" t="s">
        <v>53</v>
      </c>
      <c r="C8" s="25"/>
      <c r="D8" s="160">
        <f>'2019 CRM Orig Flng'!E27</f>
        <v>1354267.8821539553</v>
      </c>
      <c r="E8" s="382">
        <f>E38</f>
        <v>1482270.176383141</v>
      </c>
      <c r="F8" s="382">
        <f>E8-D8</f>
        <v>128002.29422918567</v>
      </c>
      <c r="H8" s="384">
        <f>E8/E30</f>
        <v>2.4780774958672348E-2</v>
      </c>
      <c r="I8"/>
      <c r="J8"/>
      <c r="K8"/>
      <c r="L8"/>
    </row>
    <row r="9" spans="1:12" x14ac:dyDescent="0.35">
      <c r="A9" s="154"/>
      <c r="B9" s="25"/>
      <c r="C9" s="25"/>
      <c r="D9" s="180"/>
      <c r="I9"/>
      <c r="J9"/>
      <c r="K9"/>
      <c r="L9"/>
    </row>
    <row r="10" spans="1:12" x14ac:dyDescent="0.35">
      <c r="A10" s="156">
        <f>A8+1</f>
        <v>2</v>
      </c>
      <c r="B10" s="25" t="s">
        <v>54</v>
      </c>
      <c r="C10" s="25"/>
      <c r="D10" s="160">
        <f>'2019 CRM Orig Flng'!E29</f>
        <v>669816.44556032098</v>
      </c>
      <c r="E10" s="382">
        <f>'2019 CRM+True Up'!E53</f>
        <v>733002.76971787796</v>
      </c>
      <c r="F10" s="382">
        <f>E10-D10</f>
        <v>63186.324157556985</v>
      </c>
      <c r="I10"/>
      <c r="J10"/>
      <c r="K10"/>
      <c r="L10"/>
    </row>
    <row r="11" spans="1:12" x14ac:dyDescent="0.35">
      <c r="A11" s="154"/>
      <c r="B11" s="25"/>
      <c r="C11" s="25"/>
      <c r="D11" s="180"/>
      <c r="I11"/>
      <c r="J11"/>
      <c r="K11"/>
      <c r="L11"/>
    </row>
    <row r="12" spans="1:12" x14ac:dyDescent="0.35">
      <c r="A12" s="154"/>
      <c r="B12" s="25" t="s">
        <v>55</v>
      </c>
      <c r="C12" s="25"/>
      <c r="D12" s="180"/>
      <c r="I12"/>
      <c r="J12"/>
      <c r="K12"/>
      <c r="L12"/>
    </row>
    <row r="13" spans="1:12" x14ac:dyDescent="0.35">
      <c r="A13" s="156">
        <f>A10+1</f>
        <v>3</v>
      </c>
      <c r="B13" s="25"/>
      <c r="C13" s="25" t="s">
        <v>56</v>
      </c>
      <c r="D13" s="157">
        <v>0</v>
      </c>
      <c r="E13" s="382">
        <v>0</v>
      </c>
      <c r="F13" s="385">
        <f t="shared" ref="F13:F16" si="1">E13-D13</f>
        <v>0</v>
      </c>
      <c r="I13"/>
      <c r="J13"/>
      <c r="K13"/>
      <c r="L13"/>
    </row>
    <row r="14" spans="1:12" x14ac:dyDescent="0.35">
      <c r="A14" s="156">
        <f>A13+1</f>
        <v>4</v>
      </c>
      <c r="B14" s="25"/>
      <c r="C14" s="25" t="s">
        <v>57</v>
      </c>
      <c r="D14" s="157">
        <f>'2019 CRM Orig Flng'!E33</f>
        <v>1634307.8463568168</v>
      </c>
      <c r="E14" s="382">
        <f>'2019 CRM+True Up'!E33</f>
        <v>1788478.3001245733</v>
      </c>
      <c r="F14" s="385">
        <f t="shared" si="1"/>
        <v>154170.45376775647</v>
      </c>
      <c r="I14"/>
      <c r="J14"/>
      <c r="K14"/>
      <c r="L14"/>
    </row>
    <row r="15" spans="1:12" x14ac:dyDescent="0.35">
      <c r="A15" s="156">
        <f>A14+1</f>
        <v>5</v>
      </c>
      <c r="B15" s="25"/>
      <c r="C15" s="25" t="s">
        <v>9</v>
      </c>
      <c r="D15" s="158">
        <f>'2019 CRM Orig Flng'!E34</f>
        <v>2519785.6761554936</v>
      </c>
      <c r="E15" s="386">
        <f>'2019 CRM+True Up'!E34</f>
        <v>2757486.6098910649</v>
      </c>
      <c r="F15" s="386">
        <f t="shared" si="1"/>
        <v>237700.93373557134</v>
      </c>
      <c r="I15"/>
      <c r="J15"/>
      <c r="K15"/>
      <c r="L15"/>
    </row>
    <row r="16" spans="1:12" x14ac:dyDescent="0.35">
      <c r="A16" s="156">
        <f>A15+1</f>
        <v>6</v>
      </c>
      <c r="B16" s="25"/>
      <c r="C16" s="25" t="s">
        <v>58</v>
      </c>
      <c r="D16" s="160">
        <f>'2019 CRM Orig Flng'!E35</f>
        <v>4154093.5225123102</v>
      </c>
      <c r="E16" s="382">
        <f>SUM(E13:E15)</f>
        <v>4545964.910015638</v>
      </c>
      <c r="F16" s="382">
        <f t="shared" si="1"/>
        <v>391871.3875033278</v>
      </c>
      <c r="I16"/>
      <c r="J16"/>
      <c r="K16"/>
      <c r="L16"/>
    </row>
    <row r="17" spans="1:12" x14ac:dyDescent="0.35">
      <c r="A17" s="154"/>
      <c r="B17" s="25"/>
      <c r="C17" s="25"/>
      <c r="D17" s="180"/>
      <c r="I17"/>
      <c r="J17"/>
      <c r="K17"/>
      <c r="L17"/>
    </row>
    <row r="18" spans="1:12" x14ac:dyDescent="0.35">
      <c r="A18" s="156">
        <f>A16+1</f>
        <v>7</v>
      </c>
      <c r="B18" s="25" t="s">
        <v>59</v>
      </c>
      <c r="C18" s="25"/>
      <c r="D18" s="157">
        <f>'2019 CRM Orig Flng'!E37</f>
        <v>6178177.8502265867</v>
      </c>
      <c r="E18" s="382">
        <f>SUM(E8,E10,E16)</f>
        <v>6761237.8561166571</v>
      </c>
      <c r="F18" s="382">
        <f t="shared" ref="F18:F20" si="2">E18-D18</f>
        <v>583060.00589007046</v>
      </c>
      <c r="I18"/>
      <c r="J18"/>
      <c r="K18"/>
      <c r="L18"/>
    </row>
    <row r="19" spans="1:12" x14ac:dyDescent="0.35">
      <c r="A19" s="156">
        <f>A18+1</f>
        <v>8</v>
      </c>
      <c r="B19" s="25" t="s">
        <v>60</v>
      </c>
      <c r="C19" s="25"/>
      <c r="D19" s="158">
        <f>'2019 CRM Orig Flng'!E38</f>
        <v>294249.49182431865</v>
      </c>
      <c r="E19" s="386">
        <f>'2019 CRM+True Up'!E38</f>
        <v>322019.02429738268</v>
      </c>
      <c r="F19" s="386">
        <f>E19-D19</f>
        <v>27769.532473064028</v>
      </c>
      <c r="I19"/>
      <c r="J19"/>
      <c r="K19"/>
      <c r="L19"/>
    </row>
    <row r="20" spans="1:12" x14ac:dyDescent="0.35">
      <c r="A20" s="156">
        <f>A19+1</f>
        <v>9</v>
      </c>
      <c r="B20" s="25"/>
      <c r="C20" s="25" t="s">
        <v>61</v>
      </c>
      <c r="D20" s="157">
        <f>SUM(D18:D19)</f>
        <v>6472427.3420509053</v>
      </c>
      <c r="E20" s="382">
        <f>SUM(E18:E19)</f>
        <v>7083256.8804140398</v>
      </c>
      <c r="F20" s="382">
        <f t="shared" si="2"/>
        <v>610829.53836313449</v>
      </c>
      <c r="I20"/>
      <c r="J20"/>
      <c r="K20"/>
      <c r="L20"/>
    </row>
    <row r="21" spans="1:12" x14ac:dyDescent="0.35">
      <c r="A21" s="156">
        <f t="shared" ref="A21:A43" si="3">A20+1</f>
        <v>10</v>
      </c>
      <c r="B21" s="25"/>
      <c r="C21" s="25"/>
      <c r="D21" s="208"/>
      <c r="I21"/>
      <c r="J21"/>
      <c r="K21"/>
      <c r="L21"/>
    </row>
    <row r="22" spans="1:12" x14ac:dyDescent="0.35">
      <c r="A22" s="156">
        <f t="shared" si="3"/>
        <v>11</v>
      </c>
      <c r="B22" s="25"/>
      <c r="C22" s="25"/>
      <c r="D22" s="180"/>
      <c r="I22"/>
      <c r="J22"/>
      <c r="K22"/>
      <c r="L22"/>
    </row>
    <row r="23" spans="1:12" x14ac:dyDescent="0.35">
      <c r="A23" s="156">
        <f t="shared" si="3"/>
        <v>12</v>
      </c>
      <c r="B23" s="25" t="s">
        <v>62</v>
      </c>
      <c r="C23" s="25"/>
      <c r="D23" s="158">
        <f>D20</f>
        <v>6472427.3420509053</v>
      </c>
      <c r="E23" s="386">
        <f>+E20</f>
        <v>7083256.8804140398</v>
      </c>
      <c r="F23" s="386">
        <f>E23-D23</f>
        <v>610829.53836313449</v>
      </c>
      <c r="I23"/>
      <c r="J23"/>
      <c r="K23"/>
      <c r="L23"/>
    </row>
    <row r="24" spans="1:12" ht="15" thickBot="1" x14ac:dyDescent="0.4">
      <c r="A24" s="156">
        <f t="shared" si="3"/>
        <v>13</v>
      </c>
      <c r="B24" s="231" t="s">
        <v>102</v>
      </c>
      <c r="C24" s="231"/>
      <c r="D24" s="232"/>
      <c r="E24" s="387">
        <f>+E23-D23</f>
        <v>610829.53836313449</v>
      </c>
      <c r="F24" s="387"/>
      <c r="I24"/>
      <c r="J24"/>
      <c r="K24"/>
      <c r="L24"/>
    </row>
    <row r="25" spans="1:12" ht="15" thickTop="1" x14ac:dyDescent="0.35">
      <c r="A25" s="156">
        <f t="shared" si="3"/>
        <v>14</v>
      </c>
      <c r="B25" s="25"/>
      <c r="C25" s="25"/>
      <c r="D25" s="288"/>
      <c r="I25"/>
      <c r="J25"/>
      <c r="K25"/>
      <c r="L25"/>
    </row>
    <row r="26" spans="1:12" x14ac:dyDescent="0.35">
      <c r="A26" s="156">
        <f t="shared" si="3"/>
        <v>15</v>
      </c>
      <c r="B26" s="25" t="s">
        <v>63</v>
      </c>
      <c r="C26" s="288"/>
      <c r="D26" s="159">
        <f>'2019 CRM Orig Flng'!E45</f>
        <v>0.11683178739321196</v>
      </c>
      <c r="E26" s="347">
        <f>'2019 CRM Orig Flng'!E45</f>
        <v>0.11683178739321196</v>
      </c>
      <c r="F26" s="347">
        <f>E26-D26</f>
        <v>0</v>
      </c>
      <c r="I26"/>
      <c r="J26"/>
      <c r="K26"/>
      <c r="L26"/>
    </row>
    <row r="27" spans="1:12" x14ac:dyDescent="0.35">
      <c r="A27" s="156">
        <f t="shared" si="3"/>
        <v>16</v>
      </c>
      <c r="B27" s="25"/>
      <c r="C27" s="25"/>
      <c r="D27" s="288"/>
      <c r="I27"/>
      <c r="J27"/>
      <c r="K27"/>
      <c r="L27"/>
    </row>
    <row r="28" spans="1:12" x14ac:dyDescent="0.35">
      <c r="A28" s="156">
        <f t="shared" si="3"/>
        <v>17</v>
      </c>
      <c r="B28" s="25" t="s">
        <v>287</v>
      </c>
      <c r="C28" s="25"/>
      <c r="D28" s="159">
        <f>'2019 CRM Orig Flng'!F16</f>
        <v>4.5462000000000002E-2</v>
      </c>
      <c r="E28" s="159">
        <f>D28</f>
        <v>4.5462000000000002E-2</v>
      </c>
      <c r="F28" s="382"/>
      <c r="I28"/>
      <c r="J28"/>
      <c r="K28"/>
      <c r="L28"/>
    </row>
    <row r="29" spans="1:12" x14ac:dyDescent="0.35">
      <c r="A29" s="156">
        <f t="shared" si="3"/>
        <v>18</v>
      </c>
      <c r="B29" s="25"/>
      <c r="C29" s="25"/>
      <c r="D29" s="209"/>
      <c r="E29" s="386"/>
      <c r="F29" s="386"/>
      <c r="I29"/>
      <c r="J29"/>
      <c r="K29"/>
      <c r="L29"/>
    </row>
    <row r="30" spans="1:12" x14ac:dyDescent="0.35">
      <c r="A30" s="156">
        <f t="shared" si="3"/>
        <v>19</v>
      </c>
      <c r="B30" s="69" t="s">
        <v>64</v>
      </c>
      <c r="C30" s="25"/>
      <c r="D30" s="157">
        <f>'2019 CRM Orig Flng'!E49</f>
        <v>54659125.29621461</v>
      </c>
      <c r="E30" s="382">
        <f>'2019 CRM+True Up'!E49</f>
        <v>59815327.763363659</v>
      </c>
      <c r="F30" s="382">
        <f t="shared" ref="F30" si="4">E30-D30</f>
        <v>5156202.467149049</v>
      </c>
      <c r="I30"/>
      <c r="J30"/>
      <c r="K30"/>
      <c r="L30"/>
    </row>
    <row r="31" spans="1:12" x14ac:dyDescent="0.35">
      <c r="A31" s="156">
        <f t="shared" si="3"/>
        <v>20</v>
      </c>
      <c r="B31" s="25"/>
      <c r="C31" s="25"/>
      <c r="D31" s="160"/>
      <c r="I31"/>
      <c r="J31"/>
      <c r="K31"/>
      <c r="L31"/>
    </row>
    <row r="32" spans="1:12" x14ac:dyDescent="0.35">
      <c r="A32" s="156">
        <f t="shared" si="3"/>
        <v>21</v>
      </c>
      <c r="B32" s="25"/>
      <c r="C32" s="25"/>
      <c r="D32" s="160"/>
      <c r="I32"/>
      <c r="J32"/>
      <c r="K32"/>
      <c r="L32"/>
    </row>
    <row r="33" spans="1:12" x14ac:dyDescent="0.35">
      <c r="A33" s="156">
        <f t="shared" si="3"/>
        <v>22</v>
      </c>
      <c r="B33" s="25" t="s">
        <v>65</v>
      </c>
      <c r="C33" s="25"/>
      <c r="D33" s="160">
        <f>'2019 CRM Orig Flng'!E52</f>
        <v>3189602.1217158143</v>
      </c>
      <c r="E33" s="382">
        <f>'2019 CRM+True Up'!E52</f>
        <v>3490489.3796089427</v>
      </c>
      <c r="F33" s="382">
        <f>E33-D33</f>
        <v>300887.25789312832</v>
      </c>
      <c r="I33"/>
      <c r="J33"/>
      <c r="K33"/>
      <c r="L33"/>
    </row>
    <row r="34" spans="1:12" x14ac:dyDescent="0.35">
      <c r="A34" s="156">
        <f t="shared" si="3"/>
        <v>23</v>
      </c>
      <c r="B34" s="25" t="s">
        <v>66</v>
      </c>
      <c r="C34" s="25"/>
      <c r="D34" s="158">
        <f>'2019 CRM Orig Flng'!E53</f>
        <v>669816.44556032098</v>
      </c>
      <c r="E34" s="386">
        <f>'2019 CRM+True Up'!E53</f>
        <v>733002.76971787796</v>
      </c>
      <c r="F34" s="386">
        <f>E34-D34</f>
        <v>63186.324157556985</v>
      </c>
      <c r="I34"/>
      <c r="J34"/>
      <c r="K34"/>
      <c r="L34"/>
    </row>
    <row r="35" spans="1:12" x14ac:dyDescent="0.35">
      <c r="A35" s="156">
        <f t="shared" si="3"/>
        <v>24</v>
      </c>
      <c r="B35" s="25" t="s">
        <v>67</v>
      </c>
      <c r="C35" s="25"/>
      <c r="D35" s="382">
        <f>D33-D34</f>
        <v>2519785.6761554936</v>
      </c>
      <c r="E35" s="382">
        <f>E33-E34</f>
        <v>2757486.6098910645</v>
      </c>
      <c r="F35" s="382">
        <f>E35-D35</f>
        <v>237700.93373557087</v>
      </c>
      <c r="I35"/>
      <c r="J35"/>
      <c r="K35"/>
      <c r="L35"/>
    </row>
    <row r="36" spans="1:12" x14ac:dyDescent="0.35">
      <c r="A36" s="156">
        <f t="shared" si="3"/>
        <v>25</v>
      </c>
      <c r="B36" s="25"/>
      <c r="C36" s="25"/>
      <c r="D36" s="290"/>
      <c r="I36"/>
      <c r="J36"/>
      <c r="K36"/>
      <c r="L36"/>
    </row>
    <row r="37" spans="1:12" x14ac:dyDescent="0.35">
      <c r="A37" s="156">
        <f t="shared" si="3"/>
        <v>26</v>
      </c>
      <c r="B37" s="25"/>
      <c r="C37" s="25"/>
      <c r="D37" s="290"/>
      <c r="I37"/>
      <c r="J37"/>
      <c r="K37"/>
      <c r="L37"/>
    </row>
    <row r="38" spans="1:12" x14ac:dyDescent="0.35">
      <c r="A38" s="156">
        <f t="shared" si="3"/>
        <v>27</v>
      </c>
      <c r="B38" s="25" t="s">
        <v>68</v>
      </c>
      <c r="C38" s="25"/>
      <c r="D38" s="160">
        <f>'2019 CRM Orig Flng'!E57</f>
        <v>1354267.8821539553</v>
      </c>
      <c r="E38" s="382">
        <f>'2019 CRM+True Up'!E27</f>
        <v>1482270.176383141</v>
      </c>
      <c r="F38" s="382">
        <f t="shared" ref="F38:F41" si="5">E38-D38</f>
        <v>128002.29422918567</v>
      </c>
      <c r="I38"/>
      <c r="J38"/>
      <c r="K38"/>
      <c r="L38"/>
    </row>
    <row r="39" spans="1:12" x14ac:dyDescent="0.35">
      <c r="A39" s="156">
        <f t="shared" si="3"/>
        <v>28</v>
      </c>
      <c r="B39" s="25" t="s">
        <v>69</v>
      </c>
      <c r="C39" s="25"/>
      <c r="D39" s="160">
        <f>'2019 CRM Orig Flng'!E58</f>
        <v>2077482.7702499996</v>
      </c>
      <c r="E39" s="382">
        <f>'2019 CRM+True Up'!E58</f>
        <v>2273984.7329999995</v>
      </c>
      <c r="F39" s="382">
        <f t="shared" si="5"/>
        <v>196501.96274999995</v>
      </c>
      <c r="I39"/>
      <c r="J39"/>
      <c r="K39"/>
      <c r="L39"/>
    </row>
    <row r="40" spans="1:12" x14ac:dyDescent="0.35">
      <c r="A40" s="156">
        <f t="shared" si="3"/>
        <v>29</v>
      </c>
      <c r="B40" s="25" t="s">
        <v>70</v>
      </c>
      <c r="C40" s="25"/>
      <c r="D40" s="160">
        <f>'2019 CRM Orig Flng'!E59</f>
        <v>723214.88809604431</v>
      </c>
      <c r="E40" s="382">
        <f>E39-E38</f>
        <v>791714.55661685858</v>
      </c>
      <c r="F40" s="382">
        <f t="shared" si="5"/>
        <v>68499.668520814274</v>
      </c>
      <c r="I40"/>
      <c r="J40"/>
      <c r="K40"/>
      <c r="L40"/>
    </row>
    <row r="41" spans="1:12" x14ac:dyDescent="0.35">
      <c r="A41" s="156">
        <f t="shared" si="3"/>
        <v>30</v>
      </c>
      <c r="B41" s="25" t="s">
        <v>71</v>
      </c>
      <c r="C41" s="25"/>
      <c r="D41" s="160">
        <f>'2019 CRM Orig Flng'!E60</f>
        <v>126562.60541680775</v>
      </c>
      <c r="E41" s="382">
        <f>'2019 CRM+True Up'!E60</f>
        <v>166260.05688954028</v>
      </c>
      <c r="F41" s="382">
        <f t="shared" si="5"/>
        <v>39697.45147273253</v>
      </c>
      <c r="I41"/>
      <c r="J41"/>
      <c r="K41"/>
      <c r="L41"/>
    </row>
    <row r="42" spans="1:12" x14ac:dyDescent="0.35">
      <c r="A42" s="156">
        <f t="shared" si="3"/>
        <v>31</v>
      </c>
      <c r="B42" s="25"/>
      <c r="C42" s="25"/>
      <c r="D42" s="161"/>
      <c r="I42"/>
      <c r="J42"/>
      <c r="K42"/>
      <c r="L42"/>
    </row>
    <row r="43" spans="1:12" x14ac:dyDescent="0.35">
      <c r="A43" s="156">
        <f t="shared" si="3"/>
        <v>32</v>
      </c>
      <c r="B43" s="25" t="s">
        <v>72</v>
      </c>
      <c r="C43" s="25"/>
      <c r="D43" s="162">
        <f>'2019 CRM Orig Flng'!E66</f>
        <v>0.51875000000000004</v>
      </c>
      <c r="E43" s="388">
        <f>'2019 CRM+True Up'!E66</f>
        <v>0.51875000000000004</v>
      </c>
      <c r="F43" s="388">
        <f>E43-D43</f>
        <v>0</v>
      </c>
      <c r="I43"/>
      <c r="J43"/>
      <c r="K43"/>
      <c r="L43"/>
    </row>
    <row r="44" spans="1:12" x14ac:dyDescent="0.35">
      <c r="I44"/>
      <c r="J44"/>
      <c r="K44"/>
      <c r="L44"/>
    </row>
  </sheetData>
  <pageMargins left="0.45" right="0.4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3:F21"/>
  <sheetViews>
    <sheetView zoomScale="70" zoomScaleNormal="70" workbookViewId="0">
      <selection activeCell="K41" sqref="K41"/>
    </sheetView>
  </sheetViews>
  <sheetFormatPr defaultColWidth="9.08984375" defaultRowHeight="12.5" x14ac:dyDescent="0.25"/>
  <cols>
    <col min="1" max="1" width="3.54296875" style="88" customWidth="1"/>
    <col min="2" max="2" width="8.6328125" style="88" customWidth="1"/>
    <col min="3" max="3" width="63" style="88" bestFit="1" customWidth="1"/>
    <col min="4" max="4" width="4.453125" style="88" customWidth="1"/>
    <col min="5" max="16384" width="9.08984375" style="88"/>
  </cols>
  <sheetData>
    <row r="3" spans="2:6" ht="13" thickBot="1" x14ac:dyDescent="0.3"/>
    <row r="4" spans="2:6" ht="13.5" thickBot="1" x14ac:dyDescent="0.35">
      <c r="B4" s="86"/>
      <c r="C4" s="86"/>
      <c r="D4" s="86"/>
      <c r="E4" s="86"/>
      <c r="F4" s="89" t="s">
        <v>195</v>
      </c>
    </row>
    <row r="5" spans="2:6" ht="13" x14ac:dyDescent="0.3">
      <c r="C5" s="403" t="s">
        <v>196</v>
      </c>
      <c r="D5" s="403"/>
      <c r="E5" s="403"/>
      <c r="F5" s="403"/>
    </row>
    <row r="6" spans="2:6" ht="13" x14ac:dyDescent="0.3">
      <c r="B6" s="90"/>
      <c r="C6" s="404" t="s">
        <v>202</v>
      </c>
      <c r="D6" s="404"/>
      <c r="E6" s="404"/>
      <c r="F6" s="404"/>
    </row>
    <row r="7" spans="2:6" ht="13" x14ac:dyDescent="0.3">
      <c r="B7" s="91"/>
      <c r="C7" s="405" t="s">
        <v>197</v>
      </c>
      <c r="D7" s="405"/>
      <c r="E7" s="405"/>
      <c r="F7" s="405"/>
    </row>
    <row r="8" spans="2:6" ht="13" x14ac:dyDescent="0.3">
      <c r="B8" s="91"/>
      <c r="C8" s="405"/>
      <c r="D8" s="405"/>
      <c r="E8" s="405"/>
      <c r="F8" s="405"/>
    </row>
    <row r="9" spans="2:6" ht="13" x14ac:dyDescent="0.3">
      <c r="B9" s="86"/>
      <c r="C9" s="86"/>
      <c r="D9" s="86"/>
      <c r="E9" s="86"/>
      <c r="F9" s="86"/>
    </row>
    <row r="10" spans="2:6" ht="13" x14ac:dyDescent="0.3">
      <c r="B10" s="284" t="s">
        <v>108</v>
      </c>
      <c r="C10" s="86"/>
      <c r="D10" s="86"/>
      <c r="E10" s="86"/>
      <c r="F10" s="86"/>
    </row>
    <row r="11" spans="2:6" ht="13" x14ac:dyDescent="0.3">
      <c r="B11" s="92" t="s">
        <v>109</v>
      </c>
      <c r="C11" s="93" t="s">
        <v>110</v>
      </c>
      <c r="D11" s="94"/>
      <c r="E11" s="94"/>
      <c r="F11" s="95" t="s">
        <v>111</v>
      </c>
    </row>
    <row r="12" spans="2:6" ht="13" x14ac:dyDescent="0.3">
      <c r="B12" s="87"/>
      <c r="C12" s="87"/>
      <c r="D12" s="87"/>
      <c r="E12" s="87"/>
      <c r="F12" s="96"/>
    </row>
    <row r="13" spans="2:6" ht="13" x14ac:dyDescent="0.3">
      <c r="B13" s="96">
        <v>1</v>
      </c>
      <c r="C13" s="97" t="s">
        <v>112</v>
      </c>
      <c r="D13" s="87"/>
      <c r="E13" s="87"/>
      <c r="F13" s="98">
        <v>5.1399999999999996E-3</v>
      </c>
    </row>
    <row r="14" spans="2:6" ht="13" x14ac:dyDescent="0.3">
      <c r="B14" s="96">
        <v>2</v>
      </c>
      <c r="C14" s="97" t="s">
        <v>113</v>
      </c>
      <c r="D14" s="87"/>
      <c r="E14" s="87"/>
      <c r="F14" s="98">
        <v>2E-3</v>
      </c>
    </row>
    <row r="15" spans="2:6" ht="13" x14ac:dyDescent="0.3">
      <c r="B15" s="96">
        <v>3</v>
      </c>
      <c r="C15" s="97" t="s">
        <v>198</v>
      </c>
      <c r="D15" s="87"/>
      <c r="E15" s="99">
        <v>3.8519999999999999E-2</v>
      </c>
      <c r="F15" s="100">
        <v>3.8322000000000002E-2</v>
      </c>
    </row>
    <row r="16" spans="2:6" ht="13" x14ac:dyDescent="0.3">
      <c r="B16" s="96">
        <v>4</v>
      </c>
      <c r="C16" s="97"/>
      <c r="D16" s="87"/>
      <c r="E16" s="87"/>
      <c r="F16" s="101"/>
    </row>
    <row r="17" spans="1:6" ht="13" x14ac:dyDescent="0.3">
      <c r="B17" s="96">
        <v>5</v>
      </c>
      <c r="C17" s="97" t="s">
        <v>114</v>
      </c>
      <c r="D17" s="87"/>
      <c r="E17" s="87"/>
      <c r="F17" s="98">
        <v>4.5462000000000002E-2</v>
      </c>
    </row>
    <row r="18" spans="1:6" ht="13" x14ac:dyDescent="0.3">
      <c r="B18" s="96">
        <v>6</v>
      </c>
      <c r="C18" s="87"/>
      <c r="D18" s="87"/>
      <c r="E18" s="87"/>
      <c r="F18" s="98"/>
    </row>
    <row r="19" spans="1:6" ht="13" x14ac:dyDescent="0.3">
      <c r="A19" s="102"/>
      <c r="B19" s="96">
        <v>7</v>
      </c>
      <c r="C19" s="87" t="s">
        <v>115</v>
      </c>
      <c r="D19" s="87"/>
      <c r="E19" s="87"/>
      <c r="F19" s="98">
        <v>0.954538</v>
      </c>
    </row>
    <row r="20" spans="1:6" ht="13" x14ac:dyDescent="0.3">
      <c r="B20" s="96">
        <v>8</v>
      </c>
      <c r="C20" s="97" t="s">
        <v>116</v>
      </c>
      <c r="D20" s="87"/>
      <c r="E20" s="103">
        <v>0.35</v>
      </c>
      <c r="F20" s="98">
        <v>0.334088</v>
      </c>
    </row>
    <row r="21" spans="1:6" ht="13" x14ac:dyDescent="0.3">
      <c r="B21" s="96">
        <v>9</v>
      </c>
      <c r="C21" s="97" t="s">
        <v>117</v>
      </c>
      <c r="D21" s="87"/>
      <c r="E21" s="87"/>
      <c r="F21" s="104">
        <v>0.62044999999999995</v>
      </c>
    </row>
  </sheetData>
  <mergeCells count="4">
    <mergeCell ref="C5:F5"/>
    <mergeCell ref="C6:F6"/>
    <mergeCell ref="C7:F7"/>
    <mergeCell ref="C8:F8"/>
  </mergeCells>
  <printOptions horizontalCentered="1"/>
  <pageMargins left="0.68" right="0.5600000000000000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E24"/>
  <sheetViews>
    <sheetView zoomScale="90" zoomScaleNormal="90" workbookViewId="0">
      <selection activeCell="B21" sqref="B21"/>
    </sheetView>
  </sheetViews>
  <sheetFormatPr defaultColWidth="9.08984375" defaultRowHeight="12.5" x14ac:dyDescent="0.25"/>
  <cols>
    <col min="1" max="1" width="55.36328125" style="183" customWidth="1"/>
    <col min="2" max="2" width="19.453125" style="183" bestFit="1" customWidth="1"/>
    <col min="3" max="16384" width="9.08984375" style="183"/>
  </cols>
  <sheetData>
    <row r="3" spans="1:5" ht="13" x14ac:dyDescent="0.3">
      <c r="A3" s="141" t="s">
        <v>76</v>
      </c>
      <c r="B3" s="141"/>
    </row>
    <row r="4" spans="1:5" ht="13" x14ac:dyDescent="0.3">
      <c r="A4" s="141" t="s">
        <v>77</v>
      </c>
      <c r="B4" s="141"/>
    </row>
    <row r="5" spans="1:5" ht="13" x14ac:dyDescent="0.3">
      <c r="A5" s="141" t="s">
        <v>312</v>
      </c>
      <c r="B5" s="141"/>
    </row>
    <row r="6" spans="1:5" ht="13" x14ac:dyDescent="0.3">
      <c r="A6" s="141" t="s">
        <v>409</v>
      </c>
      <c r="B6" s="141"/>
    </row>
    <row r="7" spans="1:5" ht="13" x14ac:dyDescent="0.3">
      <c r="A7" s="141"/>
      <c r="B7" s="141"/>
    </row>
    <row r="9" spans="1:5" ht="65.25" customHeight="1" x14ac:dyDescent="0.25">
      <c r="A9" s="142" t="s">
        <v>101</v>
      </c>
      <c r="B9" s="143" t="s">
        <v>177</v>
      </c>
    </row>
    <row r="10" spans="1:5" ht="27.75" customHeight="1" x14ac:dyDescent="0.25">
      <c r="A10" s="144"/>
      <c r="B10" s="145"/>
    </row>
    <row r="11" spans="1:5" x14ac:dyDescent="0.25">
      <c r="A11" s="144" t="s">
        <v>313</v>
      </c>
      <c r="B11" s="179">
        <f>'2019 CRM+True Up'!F42</f>
        <v>6774758.768335294</v>
      </c>
      <c r="D11" s="285"/>
      <c r="E11" s="286"/>
    </row>
    <row r="12" spans="1:5" x14ac:dyDescent="0.25">
      <c r="A12" s="144" t="s">
        <v>314</v>
      </c>
      <c r="B12" s="179">
        <f>'2019TrueUp'!E24</f>
        <v>610829.53836313449</v>
      </c>
      <c r="E12" s="286"/>
    </row>
    <row r="13" spans="1:5" x14ac:dyDescent="0.25">
      <c r="A13" s="144" t="s">
        <v>315</v>
      </c>
      <c r="B13" s="179">
        <f>'2020 C&amp;OM'!F28</f>
        <v>10224465.305644773</v>
      </c>
      <c r="E13" s="286"/>
    </row>
    <row r="14" spans="1:5" ht="13.5" thickBot="1" x14ac:dyDescent="0.35">
      <c r="A14" s="218" t="s">
        <v>410</v>
      </c>
      <c r="B14" s="146">
        <f>SUM(B11:B13)</f>
        <v>17610053.6123432</v>
      </c>
      <c r="E14" s="286"/>
    </row>
    <row r="15" spans="1:5" ht="13" thickTop="1" x14ac:dyDescent="0.25">
      <c r="A15" s="147"/>
      <c r="B15" s="148"/>
    </row>
    <row r="16" spans="1:5" x14ac:dyDescent="0.25">
      <c r="A16"/>
      <c r="B16"/>
    </row>
    <row r="17" spans="1:2" x14ac:dyDescent="0.25">
      <c r="A17"/>
      <c r="B17"/>
    </row>
    <row r="18" spans="1:2" x14ac:dyDescent="0.25">
      <c r="A18" s="219" t="s">
        <v>367</v>
      </c>
      <c r="B18"/>
    </row>
    <row r="19" spans="1:2" x14ac:dyDescent="0.25">
      <c r="A19" s="220" t="s">
        <v>368</v>
      </c>
      <c r="B19"/>
    </row>
    <row r="20" spans="1:2" x14ac:dyDescent="0.25">
      <c r="A20" s="287" t="s">
        <v>369</v>
      </c>
      <c r="B20"/>
    </row>
    <row r="21" spans="1:2" x14ac:dyDescent="0.25">
      <c r="A21" s="287" t="s">
        <v>370</v>
      </c>
      <c r="B21"/>
    </row>
    <row r="22" spans="1:2" x14ac:dyDescent="0.25">
      <c r="A22" s="221"/>
      <c r="B22"/>
    </row>
    <row r="23" spans="1:2" x14ac:dyDescent="0.25">
      <c r="A23"/>
      <c r="B23"/>
    </row>
    <row r="24" spans="1:2" x14ac:dyDescent="0.25">
      <c r="A24"/>
      <c r="B24"/>
    </row>
  </sheetData>
  <printOptions horizontalCentered="1"/>
  <pageMargins left="0.7" right="0.7" top="0.75" bottom="0.75" header="0.3" footer="0.3"/>
  <pageSetup orientation="portrait" r:id="rId1"/>
  <headerFooter>
    <oddFooter>&amp;L&amp;F
&amp;A&amp;C&amp;P&amp;R&amp;D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21"/>
  <sheetViews>
    <sheetView zoomScale="70" zoomScaleNormal="70" workbookViewId="0">
      <selection activeCell="L47" sqref="L47"/>
    </sheetView>
  </sheetViews>
  <sheetFormatPr defaultRowHeight="12.5" x14ac:dyDescent="0.25"/>
  <cols>
    <col min="1" max="1" width="5.453125" customWidth="1"/>
    <col min="2" max="2" width="49.90625" bestFit="1" customWidth="1"/>
    <col min="5" max="5" width="18.90625" customWidth="1"/>
    <col min="6" max="6" width="5" bestFit="1" customWidth="1"/>
    <col min="7" max="7" width="75.453125" bestFit="1" customWidth="1"/>
    <col min="9" max="9" width="8.453125" bestFit="1" customWidth="1"/>
    <col min="10" max="10" width="9.54296875" bestFit="1" customWidth="1"/>
  </cols>
  <sheetData>
    <row r="1" spans="1:10" ht="14" x14ac:dyDescent="0.3">
      <c r="A1" s="234" t="s">
        <v>371</v>
      </c>
      <c r="B1" s="235"/>
      <c r="C1" s="235"/>
      <c r="D1" s="236" t="s">
        <v>378</v>
      </c>
      <c r="E1" s="237"/>
      <c r="F1" s="234" t="s">
        <v>371</v>
      </c>
      <c r="G1" s="235"/>
      <c r="H1" s="235"/>
      <c r="I1" s="236" t="s">
        <v>379</v>
      </c>
      <c r="J1" s="237"/>
    </row>
    <row r="2" spans="1:10" ht="14" x14ac:dyDescent="0.3">
      <c r="A2" s="238" t="s">
        <v>380</v>
      </c>
      <c r="B2" s="238"/>
      <c r="C2" s="238"/>
      <c r="D2" s="238"/>
      <c r="E2" s="238"/>
      <c r="F2" s="238" t="s">
        <v>380</v>
      </c>
      <c r="G2" s="238"/>
      <c r="H2" s="239"/>
      <c r="I2" s="239"/>
      <c r="J2" s="239"/>
    </row>
    <row r="3" spans="1:10" ht="14" x14ac:dyDescent="0.3">
      <c r="A3" s="238" t="s">
        <v>381</v>
      </c>
      <c r="B3" s="238"/>
      <c r="C3" s="238"/>
      <c r="D3" s="238"/>
      <c r="E3" s="238"/>
      <c r="F3" s="238" t="s">
        <v>381</v>
      </c>
      <c r="G3" s="238"/>
      <c r="H3" s="239"/>
      <c r="I3" s="239"/>
      <c r="J3" s="239"/>
    </row>
    <row r="4" spans="1:10" ht="14" x14ac:dyDescent="0.3">
      <c r="A4" s="238" t="s">
        <v>382</v>
      </c>
      <c r="B4" s="238"/>
      <c r="C4" s="238"/>
      <c r="D4" s="238"/>
      <c r="E4" s="238"/>
      <c r="F4" s="238" t="s">
        <v>382</v>
      </c>
      <c r="G4" s="238"/>
      <c r="H4" s="239"/>
      <c r="I4" s="239"/>
      <c r="J4" s="239"/>
    </row>
    <row r="5" spans="1:10" ht="14" x14ac:dyDescent="0.3">
      <c r="A5" s="238" t="s">
        <v>383</v>
      </c>
      <c r="B5" s="238"/>
      <c r="C5" s="238"/>
      <c r="D5" s="238"/>
      <c r="E5" s="238"/>
      <c r="F5" s="238" t="s">
        <v>383</v>
      </c>
      <c r="G5" s="238"/>
      <c r="H5" s="239"/>
      <c r="I5" s="239"/>
      <c r="J5" s="239"/>
    </row>
    <row r="6" spans="1:10" ht="14" x14ac:dyDescent="0.3">
      <c r="A6" s="238" t="s">
        <v>384</v>
      </c>
      <c r="B6" s="238"/>
      <c r="C6" s="238"/>
      <c r="D6" s="238"/>
      <c r="E6" s="238"/>
      <c r="F6" s="238" t="s">
        <v>385</v>
      </c>
      <c r="G6" s="238"/>
      <c r="H6" s="238"/>
      <c r="I6" s="238"/>
      <c r="J6" s="238"/>
    </row>
    <row r="7" spans="1:10" ht="14" x14ac:dyDescent="0.3">
      <c r="A7" s="235"/>
      <c r="B7" s="239"/>
      <c r="C7" s="239"/>
      <c r="D7" s="239"/>
      <c r="E7" s="239"/>
      <c r="F7" s="239"/>
      <c r="G7" s="239"/>
      <c r="H7" s="239"/>
      <c r="I7" s="239"/>
      <c r="J7" s="239"/>
    </row>
    <row r="8" spans="1:10" ht="14" x14ac:dyDescent="0.3">
      <c r="A8" s="235"/>
      <c r="B8" s="235"/>
      <c r="C8" s="235"/>
      <c r="D8" s="235"/>
      <c r="E8" s="235"/>
      <c r="F8" s="239"/>
      <c r="G8" s="239"/>
      <c r="H8" s="239"/>
      <c r="I8" s="239"/>
      <c r="J8" s="235"/>
    </row>
    <row r="9" spans="1:10" ht="13" x14ac:dyDescent="0.3">
      <c r="A9" s="240" t="s">
        <v>108</v>
      </c>
      <c r="B9" s="240"/>
      <c r="C9" s="241" t="s">
        <v>319</v>
      </c>
      <c r="D9" s="242"/>
      <c r="E9" s="241" t="s">
        <v>386</v>
      </c>
      <c r="F9" s="240" t="s">
        <v>108</v>
      </c>
      <c r="G9" s="240"/>
      <c r="H9" s="240"/>
      <c r="I9" s="242"/>
      <c r="J9" s="242"/>
    </row>
    <row r="10" spans="1:10" ht="13" x14ac:dyDescent="0.3">
      <c r="A10" s="243" t="s">
        <v>109</v>
      </c>
      <c r="B10" s="243" t="s">
        <v>110</v>
      </c>
      <c r="C10" s="244" t="s">
        <v>387</v>
      </c>
      <c r="D10" s="244" t="s">
        <v>388</v>
      </c>
      <c r="E10" s="244" t="s">
        <v>388</v>
      </c>
      <c r="F10" s="243" t="s">
        <v>109</v>
      </c>
      <c r="G10" s="243" t="s">
        <v>110</v>
      </c>
      <c r="H10" s="243"/>
      <c r="I10" s="245"/>
      <c r="J10" s="245"/>
    </row>
    <row r="11" spans="1:10" ht="14" x14ac:dyDescent="0.3">
      <c r="A11" s="235"/>
      <c r="B11" s="235"/>
      <c r="C11" s="235"/>
      <c r="D11" s="235"/>
      <c r="E11" s="235"/>
      <c r="F11" s="235"/>
      <c r="G11" s="235"/>
      <c r="H11" s="235"/>
      <c r="I11" s="235"/>
      <c r="J11" s="235"/>
    </row>
    <row r="12" spans="1:10" ht="14" x14ac:dyDescent="0.3">
      <c r="A12" s="246">
        <v>1</v>
      </c>
      <c r="B12" s="247" t="s">
        <v>389</v>
      </c>
      <c r="C12" s="248">
        <v>0.51500000000000001</v>
      </c>
      <c r="D12" s="248">
        <v>5.4951456310679617E-2</v>
      </c>
      <c r="E12" s="248">
        <v>2.8299999999999999E-2</v>
      </c>
      <c r="F12" s="246">
        <v>1</v>
      </c>
      <c r="G12" s="249" t="s">
        <v>112</v>
      </c>
      <c r="H12" s="247"/>
      <c r="I12" s="247"/>
      <c r="J12" s="250">
        <v>5.1240000000000001E-3</v>
      </c>
    </row>
    <row r="13" spans="1:10" ht="14" x14ac:dyDescent="0.3">
      <c r="A13" s="246">
        <v>2</v>
      </c>
      <c r="B13" s="247" t="s">
        <v>390</v>
      </c>
      <c r="C13" s="248">
        <v>0.48499999999999999</v>
      </c>
      <c r="D13" s="248">
        <v>9.4E-2</v>
      </c>
      <c r="E13" s="248">
        <v>4.5600000000000002E-2</v>
      </c>
      <c r="F13" s="246">
        <v>2</v>
      </c>
      <c r="G13" s="249" t="s">
        <v>113</v>
      </c>
      <c r="H13" s="247"/>
      <c r="I13" s="247"/>
      <c r="J13" s="250">
        <v>2E-3</v>
      </c>
    </row>
    <row r="14" spans="1:10" ht="14" x14ac:dyDescent="0.3">
      <c r="A14" s="246">
        <v>3</v>
      </c>
      <c r="B14" s="247" t="s">
        <v>391</v>
      </c>
      <c r="C14" s="251">
        <v>1</v>
      </c>
      <c r="D14" s="252"/>
      <c r="E14" s="253">
        <v>7.3899999999999993E-2</v>
      </c>
      <c r="F14" s="246">
        <v>3</v>
      </c>
      <c r="G14" s="249" t="s">
        <v>392</v>
      </c>
      <c r="H14" s="235"/>
      <c r="I14" s="254">
        <v>3.8519999999999999E-2</v>
      </c>
      <c r="J14" s="255">
        <v>3.8323000000000003E-2</v>
      </c>
    </row>
    <row r="15" spans="1:10" ht="14" x14ac:dyDescent="0.3">
      <c r="A15" s="246">
        <v>4</v>
      </c>
      <c r="B15" s="247"/>
      <c r="C15" s="235"/>
      <c r="D15" s="235"/>
      <c r="E15" s="235"/>
      <c r="F15" s="246">
        <v>4</v>
      </c>
      <c r="G15" s="249"/>
      <c r="H15" s="247"/>
      <c r="I15" s="247"/>
      <c r="J15" s="256"/>
    </row>
    <row r="16" spans="1:10" ht="14" x14ac:dyDescent="0.3">
      <c r="A16" s="246">
        <v>5</v>
      </c>
      <c r="B16" s="247" t="s">
        <v>393</v>
      </c>
      <c r="C16" s="248">
        <v>0.51500000000000001</v>
      </c>
      <c r="D16" s="248">
        <v>4.3411650485436902E-2</v>
      </c>
      <c r="E16" s="248">
        <v>2.24E-2</v>
      </c>
      <c r="F16" s="246">
        <v>5</v>
      </c>
      <c r="G16" s="249" t="s">
        <v>114</v>
      </c>
      <c r="H16" s="247"/>
      <c r="I16" s="247"/>
      <c r="J16" s="257">
        <v>4.5447000000000001E-2</v>
      </c>
    </row>
    <row r="17" spans="1:10" ht="14" x14ac:dyDescent="0.3">
      <c r="A17" s="246">
        <v>6</v>
      </c>
      <c r="B17" s="247" t="s">
        <v>390</v>
      </c>
      <c r="C17" s="248">
        <v>0.48499999999999999</v>
      </c>
      <c r="D17" s="248">
        <v>9.4E-2</v>
      </c>
      <c r="E17" s="248">
        <v>4.5600000000000002E-2</v>
      </c>
      <c r="F17" s="246">
        <v>6</v>
      </c>
      <c r="G17" s="247"/>
      <c r="H17" s="247"/>
      <c r="I17" s="247"/>
      <c r="J17" s="250"/>
    </row>
    <row r="18" spans="1:10" ht="14" x14ac:dyDescent="0.3">
      <c r="A18" s="246">
        <v>7</v>
      </c>
      <c r="B18" s="247" t="s">
        <v>394</v>
      </c>
      <c r="C18" s="251">
        <v>1</v>
      </c>
      <c r="D18" s="252"/>
      <c r="E18" s="251">
        <v>6.8000000000000005E-2</v>
      </c>
      <c r="F18" s="246">
        <v>7</v>
      </c>
      <c r="G18" s="247" t="s">
        <v>395</v>
      </c>
      <c r="H18" s="247"/>
      <c r="I18" s="247"/>
      <c r="J18" s="250">
        <v>0.95455299999999998</v>
      </c>
    </row>
    <row r="19" spans="1:10" ht="14" x14ac:dyDescent="0.3">
      <c r="A19" s="246"/>
      <c r="B19" s="235"/>
      <c r="C19" s="235"/>
      <c r="D19" s="235"/>
      <c r="E19" s="235"/>
      <c r="F19" s="246">
        <v>8</v>
      </c>
      <c r="G19" s="249" t="s">
        <v>396</v>
      </c>
      <c r="H19" s="247"/>
      <c r="I19" s="258">
        <v>0.21</v>
      </c>
      <c r="J19" s="250">
        <v>0.200456</v>
      </c>
    </row>
    <row r="20" spans="1:10" ht="14.5" thickBot="1" x14ac:dyDescent="0.35">
      <c r="A20" s="246"/>
      <c r="B20" s="235"/>
      <c r="C20" s="235"/>
      <c r="D20" s="235"/>
      <c r="E20" s="235"/>
      <c r="F20" s="246">
        <v>9</v>
      </c>
      <c r="G20" s="249" t="s">
        <v>397</v>
      </c>
      <c r="H20" s="247"/>
      <c r="I20" s="247"/>
      <c r="J20" s="259">
        <v>0.75409700000000002</v>
      </c>
    </row>
    <row r="21" spans="1:10" ht="14.5" thickTop="1" x14ac:dyDescent="0.3">
      <c r="A21" s="246"/>
      <c r="B21" s="260"/>
      <c r="C21" s="10"/>
      <c r="D21" s="235"/>
      <c r="E21" s="235"/>
      <c r="F21" s="246"/>
      <c r="G21" s="235"/>
      <c r="H21" s="247"/>
      <c r="I21" s="247"/>
      <c r="J21" s="247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2:W7"/>
  <sheetViews>
    <sheetView zoomScale="70" zoomScaleNormal="70" workbookViewId="0">
      <selection activeCell="B2" sqref="B2:L2"/>
    </sheetView>
  </sheetViews>
  <sheetFormatPr defaultColWidth="9.08984375" defaultRowHeight="15.5" x14ac:dyDescent="0.35"/>
  <cols>
    <col min="1" max="1" width="19.08984375" style="165" bestFit="1" customWidth="1"/>
    <col min="2" max="2" width="11.54296875" style="165" bestFit="1" customWidth="1"/>
    <col min="3" max="22" width="10.36328125" style="165" bestFit="1" customWidth="1"/>
    <col min="23" max="23" width="12.90625" style="165" bestFit="1" customWidth="1"/>
    <col min="24" max="16384" width="9.08984375" style="165"/>
  </cols>
  <sheetData>
    <row r="2" spans="1:23" x14ac:dyDescent="0.35">
      <c r="B2" s="166"/>
    </row>
    <row r="4" spans="1:23" x14ac:dyDescent="0.35">
      <c r="A4" s="167" t="s">
        <v>103</v>
      </c>
      <c r="B4" s="168">
        <v>1</v>
      </c>
      <c r="C4" s="168">
        <v>2</v>
      </c>
      <c r="D4" s="168">
        <v>3</v>
      </c>
      <c r="E4" s="168">
        <v>4</v>
      </c>
      <c r="F4" s="168">
        <v>5</v>
      </c>
      <c r="G4" s="168">
        <v>6</v>
      </c>
      <c r="H4" s="168">
        <v>7</v>
      </c>
      <c r="I4" s="168">
        <v>8</v>
      </c>
      <c r="J4" s="168">
        <v>9</v>
      </c>
      <c r="K4" s="168">
        <v>10</v>
      </c>
      <c r="L4" s="168">
        <v>11</v>
      </c>
      <c r="M4" s="168">
        <v>12</v>
      </c>
      <c r="N4" s="168">
        <v>13</v>
      </c>
      <c r="O4" s="168">
        <v>14</v>
      </c>
      <c r="P4" s="168">
        <v>15</v>
      </c>
      <c r="Q4" s="168">
        <v>16</v>
      </c>
      <c r="R4" s="168">
        <v>17</v>
      </c>
      <c r="S4" s="168">
        <v>18</v>
      </c>
      <c r="T4" s="168">
        <v>19</v>
      </c>
      <c r="U4" s="168">
        <v>20</v>
      </c>
      <c r="V4" s="168">
        <v>21</v>
      </c>
      <c r="W4" s="168" t="s">
        <v>104</v>
      </c>
    </row>
    <row r="5" spans="1:23" x14ac:dyDescent="0.35">
      <c r="A5" s="169" t="s">
        <v>105</v>
      </c>
      <c r="B5" s="170">
        <v>3.7499999999999999E-2</v>
      </c>
      <c r="C5" s="170">
        <v>7.2190000000000004E-2</v>
      </c>
      <c r="D5" s="170">
        <v>6.6769999999999996E-2</v>
      </c>
      <c r="E5" s="170">
        <v>6.1769999999999999E-2</v>
      </c>
      <c r="F5" s="170">
        <v>5.713E-2</v>
      </c>
      <c r="G5" s="170">
        <v>5.2850000000000001E-2</v>
      </c>
      <c r="H5" s="170">
        <v>4.888E-2</v>
      </c>
      <c r="I5" s="170">
        <v>4.5220000000000003E-2</v>
      </c>
      <c r="J5" s="170">
        <v>4.462E-2</v>
      </c>
      <c r="K5" s="170">
        <v>4.4610000000000004E-2</v>
      </c>
      <c r="L5" s="170">
        <v>4.462E-2</v>
      </c>
      <c r="M5" s="170">
        <v>4.4610000000000004E-2</v>
      </c>
      <c r="N5" s="170">
        <v>4.462E-2</v>
      </c>
      <c r="O5" s="170">
        <v>4.4610000000000004E-2</v>
      </c>
      <c r="P5" s="170">
        <v>4.462E-2</v>
      </c>
      <c r="Q5" s="170">
        <v>4.4610000000000004E-2</v>
      </c>
      <c r="R5" s="170">
        <v>4.462E-2</v>
      </c>
      <c r="S5" s="170">
        <v>4.4610000000000004E-2</v>
      </c>
      <c r="T5" s="170">
        <v>4.462E-2</v>
      </c>
      <c r="U5" s="170">
        <v>4.4610000000000004E-2</v>
      </c>
      <c r="V5" s="170">
        <v>2.231E-2</v>
      </c>
      <c r="W5" s="170">
        <f>SUM(B5:V5)</f>
        <v>1.0000000000000002</v>
      </c>
    </row>
    <row r="6" spans="1:23" x14ac:dyDescent="0.35">
      <c r="A6" s="169" t="s">
        <v>106</v>
      </c>
      <c r="B6" s="170">
        <f>B5*0.5+0.5</f>
        <v>0.51875000000000004</v>
      </c>
      <c r="C6" s="170">
        <f>C5*0.5</f>
        <v>3.6095000000000002E-2</v>
      </c>
      <c r="D6" s="170">
        <f t="shared" ref="D6:V6" si="0">D5*0.5</f>
        <v>3.3384999999999998E-2</v>
      </c>
      <c r="E6" s="170">
        <f t="shared" si="0"/>
        <v>3.0884999999999999E-2</v>
      </c>
      <c r="F6" s="170">
        <f t="shared" si="0"/>
        <v>2.8565E-2</v>
      </c>
      <c r="G6" s="170">
        <f t="shared" si="0"/>
        <v>2.6425000000000001E-2</v>
      </c>
      <c r="H6" s="170">
        <f t="shared" si="0"/>
        <v>2.444E-2</v>
      </c>
      <c r="I6" s="170">
        <f t="shared" si="0"/>
        <v>2.2610000000000002E-2</v>
      </c>
      <c r="J6" s="170">
        <f t="shared" si="0"/>
        <v>2.231E-2</v>
      </c>
      <c r="K6" s="170">
        <f t="shared" si="0"/>
        <v>2.2305000000000002E-2</v>
      </c>
      <c r="L6" s="170">
        <f t="shared" si="0"/>
        <v>2.231E-2</v>
      </c>
      <c r="M6" s="170">
        <f t="shared" si="0"/>
        <v>2.2305000000000002E-2</v>
      </c>
      <c r="N6" s="170">
        <f t="shared" si="0"/>
        <v>2.231E-2</v>
      </c>
      <c r="O6" s="170">
        <f t="shared" si="0"/>
        <v>2.2305000000000002E-2</v>
      </c>
      <c r="P6" s="170">
        <f t="shared" si="0"/>
        <v>2.231E-2</v>
      </c>
      <c r="Q6" s="170">
        <f t="shared" si="0"/>
        <v>2.2305000000000002E-2</v>
      </c>
      <c r="R6" s="170">
        <f t="shared" si="0"/>
        <v>2.231E-2</v>
      </c>
      <c r="S6" s="170">
        <f t="shared" si="0"/>
        <v>2.2305000000000002E-2</v>
      </c>
      <c r="T6" s="170">
        <f t="shared" si="0"/>
        <v>2.231E-2</v>
      </c>
      <c r="U6" s="170">
        <f t="shared" si="0"/>
        <v>2.2305000000000002E-2</v>
      </c>
      <c r="V6" s="170">
        <f t="shared" si="0"/>
        <v>1.1155E-2</v>
      </c>
      <c r="W6" s="170">
        <f>SUM(B6:V6)</f>
        <v>1.0000000000000004</v>
      </c>
    </row>
    <row r="7" spans="1:23" x14ac:dyDescent="0.35">
      <c r="A7" s="169" t="s">
        <v>107</v>
      </c>
      <c r="B7" s="170">
        <f>B5*0.6+0.4</f>
        <v>0.42250000000000004</v>
      </c>
      <c r="C7" s="170">
        <f>C5*0.6</f>
        <v>4.3313999999999998E-2</v>
      </c>
      <c r="D7" s="170">
        <f t="shared" ref="D7:V7" si="1">D5*0.6</f>
        <v>4.0061999999999993E-2</v>
      </c>
      <c r="E7" s="170">
        <f t="shared" si="1"/>
        <v>3.7061999999999998E-2</v>
      </c>
      <c r="F7" s="170">
        <f t="shared" si="1"/>
        <v>3.4277999999999996E-2</v>
      </c>
      <c r="G7" s="170">
        <f t="shared" si="1"/>
        <v>3.1710000000000002E-2</v>
      </c>
      <c r="H7" s="170">
        <f t="shared" si="1"/>
        <v>2.9328E-2</v>
      </c>
      <c r="I7" s="170">
        <f t="shared" si="1"/>
        <v>2.7132E-2</v>
      </c>
      <c r="J7" s="170">
        <f t="shared" si="1"/>
        <v>2.6772000000000001E-2</v>
      </c>
      <c r="K7" s="170">
        <f t="shared" si="1"/>
        <v>2.6766000000000002E-2</v>
      </c>
      <c r="L7" s="170">
        <f t="shared" si="1"/>
        <v>2.6772000000000001E-2</v>
      </c>
      <c r="M7" s="170">
        <f t="shared" si="1"/>
        <v>2.6766000000000002E-2</v>
      </c>
      <c r="N7" s="170">
        <f t="shared" si="1"/>
        <v>2.6772000000000001E-2</v>
      </c>
      <c r="O7" s="170">
        <f t="shared" si="1"/>
        <v>2.6766000000000002E-2</v>
      </c>
      <c r="P7" s="170">
        <f t="shared" si="1"/>
        <v>2.6772000000000001E-2</v>
      </c>
      <c r="Q7" s="170">
        <f t="shared" si="1"/>
        <v>2.6766000000000002E-2</v>
      </c>
      <c r="R7" s="170">
        <f t="shared" si="1"/>
        <v>2.6772000000000001E-2</v>
      </c>
      <c r="S7" s="170">
        <f t="shared" si="1"/>
        <v>2.6766000000000002E-2</v>
      </c>
      <c r="T7" s="170">
        <f t="shared" si="1"/>
        <v>2.6772000000000001E-2</v>
      </c>
      <c r="U7" s="170">
        <f t="shared" si="1"/>
        <v>2.6766000000000002E-2</v>
      </c>
      <c r="V7" s="170">
        <f t="shared" si="1"/>
        <v>1.3386E-2</v>
      </c>
      <c r="W7" s="170">
        <f>SUM(B7:V7)</f>
        <v>1</v>
      </c>
    </row>
  </sheetData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"/>
  <sheetViews>
    <sheetView workbookViewId="0">
      <selection activeCell="E25" sqref="E25"/>
    </sheetView>
  </sheetViews>
  <sheetFormatPr defaultRowHeight="12.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5"/>
  <sheetViews>
    <sheetView zoomScale="90" zoomScaleNormal="90" workbookViewId="0">
      <pane xSplit="3" ySplit="9" topLeftCell="D10" activePane="bottomRight" state="frozenSplit"/>
      <selection activeCell="I38" sqref="I38"/>
      <selection pane="topRight" activeCell="I38" sqref="I38"/>
      <selection pane="bottomLeft" activeCell="I38" sqref="I38"/>
      <selection pane="bottomRight" activeCell="M33" sqref="M33"/>
    </sheetView>
  </sheetViews>
  <sheetFormatPr defaultRowHeight="14.5" x14ac:dyDescent="0.35"/>
  <cols>
    <col min="1" max="1" width="2.81640625" style="407" customWidth="1"/>
    <col min="2" max="2" width="37.54296875" style="407" customWidth="1"/>
    <col min="3" max="3" width="8.453125" style="407" bestFit="1" customWidth="1"/>
    <col min="4" max="4" width="13.81640625" style="407" bestFit="1" customWidth="1"/>
    <col min="5" max="5" width="13.453125" style="407" bestFit="1" customWidth="1"/>
    <col min="6" max="6" width="11.1796875" style="407" bestFit="1" customWidth="1"/>
    <col min="7" max="7" width="12.54296875" style="407" bestFit="1" customWidth="1"/>
    <col min="8" max="8" width="14.7265625" style="407" bestFit="1" customWidth="1"/>
    <col min="9" max="9" width="13.453125" style="407" bestFit="1" customWidth="1"/>
    <col min="10" max="10" width="11.1796875" style="407" bestFit="1" customWidth="1"/>
    <col min="11" max="11" width="12.1796875" style="407" bestFit="1" customWidth="1"/>
    <col min="12" max="12" width="11.1796875" style="407" bestFit="1" customWidth="1"/>
    <col min="13" max="13" width="12.1796875" style="407" bestFit="1" customWidth="1"/>
    <col min="14" max="14" width="12.81640625" style="407" bestFit="1" customWidth="1"/>
    <col min="15" max="15" width="10.36328125" style="407" bestFit="1" customWidth="1"/>
    <col min="16" max="17" width="11.81640625" style="407" bestFit="1" customWidth="1"/>
    <col min="18" max="18" width="11.1796875" style="407" bestFit="1" customWidth="1"/>
    <col min="19" max="19" width="15" style="407" bestFit="1" customWidth="1"/>
    <col min="20" max="20" width="12.1796875" style="407" bestFit="1" customWidth="1"/>
    <col min="21" max="21" width="7.26953125" style="407" bestFit="1" customWidth="1"/>
    <col min="22" max="22" width="13.7265625" style="407" bestFit="1" customWidth="1"/>
    <col min="23" max="16384" width="8.7265625" style="407"/>
  </cols>
  <sheetData>
    <row r="1" spans="2:21" x14ac:dyDescent="0.35">
      <c r="B1" s="406" t="s">
        <v>0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</row>
    <row r="2" spans="2:21" x14ac:dyDescent="0.35">
      <c r="B2" s="406" t="s">
        <v>411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</row>
    <row r="3" spans="2:21" x14ac:dyDescent="0.35">
      <c r="B3" s="408" t="s">
        <v>203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</row>
    <row r="4" spans="2:21" x14ac:dyDescent="0.35">
      <c r="B4" s="408" t="s">
        <v>355</v>
      </c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</row>
    <row r="5" spans="2:21" x14ac:dyDescent="0.35">
      <c r="F5" s="409"/>
      <c r="N5" s="409"/>
      <c r="R5" s="409"/>
    </row>
    <row r="6" spans="2:21" x14ac:dyDescent="0.35">
      <c r="F6" s="409"/>
      <c r="G6" s="410" t="s">
        <v>204</v>
      </c>
      <c r="N6" s="409"/>
      <c r="R6" s="409"/>
    </row>
    <row r="7" spans="2:21" x14ac:dyDescent="0.35">
      <c r="B7" s="410"/>
      <c r="C7" s="410"/>
      <c r="D7" s="410" t="s">
        <v>412</v>
      </c>
      <c r="E7" s="410" t="s">
        <v>412</v>
      </c>
      <c r="F7" s="410"/>
      <c r="G7" s="410" t="s">
        <v>356</v>
      </c>
      <c r="H7" s="409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1" t="s">
        <v>357</v>
      </c>
      <c r="T7" s="411" t="s">
        <v>358</v>
      </c>
      <c r="U7" s="410"/>
    </row>
    <row r="8" spans="2:21" x14ac:dyDescent="0.35">
      <c r="B8" s="410"/>
      <c r="C8" s="410" t="s">
        <v>207</v>
      </c>
      <c r="D8" s="410" t="s">
        <v>134</v>
      </c>
      <c r="E8" s="410" t="s">
        <v>208</v>
      </c>
      <c r="F8" s="410" t="s">
        <v>209</v>
      </c>
      <c r="G8" s="411" t="s">
        <v>359</v>
      </c>
      <c r="H8" s="409" t="s">
        <v>204</v>
      </c>
      <c r="I8" s="410" t="s">
        <v>211</v>
      </c>
      <c r="J8" s="410" t="s">
        <v>212</v>
      </c>
      <c r="K8" s="410" t="s">
        <v>213</v>
      </c>
      <c r="L8" s="410" t="s">
        <v>214</v>
      </c>
      <c r="M8" s="410" t="s">
        <v>215</v>
      </c>
      <c r="N8" s="410" t="s">
        <v>294</v>
      </c>
      <c r="O8" s="410" t="s">
        <v>295</v>
      </c>
      <c r="P8" s="410" t="s">
        <v>413</v>
      </c>
      <c r="Q8" s="410" t="s">
        <v>205</v>
      </c>
      <c r="R8" s="410" t="s">
        <v>206</v>
      </c>
      <c r="S8" s="410" t="s">
        <v>216</v>
      </c>
      <c r="T8" s="410" t="s">
        <v>217</v>
      </c>
      <c r="U8" s="410" t="s">
        <v>149</v>
      </c>
    </row>
    <row r="9" spans="2:21" ht="16.5" x14ac:dyDescent="0.35">
      <c r="B9" s="412" t="s">
        <v>218</v>
      </c>
      <c r="C9" s="412" t="s">
        <v>167</v>
      </c>
      <c r="D9" s="412" t="s">
        <v>219</v>
      </c>
      <c r="E9" s="412" t="s">
        <v>220</v>
      </c>
      <c r="F9" s="412" t="s">
        <v>221</v>
      </c>
      <c r="G9" s="413" t="s">
        <v>360</v>
      </c>
      <c r="H9" s="412" t="s">
        <v>222</v>
      </c>
      <c r="I9" s="412" t="s">
        <v>217</v>
      </c>
      <c r="J9" s="412" t="s">
        <v>217</v>
      </c>
      <c r="K9" s="412" t="s">
        <v>217</v>
      </c>
      <c r="L9" s="412" t="s">
        <v>217</v>
      </c>
      <c r="M9" s="412" t="s">
        <v>217</v>
      </c>
      <c r="N9" s="412" t="s">
        <v>217</v>
      </c>
      <c r="O9" s="412" t="s">
        <v>217</v>
      </c>
      <c r="P9" s="412" t="s">
        <v>217</v>
      </c>
      <c r="Q9" s="412" t="s">
        <v>217</v>
      </c>
      <c r="R9" s="412" t="s">
        <v>217</v>
      </c>
      <c r="S9" s="414" t="s">
        <v>361</v>
      </c>
      <c r="T9" s="412" t="s">
        <v>223</v>
      </c>
      <c r="U9" s="412" t="s">
        <v>223</v>
      </c>
    </row>
    <row r="10" spans="2:21" x14ac:dyDescent="0.35">
      <c r="B10" s="410" t="s">
        <v>224</v>
      </c>
      <c r="C10" s="410" t="s">
        <v>225</v>
      </c>
      <c r="D10" s="415" t="s">
        <v>226</v>
      </c>
      <c r="E10" s="416" t="s">
        <v>227</v>
      </c>
      <c r="F10" s="410" t="s">
        <v>228</v>
      </c>
      <c r="G10" s="410" t="s">
        <v>229</v>
      </c>
      <c r="H10" s="410" t="s">
        <v>230</v>
      </c>
      <c r="I10" s="410" t="s">
        <v>231</v>
      </c>
      <c r="J10" s="410" t="s">
        <v>232</v>
      </c>
      <c r="K10" s="410" t="s">
        <v>233</v>
      </c>
      <c r="L10" s="416" t="s">
        <v>234</v>
      </c>
      <c r="M10" s="410" t="s">
        <v>235</v>
      </c>
      <c r="N10" s="416" t="s">
        <v>236</v>
      </c>
      <c r="O10" s="410" t="s">
        <v>237</v>
      </c>
      <c r="P10" s="416" t="s">
        <v>238</v>
      </c>
      <c r="Q10" s="416" t="s">
        <v>239</v>
      </c>
      <c r="R10" s="410" t="s">
        <v>240</v>
      </c>
      <c r="S10" s="417" t="s">
        <v>362</v>
      </c>
      <c r="T10" s="410" t="s">
        <v>241</v>
      </c>
      <c r="U10" s="410" t="s">
        <v>242</v>
      </c>
    </row>
    <row r="11" spans="2:21" x14ac:dyDescent="0.35">
      <c r="B11" s="407" t="s">
        <v>132</v>
      </c>
      <c r="C11" s="418" t="s">
        <v>243</v>
      </c>
      <c r="D11" s="520">
        <v>609248315.15931809</v>
      </c>
      <c r="E11" s="424">
        <v>369409021.81868041</v>
      </c>
      <c r="F11" s="420">
        <f t="shared" ref="F11:F16" si="0">(E11)/D11</f>
        <v>0.60633572982812456</v>
      </c>
      <c r="G11" s="520">
        <v>623977402</v>
      </c>
      <c r="H11" s="421">
        <f>F11*G11</f>
        <v>378339793.43792707</v>
      </c>
      <c r="I11" s="424">
        <v>215983537.93000001</v>
      </c>
      <c r="J11" s="424">
        <v>5491001.1399999997</v>
      </c>
      <c r="K11" s="424">
        <v>13596467.589579999</v>
      </c>
      <c r="L11" s="424">
        <v>4374081.5880199997</v>
      </c>
      <c r="M11" s="424">
        <v>12298594.593420001</v>
      </c>
      <c r="N11" s="424">
        <v>-8660806.3399999999</v>
      </c>
      <c r="O11" s="424">
        <v>-424304.63336000004</v>
      </c>
      <c r="P11" s="424">
        <v>-854849.04073999997</v>
      </c>
      <c r="Q11" s="424">
        <v>7687401.5899999999</v>
      </c>
      <c r="R11" s="419">
        <f>'Schedule 149'!F9</f>
        <v>4299204.29978</v>
      </c>
      <c r="S11" s="422">
        <f>SUM(H11:R11)</f>
        <v>632130122.15462697</v>
      </c>
      <c r="T11" s="419">
        <f>'Schedule 149'!H9</f>
        <v>7194459.4450599998</v>
      </c>
      <c r="U11" s="423">
        <f>T11/S11</f>
        <v>1.1381295073453476E-2</v>
      </c>
    </row>
    <row r="12" spans="2:21" x14ac:dyDescent="0.35">
      <c r="B12" s="407" t="s">
        <v>244</v>
      </c>
      <c r="C12" s="418">
        <v>16</v>
      </c>
      <c r="D12" s="520">
        <v>9386</v>
      </c>
      <c r="E12" s="424">
        <v>5636.54</v>
      </c>
      <c r="F12" s="420">
        <f t="shared" si="0"/>
        <v>0.60052631578947369</v>
      </c>
      <c r="G12" s="520">
        <v>9053</v>
      </c>
      <c r="H12" s="421">
        <f t="shared" ref="H12:H23" si="1">F12*G12</f>
        <v>5436.564736842105</v>
      </c>
      <c r="I12" s="424">
        <v>3133.61</v>
      </c>
      <c r="J12" s="424">
        <v>79.67</v>
      </c>
      <c r="K12" s="424">
        <v>197.26487</v>
      </c>
      <c r="L12" s="424"/>
      <c r="M12" s="424">
        <v>178.43463000000003</v>
      </c>
      <c r="N12" s="424">
        <v>-123.88</v>
      </c>
      <c r="O12" s="424">
        <v>-6.1560400000000008</v>
      </c>
      <c r="P12" s="424">
        <v>-12.402609999999999</v>
      </c>
      <c r="Q12" s="424"/>
      <c r="R12" s="419">
        <f>'Schedule 149'!F10</f>
        <v>62.375170000000004</v>
      </c>
      <c r="S12" s="422">
        <f t="shared" ref="S12:S23" si="2">SUM(H12:R12)</f>
        <v>8945.4807568421074</v>
      </c>
      <c r="T12" s="419">
        <f>'Schedule 149'!H10</f>
        <v>104.38109</v>
      </c>
      <c r="U12" s="423">
        <f t="shared" ref="U12:U24" si="3">T12/S12</f>
        <v>1.1668583594030125E-2</v>
      </c>
    </row>
    <row r="13" spans="2:21" x14ac:dyDescent="0.35">
      <c r="B13" s="407" t="s">
        <v>245</v>
      </c>
      <c r="C13" s="418">
        <v>31</v>
      </c>
      <c r="D13" s="520">
        <v>234140158.08963937</v>
      </c>
      <c r="E13" s="424">
        <v>117941137.18000001</v>
      </c>
      <c r="F13" s="420">
        <f t="shared" si="0"/>
        <v>0.50372024236375057</v>
      </c>
      <c r="G13" s="520">
        <v>231606572</v>
      </c>
      <c r="H13" s="421">
        <f t="shared" si="1"/>
        <v>116664918.58087745</v>
      </c>
      <c r="I13" s="424">
        <v>78083839.680000007</v>
      </c>
      <c r="J13" s="424">
        <v>2038137.83</v>
      </c>
      <c r="K13" s="424">
        <v>5046707.2038799999</v>
      </c>
      <c r="L13" s="424">
        <v>1287732.5403199999</v>
      </c>
      <c r="M13" s="424">
        <v>4921639.6550000003</v>
      </c>
      <c r="N13" s="424">
        <v>-3462518.25</v>
      </c>
      <c r="O13" s="424">
        <v>-166756.73184000002</v>
      </c>
      <c r="P13" s="424">
        <v>-340461.66083999997</v>
      </c>
      <c r="Q13" s="424">
        <v>-1709256.5</v>
      </c>
      <c r="R13" s="419">
        <f>'Schedule 149'!F11</f>
        <v>1419748.28636</v>
      </c>
      <c r="S13" s="422">
        <f t="shared" si="2"/>
        <v>203783730.63375747</v>
      </c>
      <c r="T13" s="419">
        <f>'Schedule 149'!H11</f>
        <v>3105844.1305199992</v>
      </c>
      <c r="U13" s="423">
        <f t="shared" si="3"/>
        <v>1.5240883660638537E-2</v>
      </c>
    </row>
    <row r="14" spans="2:21" x14ac:dyDescent="0.35">
      <c r="B14" s="407" t="s">
        <v>246</v>
      </c>
      <c r="C14" s="418">
        <v>41</v>
      </c>
      <c r="D14" s="520">
        <v>65836657.463465497</v>
      </c>
      <c r="E14" s="424">
        <v>16769592.583254175</v>
      </c>
      <c r="F14" s="420">
        <f t="shared" si="0"/>
        <v>0.25471512724594297</v>
      </c>
      <c r="G14" s="520">
        <v>64824052</v>
      </c>
      <c r="H14" s="421">
        <f t="shared" si="1"/>
        <v>16511666.653777624</v>
      </c>
      <c r="I14" s="424">
        <v>20209264.849999998</v>
      </c>
      <c r="J14" s="424">
        <v>572396.38</v>
      </c>
      <c r="K14" s="424">
        <v>1412516.09308</v>
      </c>
      <c r="L14" s="424">
        <v>197713.35860000001</v>
      </c>
      <c r="M14" s="424">
        <v>489421.59260000003</v>
      </c>
      <c r="N14" s="424">
        <v>-294360.03000000003</v>
      </c>
      <c r="O14" s="424">
        <v>-18798.97508</v>
      </c>
      <c r="P14" s="424">
        <v>-36301.469119999994</v>
      </c>
      <c r="Q14" s="424">
        <v>-889120.26</v>
      </c>
      <c r="R14" s="419">
        <f>'Schedule 149'!F12</f>
        <v>247627.87864000001</v>
      </c>
      <c r="S14" s="422">
        <f t="shared" si="2"/>
        <v>38402026.072497629</v>
      </c>
      <c r="T14" s="419">
        <f>'Schedule 149'!H12</f>
        <v>349401.64027999993</v>
      </c>
      <c r="U14" s="423">
        <f t="shared" si="3"/>
        <v>9.0985209900222123E-3</v>
      </c>
    </row>
    <row r="15" spans="2:21" x14ac:dyDescent="0.35">
      <c r="B15" s="407" t="s">
        <v>135</v>
      </c>
      <c r="C15" s="418">
        <v>85</v>
      </c>
      <c r="D15" s="520">
        <v>16184434.068649083</v>
      </c>
      <c r="E15" s="424">
        <v>1712016.4100000001</v>
      </c>
      <c r="F15" s="420">
        <f t="shared" si="0"/>
        <v>0.10578166667664657</v>
      </c>
      <c r="G15" s="520">
        <v>9854273</v>
      </c>
      <c r="H15" s="421">
        <f t="shared" si="1"/>
        <v>1042401.421826678</v>
      </c>
      <c r="I15" s="424">
        <v>2882646.1799999997</v>
      </c>
      <c r="J15" s="424">
        <v>87111.77</v>
      </c>
      <c r="K15" s="424">
        <v>180333.19589999999</v>
      </c>
      <c r="L15" s="424">
        <v>13990.793218087743</v>
      </c>
      <c r="M15" s="424">
        <v>43161.71574</v>
      </c>
      <c r="N15" s="424">
        <v>-26606.53</v>
      </c>
      <c r="O15" s="424">
        <v>-1576.6836800000001</v>
      </c>
      <c r="P15" s="424">
        <v>-2660.65371</v>
      </c>
      <c r="Q15" s="424"/>
      <c r="R15" s="419">
        <f>'Schedule 149'!F13</f>
        <v>20299.802380000001</v>
      </c>
      <c r="S15" s="422">
        <f t="shared" si="2"/>
        <v>4239101.0116747655</v>
      </c>
      <c r="T15" s="419">
        <f>'Schedule 149'!H13</f>
        <v>28183.220779999996</v>
      </c>
      <c r="U15" s="423">
        <f t="shared" si="3"/>
        <v>6.6483956627552722E-3</v>
      </c>
    </row>
    <row r="16" spans="2:21" x14ac:dyDescent="0.35">
      <c r="B16" s="407" t="s">
        <v>247</v>
      </c>
      <c r="C16" s="418">
        <v>86</v>
      </c>
      <c r="D16" s="520">
        <v>9397200.2729263548</v>
      </c>
      <c r="E16" s="424">
        <v>1992002.78</v>
      </c>
      <c r="F16" s="420">
        <f t="shared" si="0"/>
        <v>0.21197832568696295</v>
      </c>
      <c r="G16" s="520">
        <v>4822377</v>
      </c>
      <c r="H16" s="421">
        <f t="shared" si="1"/>
        <v>1022239.4022913193</v>
      </c>
      <c r="I16" s="424">
        <v>1436931.6</v>
      </c>
      <c r="J16" s="424">
        <v>42629.81</v>
      </c>
      <c r="K16" s="424">
        <v>88249.499100000001</v>
      </c>
      <c r="L16" s="424">
        <v>14274.235919999999</v>
      </c>
      <c r="M16" s="424">
        <v>38048.554530000009</v>
      </c>
      <c r="N16" s="424">
        <v>-16299.63</v>
      </c>
      <c r="O16" s="424">
        <v>-1543.1606400000001</v>
      </c>
      <c r="P16" s="424">
        <v>-1591.3844099999999</v>
      </c>
      <c r="Q16" s="424">
        <v>-64776.800000000003</v>
      </c>
      <c r="R16" s="419">
        <f>'Schedule 149'!F14</f>
        <v>14515.35477</v>
      </c>
      <c r="S16" s="422">
        <f t="shared" si="2"/>
        <v>2572677.4815613199</v>
      </c>
      <c r="T16" s="419">
        <f>'Schedule 149'!H14</f>
        <v>27825.115290000002</v>
      </c>
      <c r="U16" s="423">
        <f t="shared" si="3"/>
        <v>1.0815625156835963E-2</v>
      </c>
    </row>
    <row r="17" spans="2:24" x14ac:dyDescent="0.35">
      <c r="B17" s="407" t="s">
        <v>248</v>
      </c>
      <c r="C17" s="418">
        <v>87</v>
      </c>
      <c r="D17" s="520">
        <v>23337042.118500695</v>
      </c>
      <c r="E17" s="424">
        <v>1405341.91</v>
      </c>
      <c r="F17" s="420">
        <f>(E17)/D17</f>
        <v>6.0219367255882859E-2</v>
      </c>
      <c r="G17" s="520">
        <v>14421322</v>
      </c>
      <c r="H17" s="421">
        <f t="shared" si="1"/>
        <v>868442.88583334314</v>
      </c>
      <c r="I17" s="424">
        <v>4071139.2</v>
      </c>
      <c r="J17" s="424">
        <v>127484.49</v>
      </c>
      <c r="K17" s="424">
        <v>263910.19260000001</v>
      </c>
      <c r="L17" s="424">
        <v>8426.316427679054</v>
      </c>
      <c r="M17" s="424">
        <v>33313.253819999998</v>
      </c>
      <c r="N17" s="424">
        <v>-20478.28</v>
      </c>
      <c r="O17" s="424">
        <v>-1153.7057600000001</v>
      </c>
      <c r="P17" s="424">
        <v>-2018.9850799999999</v>
      </c>
      <c r="Q17" s="424"/>
      <c r="R17" s="419">
        <f>'Schedule 149'!F15</f>
        <v>18026.6525</v>
      </c>
      <c r="S17" s="422">
        <f t="shared" si="2"/>
        <v>5367092.0203410219</v>
      </c>
      <c r="T17" s="419">
        <f>'Schedule 149'!H15</f>
        <v>23362.541639999999</v>
      </c>
      <c r="U17" s="423">
        <f t="shared" si="3"/>
        <v>4.3529236225980632E-3</v>
      </c>
    </row>
    <row r="18" spans="2:24" x14ac:dyDescent="0.35">
      <c r="B18" s="407" t="s">
        <v>249</v>
      </c>
      <c r="C18" s="418" t="s">
        <v>168</v>
      </c>
      <c r="D18" s="520">
        <v>36359.963605097219</v>
      </c>
      <c r="E18" s="424">
        <v>25456.9</v>
      </c>
      <c r="F18" s="420">
        <f>(E18)/D18</f>
        <v>0.70013546428388773</v>
      </c>
      <c r="G18" s="520">
        <v>22682</v>
      </c>
      <c r="H18" s="421">
        <f t="shared" si="1"/>
        <v>15880.472600887142</v>
      </c>
      <c r="I18" s="424"/>
      <c r="J18" s="424"/>
      <c r="K18" s="424"/>
      <c r="L18" s="424">
        <v>126.11192</v>
      </c>
      <c r="M18" s="424">
        <v>481.99250000000001</v>
      </c>
      <c r="N18" s="424">
        <v>-339.1</v>
      </c>
      <c r="O18" s="424">
        <v>-16.331040000000002</v>
      </c>
      <c r="P18" s="424">
        <v>-33.34254</v>
      </c>
      <c r="Q18" s="424">
        <v>-159.22999999999999</v>
      </c>
      <c r="R18" s="419">
        <f>'Schedule 149'!F16</f>
        <v>139.04066</v>
      </c>
      <c r="S18" s="422">
        <f t="shared" si="2"/>
        <v>16079.614100887142</v>
      </c>
      <c r="T18" s="419">
        <f>'Schedule 149'!H16</f>
        <v>304.16561999999993</v>
      </c>
      <c r="U18" s="423">
        <f t="shared" si="3"/>
        <v>1.8916226352920906E-2</v>
      </c>
    </row>
    <row r="19" spans="2:24" x14ac:dyDescent="0.35">
      <c r="B19" s="407" t="s">
        <v>250</v>
      </c>
      <c r="C19" s="407" t="s">
        <v>169</v>
      </c>
      <c r="D19" s="520">
        <v>20492334.449073859</v>
      </c>
      <c r="E19" s="424">
        <v>4419777.9054754293</v>
      </c>
      <c r="F19" s="420">
        <f t="shared" ref="F19:F24" si="4">(E19)/D19</f>
        <v>0.21567957113227668</v>
      </c>
      <c r="G19" s="520">
        <v>23610221</v>
      </c>
      <c r="H19" s="421">
        <f>F19*G19</f>
        <v>5092242.3396182721</v>
      </c>
      <c r="I19" s="424"/>
      <c r="J19" s="424"/>
      <c r="K19" s="424"/>
      <c r="L19" s="424">
        <v>72011.174050000001</v>
      </c>
      <c r="M19" s="424">
        <v>178257.16855</v>
      </c>
      <c r="N19" s="424">
        <v>-127158.73</v>
      </c>
      <c r="O19" s="424">
        <v>-6846.9640900000004</v>
      </c>
      <c r="P19" s="424">
        <v>-13221.723759999999</v>
      </c>
      <c r="Q19" s="424">
        <v>-280564.78999999998</v>
      </c>
      <c r="R19" s="419">
        <f>'Schedule 149'!F17</f>
        <v>90191.044219999996</v>
      </c>
      <c r="S19" s="422">
        <f>SUM(H19:R19)</f>
        <v>5004909.5185882701</v>
      </c>
      <c r="T19" s="419">
        <f>'Schedule 149'!H17</f>
        <v>127259.09118999999</v>
      </c>
      <c r="U19" s="423">
        <f t="shared" si="3"/>
        <v>2.5426851517966271E-2</v>
      </c>
    </row>
    <row r="20" spans="2:24" x14ac:dyDescent="0.35">
      <c r="B20" s="407" t="s">
        <v>251</v>
      </c>
      <c r="C20" s="407" t="s">
        <v>170</v>
      </c>
      <c r="D20" s="520">
        <v>74773537.134971082</v>
      </c>
      <c r="E20" s="424">
        <v>7547127.8200000003</v>
      </c>
      <c r="F20" s="420">
        <f t="shared" si="4"/>
        <v>0.10093313903790516</v>
      </c>
      <c r="G20" s="520">
        <v>72045794</v>
      </c>
      <c r="H20" s="421">
        <f t="shared" si="1"/>
        <v>7271808.1428982727</v>
      </c>
      <c r="I20" s="424"/>
      <c r="J20" s="424"/>
      <c r="K20" s="424"/>
      <c r="L20" s="424">
        <v>93779.391231401154</v>
      </c>
      <c r="M20" s="424">
        <v>315560.57772</v>
      </c>
      <c r="N20" s="424">
        <v>-194523.65</v>
      </c>
      <c r="O20" s="424">
        <v>-11527.32704</v>
      </c>
      <c r="P20" s="424">
        <v>-19452.364379999999</v>
      </c>
      <c r="Q20" s="424"/>
      <c r="R20" s="419">
        <f>'Schedule 149'!F18</f>
        <v>148414.33564</v>
      </c>
      <c r="S20" s="422">
        <f t="shared" si="2"/>
        <v>7604059.1060696738</v>
      </c>
      <c r="T20" s="419">
        <f>'Schedule 149'!H18</f>
        <v>206050.97083999997</v>
      </c>
      <c r="U20" s="423">
        <f t="shared" si="3"/>
        <v>2.709749726636488E-2</v>
      </c>
    </row>
    <row r="21" spans="2:24" x14ac:dyDescent="0.35">
      <c r="B21" s="407" t="s">
        <v>252</v>
      </c>
      <c r="C21" s="407" t="s">
        <v>171</v>
      </c>
      <c r="D21" s="520">
        <v>351288.14999999997</v>
      </c>
      <c r="E21" s="424">
        <v>70216.179999999993</v>
      </c>
      <c r="F21" s="420">
        <f t="shared" si="4"/>
        <v>0.19988200569817113</v>
      </c>
      <c r="G21" s="520">
        <v>199957</v>
      </c>
      <c r="H21" s="421">
        <f t="shared" si="1"/>
        <v>39967.806213389202</v>
      </c>
      <c r="I21" s="424"/>
      <c r="J21" s="424"/>
      <c r="K21" s="424"/>
      <c r="L21" s="424">
        <v>591.87271999999996</v>
      </c>
      <c r="M21" s="424">
        <v>1577.6607300000003</v>
      </c>
      <c r="N21" s="424">
        <v>-675.85</v>
      </c>
      <c r="O21" s="424">
        <v>-63.986240000000002</v>
      </c>
      <c r="P21" s="424">
        <v>-65.985810000000001</v>
      </c>
      <c r="Q21" s="424">
        <v>-2920.51</v>
      </c>
      <c r="R21" s="419">
        <f>'Schedule 149'!F19</f>
        <v>601.87057000000004</v>
      </c>
      <c r="S21" s="422">
        <f t="shared" si="2"/>
        <v>39012.878183389206</v>
      </c>
      <c r="T21" s="419">
        <f>'Schedule 149'!H19</f>
        <v>1153.7518899999998</v>
      </c>
      <c r="U21" s="423">
        <f t="shared" si="3"/>
        <v>2.9573616296047621E-2</v>
      </c>
    </row>
    <row r="22" spans="2:24" x14ac:dyDescent="0.35">
      <c r="B22" s="407" t="s">
        <v>253</v>
      </c>
      <c r="C22" s="407" t="s">
        <v>172</v>
      </c>
      <c r="D22" s="520">
        <v>100441128.37470125</v>
      </c>
      <c r="E22" s="424">
        <v>4429994.87</v>
      </c>
      <c r="F22" s="420">
        <f t="shared" si="4"/>
        <v>4.4105387321751864E-2</v>
      </c>
      <c r="G22" s="520">
        <v>92054702</v>
      </c>
      <c r="H22" s="421">
        <f t="shared" si="1"/>
        <v>4060108.286498446</v>
      </c>
      <c r="I22" s="424"/>
      <c r="J22" s="424"/>
      <c r="K22" s="424"/>
      <c r="L22" s="424">
        <v>44040.864660969171</v>
      </c>
      <c r="M22" s="424">
        <v>212646.36162000001</v>
      </c>
      <c r="N22" s="424">
        <v>-130717.68</v>
      </c>
      <c r="O22" s="424">
        <v>-7364.3761600000007</v>
      </c>
      <c r="P22" s="424">
        <v>-12887.65828</v>
      </c>
      <c r="Q22" s="424"/>
      <c r="R22" s="419">
        <f>'Schedule 149'!F20</f>
        <v>115068.3775</v>
      </c>
      <c r="S22" s="422">
        <f t="shared" si="2"/>
        <v>4280894.1758394148</v>
      </c>
      <c r="T22" s="419">
        <f>'Schedule 149'!H20</f>
        <v>149128.61723999999</v>
      </c>
      <c r="U22" s="423">
        <f t="shared" si="3"/>
        <v>3.4835856976249184E-2</v>
      </c>
    </row>
    <row r="23" spans="2:24" x14ac:dyDescent="0.35">
      <c r="B23" s="407" t="s">
        <v>136</v>
      </c>
      <c r="D23" s="520">
        <v>37056427.854413897</v>
      </c>
      <c r="E23" s="424">
        <v>1757519.5213237838</v>
      </c>
      <c r="F23" s="425">
        <f t="shared" si="4"/>
        <v>4.7428195945617584E-2</v>
      </c>
      <c r="G23" s="520">
        <v>32366771</v>
      </c>
      <c r="H23" s="421">
        <f t="shared" si="1"/>
        <v>1535097.5571149327</v>
      </c>
      <c r="I23" s="424"/>
      <c r="J23" s="424"/>
      <c r="K23" s="424"/>
      <c r="L23" s="424"/>
      <c r="M23" s="424">
        <v>94187.303609999988</v>
      </c>
      <c r="N23" s="424">
        <v>-23951.410540000001</v>
      </c>
      <c r="O23" s="424">
        <v>-3560.3448100000001</v>
      </c>
      <c r="P23" s="424">
        <v>-2265.6739699999998</v>
      </c>
      <c r="Q23" s="424"/>
      <c r="R23" s="419">
        <f>'Schedule 149'!F21</f>
        <v>49197.49192</v>
      </c>
      <c r="S23" s="422">
        <f t="shared" si="2"/>
        <v>1648704.9233249328</v>
      </c>
      <c r="T23" s="419">
        <f>'Schedule 149'!H21</f>
        <v>-26540.752220000002</v>
      </c>
      <c r="U23" s="423">
        <f t="shared" si="3"/>
        <v>-1.6097939567303186E-2</v>
      </c>
    </row>
    <row r="24" spans="2:24" x14ac:dyDescent="0.35">
      <c r="B24" s="407" t="s">
        <v>90</v>
      </c>
      <c r="D24" s="426">
        <f>SUM(D11:D23)</f>
        <v>1191304269.0992641</v>
      </c>
      <c r="E24" s="427">
        <f>SUM(E11:E23)</f>
        <v>527484842.41873384</v>
      </c>
      <c r="F24" s="420">
        <f t="shared" si="4"/>
        <v>0.44277927654667182</v>
      </c>
      <c r="G24" s="426">
        <f>SUM(G11:G23)</f>
        <v>1169815178</v>
      </c>
      <c r="H24" s="427">
        <f>SUM(H11:H23)</f>
        <v>532470003.55221444</v>
      </c>
      <c r="I24" s="427">
        <f t="shared" ref="I24:K24" si="5">SUM(I11:I23)</f>
        <v>322670493.05000007</v>
      </c>
      <c r="J24" s="427">
        <f t="shared" si="5"/>
        <v>8358841.0899999989</v>
      </c>
      <c r="K24" s="427">
        <f t="shared" si="5"/>
        <v>20588381.039009999</v>
      </c>
      <c r="L24" s="427">
        <f>SUM(L11:L23)</f>
        <v>6106768.2470881352</v>
      </c>
      <c r="M24" s="427">
        <f>SUM(M11:M23)</f>
        <v>18627068.864469998</v>
      </c>
      <c r="N24" s="427">
        <f>SUM(N11:N23)</f>
        <v>-12958559.360539999</v>
      </c>
      <c r="O24" s="427">
        <f>SUM(O11:O23)</f>
        <v>-643519.37578000012</v>
      </c>
      <c r="P24" s="427">
        <f>SUM(P11:P23)</f>
        <v>-1285822.3452499998</v>
      </c>
      <c r="Q24" s="427">
        <f t="shared" ref="Q24:S24" si="6">SUM(Q11:Q23)</f>
        <v>4740603.5</v>
      </c>
      <c r="R24" s="427">
        <f t="shared" si="6"/>
        <v>6423096.8101100009</v>
      </c>
      <c r="S24" s="428">
        <f t="shared" si="6"/>
        <v>905097355.07132268</v>
      </c>
      <c r="T24" s="427">
        <f>SUM(T11:T23)</f>
        <v>11186536.319219997</v>
      </c>
      <c r="U24" s="429">
        <f t="shared" si="3"/>
        <v>1.2359484045048929E-2</v>
      </c>
      <c r="V24" s="421"/>
    </row>
    <row r="25" spans="2:24" s="438" customFormat="1" x14ac:dyDescent="0.35">
      <c r="B25" s="430"/>
      <c r="C25" s="431"/>
      <c r="D25" s="432"/>
      <c r="E25" s="433"/>
      <c r="F25" s="433"/>
      <c r="G25" s="434"/>
      <c r="H25" s="435"/>
      <c r="I25" s="434"/>
      <c r="J25" s="434"/>
      <c r="K25" s="434"/>
      <c r="L25" s="433"/>
      <c r="M25" s="433"/>
      <c r="N25" s="433"/>
      <c r="O25" s="434"/>
      <c r="P25" s="433"/>
      <c r="Q25" s="433"/>
      <c r="R25" s="433"/>
      <c r="S25" s="433"/>
      <c r="T25" s="436"/>
      <c r="U25" s="437"/>
    </row>
    <row r="26" spans="2:24" s="438" customFormat="1" ht="16.5" x14ac:dyDescent="0.35">
      <c r="B26" s="430" t="s">
        <v>254</v>
      </c>
      <c r="C26" s="430"/>
      <c r="D26" s="520">
        <v>319358</v>
      </c>
      <c r="E26" s="424">
        <v>4612100.68</v>
      </c>
      <c r="F26" s="439">
        <f>E26/D26</f>
        <v>14.441788463104102</v>
      </c>
      <c r="G26" s="521">
        <v>279322</v>
      </c>
      <c r="H26" s="421">
        <f>F26*G26</f>
        <v>4033909.2370911636</v>
      </c>
      <c r="I26" s="522"/>
      <c r="J26" s="523"/>
      <c r="K26" s="523"/>
      <c r="L26" s="424"/>
      <c r="M26" s="424">
        <v>142454.22</v>
      </c>
      <c r="N26" s="424">
        <v>-44691.520000000004</v>
      </c>
      <c r="O26" s="424">
        <v>0</v>
      </c>
      <c r="P26" s="424">
        <v>-5586.4400000000005</v>
      </c>
      <c r="Q26" s="424"/>
      <c r="R26" s="440"/>
      <c r="S26" s="422">
        <f>SUM(H26:R26)</f>
        <v>4126085.4970911639</v>
      </c>
      <c r="T26" s="419"/>
      <c r="U26" s="423">
        <f>T26/S26</f>
        <v>0</v>
      </c>
      <c r="V26" s="437"/>
      <c r="W26" s="441"/>
      <c r="X26" s="442"/>
    </row>
    <row r="27" spans="2:24" s="438" customFormat="1" x14ac:dyDescent="0.35">
      <c r="B27" s="443" t="s">
        <v>90</v>
      </c>
      <c r="C27" s="443"/>
      <c r="D27" s="444"/>
      <c r="E27" s="445">
        <f>E24+E26</f>
        <v>532096943.09873384</v>
      </c>
      <c r="F27" s="446"/>
      <c r="G27" s="446"/>
      <c r="H27" s="445">
        <f>H24+H26</f>
        <v>536503912.78930563</v>
      </c>
      <c r="I27" s="445">
        <f t="shared" ref="I27:K27" si="7">I24+I26</f>
        <v>322670493.05000007</v>
      </c>
      <c r="J27" s="445">
        <f t="shared" si="7"/>
        <v>8358841.0899999989</v>
      </c>
      <c r="K27" s="445">
        <f t="shared" si="7"/>
        <v>20588381.039009999</v>
      </c>
      <c r="L27" s="445">
        <f>L24+L26</f>
        <v>6106768.2470881352</v>
      </c>
      <c r="M27" s="445">
        <f>M24+M26</f>
        <v>18769523.084469996</v>
      </c>
      <c r="N27" s="445">
        <f>N24+N26</f>
        <v>-13003250.880539998</v>
      </c>
      <c r="O27" s="445">
        <f>O24+O26</f>
        <v>-643519.37578000012</v>
      </c>
      <c r="P27" s="445">
        <f>P24+P26</f>
        <v>-1291408.7852499997</v>
      </c>
      <c r="Q27" s="445">
        <f t="shared" ref="Q27:T27" si="8">Q24+Q26</f>
        <v>4740603.5</v>
      </c>
      <c r="R27" s="445">
        <f t="shared" si="8"/>
        <v>6423096.8101100009</v>
      </c>
      <c r="S27" s="445">
        <f t="shared" si="8"/>
        <v>909223440.56841385</v>
      </c>
      <c r="T27" s="445">
        <f t="shared" si="8"/>
        <v>11186536.319219997</v>
      </c>
      <c r="U27" s="429">
        <f>T27/S27</f>
        <v>1.2303396305122288E-2</v>
      </c>
      <c r="V27" s="437"/>
    </row>
    <row r="28" spans="2:24" x14ac:dyDescent="0.35">
      <c r="D28" s="447"/>
      <c r="E28" s="421"/>
      <c r="L28" s="421"/>
      <c r="O28" s="421"/>
      <c r="P28" s="421"/>
      <c r="Q28" s="421"/>
      <c r="S28" s="421"/>
      <c r="U28" s="448"/>
    </row>
    <row r="29" spans="2:24" x14ac:dyDescent="0.35">
      <c r="D29" s="447"/>
      <c r="E29" s="421"/>
      <c r="G29" s="447"/>
      <c r="L29" s="421"/>
      <c r="P29" s="421"/>
      <c r="Q29" s="421"/>
      <c r="S29" s="421"/>
      <c r="U29" s="448"/>
    </row>
    <row r="30" spans="2:24" s="438" customFormat="1" x14ac:dyDescent="0.35">
      <c r="B30" s="449" t="s">
        <v>363</v>
      </c>
      <c r="C30" s="450"/>
      <c r="D30" s="444"/>
      <c r="E30" s="451"/>
      <c r="T30" s="452"/>
      <c r="U30" s="437"/>
    </row>
    <row r="31" spans="2:24" s="438" customFormat="1" x14ac:dyDescent="0.35">
      <c r="B31" s="443" t="s">
        <v>255</v>
      </c>
      <c r="C31" s="443"/>
      <c r="D31" s="453">
        <f>D11+D12</f>
        <v>609257701.15931809</v>
      </c>
      <c r="E31" s="454">
        <f>E11+E12</f>
        <v>369414658.35868043</v>
      </c>
      <c r="F31" s="446"/>
      <c r="H31" s="454">
        <f>H11+H12</f>
        <v>378345230.00266391</v>
      </c>
      <c r="L31" s="454"/>
      <c r="P31" s="454"/>
      <c r="Q31" s="454"/>
      <c r="S31" s="454">
        <f>S11+S12</f>
        <v>632139067.63538384</v>
      </c>
      <c r="T31" s="421">
        <f>SUM(T11:T12)</f>
        <v>7194563.8261500001</v>
      </c>
      <c r="U31" s="423">
        <f t="shared" ref="U31:U38" si="9">T31/S31</f>
        <v>1.1381299138910056E-2</v>
      </c>
      <c r="V31" s="455"/>
    </row>
    <row r="32" spans="2:24" s="438" customFormat="1" x14ac:dyDescent="0.35">
      <c r="B32" s="456" t="s">
        <v>256</v>
      </c>
      <c r="C32" s="456"/>
      <c r="D32" s="453">
        <f>D13+D18</f>
        <v>234176518.05324447</v>
      </c>
      <c r="E32" s="454">
        <f>E13+E18</f>
        <v>117966594.08000001</v>
      </c>
      <c r="F32" s="457"/>
      <c r="H32" s="454">
        <f>H13+H18</f>
        <v>116680799.05347835</v>
      </c>
      <c r="I32" s="458"/>
      <c r="J32" s="458"/>
      <c r="K32" s="458"/>
      <c r="L32" s="454"/>
      <c r="N32" s="458"/>
      <c r="P32" s="454"/>
      <c r="Q32" s="454"/>
      <c r="R32" s="458"/>
      <c r="S32" s="454">
        <f>S13+S18</f>
        <v>203799810.24785835</v>
      </c>
      <c r="T32" s="421">
        <f>SUM(T13,T18)</f>
        <v>3106148.2961399993</v>
      </c>
      <c r="U32" s="423">
        <f t="shared" si="9"/>
        <v>1.5241173641733755E-2</v>
      </c>
    </row>
    <row r="33" spans="2:21" s="438" customFormat="1" x14ac:dyDescent="0.35">
      <c r="B33" s="443" t="s">
        <v>257</v>
      </c>
      <c r="C33" s="443"/>
      <c r="D33" s="453">
        <f t="shared" ref="D33:E36" si="10">D14+D19</f>
        <v>86328991.912539363</v>
      </c>
      <c r="E33" s="454">
        <f t="shared" si="10"/>
        <v>21189370.488729604</v>
      </c>
      <c r="F33" s="457"/>
      <c r="H33" s="454">
        <f>H14+H19</f>
        <v>21603908.993395895</v>
      </c>
      <c r="I33" s="458"/>
      <c r="J33" s="458"/>
      <c r="K33" s="458"/>
      <c r="L33" s="454"/>
      <c r="N33" s="458"/>
      <c r="P33" s="454"/>
      <c r="Q33" s="454"/>
      <c r="R33" s="458"/>
      <c r="S33" s="454">
        <f>S14+S19</f>
        <v>43406935.591085896</v>
      </c>
      <c r="T33" s="421">
        <f>SUM(T14,T19)</f>
        <v>476660.73146999994</v>
      </c>
      <c r="U33" s="423">
        <f t="shared" si="9"/>
        <v>1.0981211296746956E-2</v>
      </c>
    </row>
    <row r="34" spans="2:21" s="438" customFormat="1" x14ac:dyDescent="0.35">
      <c r="B34" s="443" t="s">
        <v>258</v>
      </c>
      <c r="C34" s="443"/>
      <c r="D34" s="453">
        <f t="shared" si="10"/>
        <v>90957971.203620166</v>
      </c>
      <c r="E34" s="454">
        <f t="shared" si="10"/>
        <v>9259144.2300000004</v>
      </c>
      <c r="F34" s="457"/>
      <c r="H34" s="454">
        <f>H15+H20</f>
        <v>8314209.5647249511</v>
      </c>
      <c r="I34" s="458"/>
      <c r="J34" s="458"/>
      <c r="K34" s="458"/>
      <c r="L34" s="454"/>
      <c r="N34" s="458"/>
      <c r="P34" s="454"/>
      <c r="Q34" s="454"/>
      <c r="R34" s="458"/>
      <c r="S34" s="454">
        <f>S15+S20</f>
        <v>11843160.117744438</v>
      </c>
      <c r="T34" s="421">
        <f>SUM(T15,T20)</f>
        <v>234234.19161999997</v>
      </c>
      <c r="U34" s="423">
        <f t="shared" si="9"/>
        <v>1.9778014422776418E-2</v>
      </c>
    </row>
    <row r="35" spans="2:21" s="438" customFormat="1" x14ac:dyDescent="0.35">
      <c r="B35" s="443" t="s">
        <v>259</v>
      </c>
      <c r="C35" s="443"/>
      <c r="D35" s="453">
        <f t="shared" si="10"/>
        <v>9748488.4229263552</v>
      </c>
      <c r="E35" s="454">
        <f t="shared" si="10"/>
        <v>2062218.96</v>
      </c>
      <c r="F35" s="457"/>
      <c r="H35" s="454">
        <f>H16+H21</f>
        <v>1062207.2085047085</v>
      </c>
      <c r="I35" s="458"/>
      <c r="J35" s="458"/>
      <c r="K35" s="458"/>
      <c r="L35" s="459"/>
      <c r="N35" s="458"/>
      <c r="P35" s="459"/>
      <c r="Q35" s="459"/>
      <c r="R35" s="458"/>
      <c r="S35" s="454">
        <f>S16+S21</f>
        <v>2611690.359744709</v>
      </c>
      <c r="T35" s="421">
        <f>SUM(T16,T21)</f>
        <v>28978.867180000001</v>
      </c>
      <c r="U35" s="423">
        <f t="shared" si="9"/>
        <v>1.1095828060885696E-2</v>
      </c>
    </row>
    <row r="36" spans="2:21" s="438" customFormat="1" x14ac:dyDescent="0.35">
      <c r="B36" s="430" t="s">
        <v>260</v>
      </c>
      <c r="C36" s="430"/>
      <c r="D36" s="453">
        <f t="shared" si="10"/>
        <v>123778170.49320194</v>
      </c>
      <c r="E36" s="454">
        <f t="shared" si="10"/>
        <v>5835336.7800000003</v>
      </c>
      <c r="F36" s="457"/>
      <c r="G36" s="446"/>
      <c r="H36" s="454">
        <f>H17+H22</f>
        <v>4928551.1723317895</v>
      </c>
      <c r="I36" s="457"/>
      <c r="J36" s="457"/>
      <c r="K36" s="457"/>
      <c r="L36" s="459"/>
      <c r="N36" s="457"/>
      <c r="P36" s="459"/>
      <c r="Q36" s="459"/>
      <c r="R36" s="457"/>
      <c r="S36" s="454">
        <f>S17+S22</f>
        <v>9647986.1961804368</v>
      </c>
      <c r="T36" s="421">
        <f>SUM(T17,T22)</f>
        <v>172491.15888</v>
      </c>
      <c r="U36" s="423">
        <f t="shared" si="9"/>
        <v>1.7878462445177205E-2</v>
      </c>
    </row>
    <row r="37" spans="2:21" s="438" customFormat="1" x14ac:dyDescent="0.35">
      <c r="B37" s="430" t="s">
        <v>136</v>
      </c>
      <c r="C37" s="430"/>
      <c r="D37" s="453">
        <f>D23</f>
        <v>37056427.854413897</v>
      </c>
      <c r="E37" s="454">
        <f>E23</f>
        <v>1757519.5213237838</v>
      </c>
      <c r="F37" s="457"/>
      <c r="G37" s="446"/>
      <c r="H37" s="454">
        <f>H23</f>
        <v>1535097.5571149327</v>
      </c>
      <c r="I37" s="457"/>
      <c r="J37" s="457"/>
      <c r="K37" s="457"/>
      <c r="L37" s="459"/>
      <c r="N37" s="457"/>
      <c r="P37" s="459"/>
      <c r="Q37" s="459"/>
      <c r="R37" s="457"/>
      <c r="S37" s="454">
        <f>S23</f>
        <v>1648704.9233249328</v>
      </c>
      <c r="T37" s="421">
        <f>T23</f>
        <v>-26540.752220000002</v>
      </c>
      <c r="U37" s="423">
        <f t="shared" si="9"/>
        <v>-1.6097939567303186E-2</v>
      </c>
    </row>
    <row r="38" spans="2:21" s="438" customFormat="1" x14ac:dyDescent="0.35">
      <c r="B38" s="430" t="s">
        <v>261</v>
      </c>
      <c r="C38" s="430"/>
      <c r="D38" s="460">
        <f>SUM(D31:D37)</f>
        <v>1191304269.0992644</v>
      </c>
      <c r="E38" s="461">
        <f>SUM(E31:E37)</f>
        <v>527484842.41873378</v>
      </c>
      <c r="F38" s="446"/>
      <c r="G38" s="446"/>
      <c r="H38" s="461">
        <f>SUM(H31:H37)</f>
        <v>532470003.55221456</v>
      </c>
      <c r="I38" s="446"/>
      <c r="J38" s="446"/>
      <c r="K38" s="457"/>
      <c r="L38" s="459"/>
      <c r="N38" s="457"/>
      <c r="P38" s="459"/>
      <c r="Q38" s="459"/>
      <c r="R38" s="457"/>
      <c r="S38" s="461">
        <f>SUM(S31:S37)</f>
        <v>905097355.07132256</v>
      </c>
      <c r="T38" s="461">
        <f>SUM(T31:T37)</f>
        <v>11186536.319220001</v>
      </c>
      <c r="U38" s="429">
        <f t="shared" si="9"/>
        <v>1.2359484045048934E-2</v>
      </c>
    </row>
    <row r="39" spans="2:21" s="438" customFormat="1" x14ac:dyDescent="0.35">
      <c r="B39" s="430"/>
      <c r="C39" s="430"/>
      <c r="D39" s="453"/>
      <c r="E39" s="454"/>
      <c r="F39" s="446"/>
      <c r="G39" s="446"/>
      <c r="H39" s="454"/>
      <c r="I39" s="446"/>
      <c r="J39" s="446"/>
      <c r="K39" s="457"/>
      <c r="L39" s="459"/>
      <c r="N39" s="457"/>
      <c r="P39" s="459"/>
      <c r="Q39" s="459"/>
      <c r="R39" s="457"/>
      <c r="S39" s="454"/>
      <c r="T39" s="454"/>
      <c r="U39" s="423"/>
    </row>
    <row r="40" spans="2:21" s="438" customFormat="1" x14ac:dyDescent="0.35">
      <c r="B40" s="430" t="s">
        <v>262</v>
      </c>
      <c r="C40" s="430"/>
      <c r="D40" s="453"/>
      <c r="E40" s="454">
        <f>E26</f>
        <v>4612100.68</v>
      </c>
      <c r="F40" s="446"/>
      <c r="G40" s="446"/>
      <c r="H40" s="454">
        <f>H26</f>
        <v>4033909.2370911636</v>
      </c>
      <c r="I40" s="446"/>
      <c r="J40" s="446"/>
      <c r="K40" s="457"/>
      <c r="L40" s="459"/>
      <c r="N40" s="457"/>
      <c r="P40" s="459"/>
      <c r="Q40" s="459"/>
      <c r="R40" s="457"/>
      <c r="S40" s="454">
        <f>S26</f>
        <v>4126085.4970911639</v>
      </c>
      <c r="T40" s="421">
        <f>T26</f>
        <v>0</v>
      </c>
      <c r="U40" s="423">
        <f>T40/S40</f>
        <v>0</v>
      </c>
    </row>
    <row r="41" spans="2:21" s="446" customFormat="1" x14ac:dyDescent="0.35">
      <c r="B41" s="443" t="s">
        <v>90</v>
      </c>
      <c r="C41" s="443"/>
      <c r="D41" s="460">
        <f>D40+D38</f>
        <v>1191304269.0992644</v>
      </c>
      <c r="E41" s="461">
        <f>E40+E38</f>
        <v>532096943.09873378</v>
      </c>
      <c r="G41" s="438"/>
      <c r="H41" s="461">
        <f>H40+H38</f>
        <v>536503912.78930575</v>
      </c>
      <c r="L41" s="459"/>
      <c r="P41" s="459"/>
      <c r="Q41" s="459"/>
      <c r="S41" s="461">
        <f>S40+S38</f>
        <v>909223440.56841373</v>
      </c>
      <c r="T41" s="461">
        <f>T40+T38</f>
        <v>11186536.319220001</v>
      </c>
      <c r="U41" s="429">
        <f>T41/S41</f>
        <v>1.2303396305122293E-2</v>
      </c>
    </row>
    <row r="42" spans="2:21" s="438" customFormat="1" x14ac:dyDescent="0.35">
      <c r="B42" s="446"/>
      <c r="C42" s="446"/>
      <c r="D42" s="446"/>
      <c r="E42" s="446"/>
      <c r="F42" s="446"/>
      <c r="I42" s="458"/>
      <c r="L42" s="446"/>
      <c r="N42" s="446"/>
      <c r="P42" s="446"/>
      <c r="Q42" s="446"/>
      <c r="R42" s="446"/>
      <c r="S42" s="446"/>
      <c r="T42" s="462"/>
    </row>
    <row r="43" spans="2:21" ht="16.5" x14ac:dyDescent="0.35">
      <c r="B43" s="407" t="s">
        <v>414</v>
      </c>
      <c r="D43" s="447"/>
      <c r="E43" s="447"/>
      <c r="H43" s="463"/>
      <c r="L43" s="447"/>
      <c r="P43" s="447"/>
      <c r="Q43" s="447"/>
      <c r="S43" s="447"/>
    </row>
    <row r="44" spans="2:21" ht="16.5" x14ac:dyDescent="0.35">
      <c r="B44" s="464" t="s">
        <v>405</v>
      </c>
      <c r="C44" s="464"/>
      <c r="D44" s="465"/>
      <c r="E44" s="447"/>
      <c r="L44" s="447"/>
      <c r="P44" s="447"/>
      <c r="Q44" s="447"/>
      <c r="S44" s="447"/>
    </row>
    <row r="45" spans="2:21" ht="16.5" x14ac:dyDescent="0.35">
      <c r="B45" s="407" t="s">
        <v>415</v>
      </c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62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9"/>
  <sheetViews>
    <sheetView zoomScale="90" zoomScaleNormal="90" workbookViewId="0">
      <selection activeCell="J30" sqref="J30"/>
    </sheetView>
  </sheetViews>
  <sheetFormatPr defaultColWidth="9.1796875" defaultRowHeight="14.5" x14ac:dyDescent="0.35"/>
  <cols>
    <col min="1" max="1" width="2.1796875" style="467" customWidth="1"/>
    <col min="2" max="2" width="2.453125" style="467" customWidth="1"/>
    <col min="3" max="3" width="34.54296875" style="467" customWidth="1"/>
    <col min="4" max="5" width="11.81640625" style="467" customWidth="1"/>
    <col min="6" max="6" width="2.7265625" style="481" customWidth="1"/>
    <col min="7" max="8" width="11.81640625" style="467" customWidth="1"/>
    <col min="9" max="16384" width="9.1796875" style="467"/>
  </cols>
  <sheetData>
    <row r="1" spans="2:8" x14ac:dyDescent="0.35">
      <c r="B1" s="466" t="s">
        <v>0</v>
      </c>
      <c r="C1" s="466"/>
      <c r="D1" s="466"/>
      <c r="E1" s="466"/>
      <c r="F1" s="466"/>
      <c r="G1" s="466"/>
      <c r="H1" s="466"/>
    </row>
    <row r="2" spans="2:8" x14ac:dyDescent="0.35">
      <c r="B2" s="466" t="s">
        <v>411</v>
      </c>
      <c r="C2" s="466"/>
      <c r="D2" s="466"/>
      <c r="E2" s="466"/>
      <c r="F2" s="466"/>
      <c r="G2" s="466"/>
      <c r="H2" s="466"/>
    </row>
    <row r="3" spans="2:8" x14ac:dyDescent="0.35">
      <c r="B3" s="406" t="s">
        <v>263</v>
      </c>
      <c r="C3" s="406"/>
      <c r="D3" s="406"/>
      <c r="E3" s="406"/>
      <c r="F3" s="406"/>
      <c r="G3" s="406"/>
      <c r="H3" s="406"/>
    </row>
    <row r="4" spans="2:8" x14ac:dyDescent="0.35">
      <c r="B4" s="406" t="s">
        <v>355</v>
      </c>
      <c r="C4" s="406"/>
      <c r="D4" s="406"/>
      <c r="E4" s="406"/>
      <c r="F4" s="406"/>
      <c r="G4" s="406"/>
      <c r="H4" s="406"/>
    </row>
    <row r="6" spans="2:8" x14ac:dyDescent="0.35">
      <c r="D6" s="468" t="s">
        <v>264</v>
      </c>
      <c r="E6" s="468"/>
      <c r="F6" s="469"/>
      <c r="G6" s="468" t="s">
        <v>265</v>
      </c>
      <c r="H6" s="468"/>
    </row>
    <row r="7" spans="2:8" ht="16.5" x14ac:dyDescent="0.35">
      <c r="D7" s="470" t="s">
        <v>364</v>
      </c>
      <c r="E7" s="470" t="s">
        <v>266</v>
      </c>
      <c r="F7" s="471"/>
      <c r="G7" s="470" t="s">
        <v>267</v>
      </c>
      <c r="H7" s="470" t="s">
        <v>266</v>
      </c>
    </row>
    <row r="8" spans="2:8" x14ac:dyDescent="0.35">
      <c r="B8" s="467" t="s">
        <v>268</v>
      </c>
      <c r="D8" s="472">
        <v>64</v>
      </c>
      <c r="E8" s="473"/>
      <c r="F8" s="474"/>
      <c r="G8" s="472">
        <v>64</v>
      </c>
      <c r="H8" s="473"/>
    </row>
    <row r="9" spans="2:8" x14ac:dyDescent="0.35">
      <c r="D9" s="472"/>
      <c r="E9" s="473"/>
      <c r="F9" s="474"/>
      <c r="G9" s="472"/>
      <c r="H9" s="473"/>
    </row>
    <row r="10" spans="2:8" x14ac:dyDescent="0.35">
      <c r="B10" s="467" t="s">
        <v>269</v>
      </c>
      <c r="D10" s="472"/>
      <c r="E10" s="473"/>
      <c r="F10" s="474"/>
      <c r="G10" s="472"/>
      <c r="H10" s="473"/>
    </row>
    <row r="11" spans="2:8" x14ac:dyDescent="0.35">
      <c r="C11" s="467" t="s">
        <v>270</v>
      </c>
      <c r="D11" s="524">
        <v>11.52</v>
      </c>
      <c r="E11" s="473">
        <f>D11</f>
        <v>11.52</v>
      </c>
      <c r="F11" s="475"/>
      <c r="G11" s="476">
        <f>$D$11</f>
        <v>11.52</v>
      </c>
      <c r="H11" s="473">
        <f>G11</f>
        <v>11.52</v>
      </c>
    </row>
    <row r="12" spans="2:8" x14ac:dyDescent="0.35">
      <c r="C12" s="467" t="s">
        <v>365</v>
      </c>
      <c r="D12" s="525">
        <v>0</v>
      </c>
      <c r="E12" s="477">
        <f>D12</f>
        <v>0</v>
      </c>
      <c r="F12" s="475"/>
      <c r="G12" s="478">
        <f>$D$12</f>
        <v>0</v>
      </c>
      <c r="H12" s="477">
        <f>G12</f>
        <v>0</v>
      </c>
    </row>
    <row r="13" spans="2:8" x14ac:dyDescent="0.35">
      <c r="C13" s="467" t="s">
        <v>296</v>
      </c>
      <c r="D13" s="525">
        <v>0</v>
      </c>
      <c r="E13" s="477">
        <f>D13</f>
        <v>0</v>
      </c>
      <c r="F13" s="475"/>
      <c r="G13" s="478">
        <f>$D$13</f>
        <v>0</v>
      </c>
      <c r="H13" s="477">
        <f>G13</f>
        <v>0</v>
      </c>
    </row>
    <row r="14" spans="2:8" x14ac:dyDescent="0.35">
      <c r="C14" s="467" t="s">
        <v>261</v>
      </c>
      <c r="D14" s="479">
        <f>SUM(D11:D13)</f>
        <v>11.52</v>
      </c>
      <c r="E14" s="479">
        <f>SUM(E11:E13)</f>
        <v>11.52</v>
      </c>
      <c r="F14" s="475"/>
      <c r="G14" s="479">
        <f>SUM(G11:G13)</f>
        <v>11.52</v>
      </c>
      <c r="H14" s="479">
        <f>SUM(H11:H13)</f>
        <v>11.52</v>
      </c>
    </row>
    <row r="15" spans="2:8" x14ac:dyDescent="0.35">
      <c r="D15" s="480"/>
      <c r="E15" s="473"/>
      <c r="F15" s="475"/>
      <c r="G15" s="476"/>
      <c r="H15" s="473"/>
    </row>
    <row r="16" spans="2:8" x14ac:dyDescent="0.35">
      <c r="B16" s="467" t="s">
        <v>271</v>
      </c>
      <c r="E16" s="473"/>
      <c r="H16" s="473"/>
    </row>
    <row r="17" spans="3:8" x14ac:dyDescent="0.35">
      <c r="C17" s="467" t="s">
        <v>272</v>
      </c>
      <c r="D17" s="526">
        <v>0.42857000000000001</v>
      </c>
      <c r="E17" s="473"/>
      <c r="F17" s="483"/>
      <c r="G17" s="484">
        <f>$D$17</f>
        <v>0.42857000000000001</v>
      </c>
      <c r="H17" s="473"/>
    </row>
    <row r="18" spans="3:8" x14ac:dyDescent="0.35">
      <c r="C18" s="467" t="s">
        <v>275</v>
      </c>
      <c r="D18" s="527">
        <v>7.0099999999999997E-3</v>
      </c>
      <c r="E18" s="473"/>
      <c r="F18" s="483"/>
      <c r="G18" s="486">
        <f>$D$18</f>
        <v>7.0099999999999997E-3</v>
      </c>
      <c r="H18" s="473"/>
    </row>
    <row r="19" spans="3:8" x14ac:dyDescent="0.35">
      <c r="C19" s="467" t="s">
        <v>273</v>
      </c>
      <c r="D19" s="526">
        <v>1.9710000000000002E-2</v>
      </c>
      <c r="E19" s="473"/>
      <c r="F19" s="483"/>
      <c r="G19" s="486">
        <f>$D$19</f>
        <v>1.9710000000000002E-2</v>
      </c>
      <c r="H19" s="473"/>
    </row>
    <row r="20" spans="3:8" x14ac:dyDescent="0.35">
      <c r="C20" s="467" t="s">
        <v>365</v>
      </c>
      <c r="D20" s="526">
        <v>0</v>
      </c>
      <c r="E20" s="473"/>
      <c r="F20" s="483"/>
      <c r="G20" s="484">
        <f>$D$20</f>
        <v>0</v>
      </c>
      <c r="H20" s="473"/>
    </row>
    <row r="21" spans="3:8" x14ac:dyDescent="0.35">
      <c r="C21" s="467" t="s">
        <v>296</v>
      </c>
      <c r="D21" s="526">
        <v>-1.388E-2</v>
      </c>
      <c r="E21" s="473"/>
      <c r="F21" s="483"/>
      <c r="G21" s="484">
        <f>$D$21</f>
        <v>-1.388E-2</v>
      </c>
      <c r="H21" s="473"/>
    </row>
    <row r="22" spans="3:8" x14ac:dyDescent="0.35">
      <c r="C22" s="467" t="s">
        <v>297</v>
      </c>
      <c r="D22" s="526">
        <v>-6.8000000000000005E-4</v>
      </c>
      <c r="E22" s="473"/>
      <c r="F22" s="483"/>
      <c r="G22" s="486">
        <f>$D$22</f>
        <v>-6.8000000000000005E-4</v>
      </c>
      <c r="H22" s="473"/>
    </row>
    <row r="23" spans="3:8" x14ac:dyDescent="0.35">
      <c r="C23" s="467" t="s">
        <v>416</v>
      </c>
      <c r="D23" s="526">
        <v>-1.3699999999999999E-3</v>
      </c>
      <c r="E23" s="473"/>
      <c r="F23" s="483"/>
      <c r="G23" s="486">
        <f>$D$23</f>
        <v>-1.3699999999999999E-3</v>
      </c>
      <c r="H23" s="473"/>
    </row>
    <row r="24" spans="3:8" x14ac:dyDescent="0.35">
      <c r="C24" s="467" t="s">
        <v>274</v>
      </c>
      <c r="D24" s="526">
        <v>1.2319999999999999E-2</v>
      </c>
      <c r="E24" s="473"/>
      <c r="F24" s="483"/>
      <c r="G24" s="486">
        <f>$D$24</f>
        <v>1.2319999999999999E-2</v>
      </c>
      <c r="H24" s="473"/>
    </row>
    <row r="25" spans="3:8" x14ac:dyDescent="0.35">
      <c r="C25" s="467" t="s">
        <v>276</v>
      </c>
      <c r="D25" s="485">
        <f>'Schedule 149'!$D$9</f>
        <v>6.8900000000000003E-3</v>
      </c>
      <c r="E25" s="473"/>
      <c r="F25" s="483"/>
      <c r="G25" s="482">
        <f>'Schedule 149'!$E$9</f>
        <v>1.8419999999999999E-2</v>
      </c>
      <c r="H25" s="473"/>
    </row>
    <row r="26" spans="3:8" x14ac:dyDescent="0.35">
      <c r="C26" s="467" t="s">
        <v>261</v>
      </c>
      <c r="D26" s="487">
        <f>SUM(D17:D25)</f>
        <v>0.45857000000000003</v>
      </c>
      <c r="E26" s="473">
        <f>ROUND(D26*D$8,2)</f>
        <v>29.35</v>
      </c>
      <c r="F26" s="483"/>
      <c r="G26" s="487">
        <f>SUM(G17:G25)</f>
        <v>0.47010000000000002</v>
      </c>
      <c r="H26" s="473">
        <f>ROUND(G26*G$8,2)</f>
        <v>30.09</v>
      </c>
    </row>
    <row r="28" spans="3:8" x14ac:dyDescent="0.35">
      <c r="C28" s="467" t="s">
        <v>277</v>
      </c>
      <c r="D28" s="526">
        <v>2.179E-2</v>
      </c>
      <c r="E28" s="473">
        <f>ROUND(D28*D$8,2)</f>
        <v>1.39</v>
      </c>
      <c r="F28" s="483"/>
      <c r="G28" s="488">
        <f>$D$28</f>
        <v>2.179E-2</v>
      </c>
      <c r="H28" s="473">
        <f>ROUND(G28*G$8,2)</f>
        <v>1.39</v>
      </c>
    </row>
    <row r="29" spans="3:8" x14ac:dyDescent="0.35">
      <c r="D29" s="526"/>
      <c r="E29" s="473"/>
      <c r="F29" s="483"/>
      <c r="G29" s="484"/>
      <c r="H29" s="473"/>
    </row>
    <row r="30" spans="3:8" x14ac:dyDescent="0.35">
      <c r="C30" s="467" t="s">
        <v>278</v>
      </c>
      <c r="D30" s="526">
        <v>0</v>
      </c>
      <c r="E30" s="473">
        <f>ROUND(D30*D$8,2)</f>
        <v>0</v>
      </c>
      <c r="F30" s="483"/>
      <c r="G30" s="486">
        <f>$D$30</f>
        <v>0</v>
      </c>
      <c r="H30" s="473">
        <f>ROUND(G30*G$8,2)</f>
        <v>0</v>
      </c>
    </row>
    <row r="31" spans="3:8" x14ac:dyDescent="0.35">
      <c r="D31" s="526"/>
      <c r="E31" s="473"/>
      <c r="F31" s="483"/>
      <c r="G31" s="484"/>
      <c r="H31" s="473"/>
    </row>
    <row r="32" spans="3:8" x14ac:dyDescent="0.35">
      <c r="C32" s="467" t="s">
        <v>279</v>
      </c>
      <c r="D32" s="526">
        <v>0.34614</v>
      </c>
      <c r="E32" s="473"/>
      <c r="F32" s="483"/>
      <c r="G32" s="486">
        <f>$D$32</f>
        <v>0.34614</v>
      </c>
      <c r="H32" s="473"/>
    </row>
    <row r="33" spans="2:8" x14ac:dyDescent="0.35">
      <c r="C33" s="467" t="s">
        <v>280</v>
      </c>
      <c r="D33" s="526">
        <v>8.7999999999999988E-3</v>
      </c>
      <c r="E33" s="473"/>
      <c r="F33" s="483"/>
      <c r="G33" s="486">
        <f>$D$33</f>
        <v>8.7999999999999988E-3</v>
      </c>
      <c r="H33" s="473"/>
    </row>
    <row r="34" spans="2:8" x14ac:dyDescent="0.35">
      <c r="C34" s="467" t="s">
        <v>261</v>
      </c>
      <c r="D34" s="487">
        <f>SUM(D32:D33)</f>
        <v>0.35493999999999998</v>
      </c>
      <c r="E34" s="473">
        <f>ROUND(D34*D$8,2)</f>
        <v>22.72</v>
      </c>
      <c r="F34" s="483"/>
      <c r="G34" s="487">
        <f>SUM(G32:G33)</f>
        <v>0.35493999999999998</v>
      </c>
      <c r="H34" s="473">
        <f>ROUND(G34*G$8,2)</f>
        <v>22.72</v>
      </c>
    </row>
    <row r="35" spans="2:8" x14ac:dyDescent="0.35">
      <c r="C35" s="467" t="s">
        <v>281</v>
      </c>
      <c r="D35" s="487">
        <f>D26+D28+D30+D34</f>
        <v>0.83529999999999993</v>
      </c>
      <c r="E35" s="489">
        <f>SUM(E26,E28,E30,E34)</f>
        <v>53.46</v>
      </c>
      <c r="F35" s="490"/>
      <c r="G35" s="487">
        <f>G26+G28+G30+G34</f>
        <v>0.84682999999999997</v>
      </c>
      <c r="H35" s="489">
        <f>SUM(H26,H28,H30,H34)</f>
        <v>54.2</v>
      </c>
    </row>
    <row r="36" spans="2:8" x14ac:dyDescent="0.35">
      <c r="E36" s="473"/>
      <c r="H36" s="473"/>
    </row>
    <row r="37" spans="2:8" x14ac:dyDescent="0.35">
      <c r="B37" s="467" t="s">
        <v>282</v>
      </c>
      <c r="D37" s="476"/>
      <c r="E37" s="473">
        <f>E14+E35</f>
        <v>64.98</v>
      </c>
      <c r="F37" s="478"/>
      <c r="G37" s="476"/>
      <c r="H37" s="473">
        <f>H14+H35</f>
        <v>65.72</v>
      </c>
    </row>
    <row r="38" spans="2:8" x14ac:dyDescent="0.35">
      <c r="B38" s="467" t="s">
        <v>283</v>
      </c>
      <c r="D38" s="476"/>
      <c r="E38" s="473"/>
      <c r="F38" s="478"/>
      <c r="G38" s="476"/>
      <c r="H38" s="473">
        <f>H37-$E37</f>
        <v>0.73999999999999488</v>
      </c>
    </row>
    <row r="39" spans="2:8" x14ac:dyDescent="0.35">
      <c r="B39" s="467" t="s">
        <v>284</v>
      </c>
      <c r="D39" s="491"/>
      <c r="E39" s="491"/>
      <c r="F39" s="492"/>
      <c r="G39" s="491"/>
      <c r="H39" s="493">
        <f>H38/$E37</f>
        <v>1.1388119421360339E-2</v>
      </c>
    </row>
    <row r="40" spans="2:8" x14ac:dyDescent="0.35">
      <c r="E40" s="473"/>
    </row>
    <row r="41" spans="2:8" x14ac:dyDescent="0.35">
      <c r="B41" s="467" t="s">
        <v>285</v>
      </c>
      <c r="D41" s="484">
        <f>D26+D28+D30</f>
        <v>0.48036000000000001</v>
      </c>
      <c r="E41" s="473"/>
      <c r="F41" s="490"/>
      <c r="G41" s="484">
        <f>G26+G28+G30</f>
        <v>0.49188999999999999</v>
      </c>
    </row>
    <row r="43" spans="2:8" ht="16.5" x14ac:dyDescent="0.35">
      <c r="B43" s="494" t="s">
        <v>417</v>
      </c>
    </row>
    <row r="44" spans="2:8" x14ac:dyDescent="0.35">
      <c r="C44" s="494"/>
      <c r="D44" s="494"/>
      <c r="E44" s="494"/>
      <c r="F44" s="495"/>
      <c r="G44" s="495"/>
      <c r="H44" s="495"/>
    </row>
    <row r="49" ht="14.25" customHeight="1" x14ac:dyDescent="0.35"/>
  </sheetData>
  <mergeCells count="4">
    <mergeCell ref="B1:H1"/>
    <mergeCell ref="B2:H2"/>
    <mergeCell ref="B3:H3"/>
    <mergeCell ref="B4:H4"/>
  </mergeCells>
  <printOptions horizontalCentered="1"/>
  <pageMargins left="0.5" right="0.5" top="1" bottom="1" header="0.5" footer="0.5"/>
  <pageSetup scale="75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selection activeCell="F26" sqref="F26"/>
    </sheetView>
  </sheetViews>
  <sheetFormatPr defaultColWidth="8.7265625" defaultRowHeight="14.5" x14ac:dyDescent="0.35"/>
  <cols>
    <col min="1" max="1" width="38.7265625" style="498" customWidth="1"/>
    <col min="2" max="2" width="9.1796875" style="498" bestFit="1" customWidth="1"/>
    <col min="3" max="3" width="18.54296875" style="498" bestFit="1" customWidth="1"/>
    <col min="4" max="5" width="13.7265625" style="498" customWidth="1"/>
    <col min="6" max="8" width="14.453125" style="498" customWidth="1"/>
    <col min="9" max="9" width="7.81640625" style="498" bestFit="1" customWidth="1"/>
    <col min="10" max="16384" width="8.7265625" style="498"/>
  </cols>
  <sheetData>
    <row r="1" spans="1:10" s="467" customFormat="1" ht="15" customHeight="1" x14ac:dyDescent="0.35">
      <c r="A1" s="496" t="s">
        <v>0</v>
      </c>
      <c r="B1" s="496"/>
      <c r="C1" s="496"/>
      <c r="D1" s="496"/>
      <c r="E1" s="496"/>
      <c r="F1" s="496"/>
      <c r="G1" s="496"/>
      <c r="H1" s="496"/>
      <c r="I1" s="496"/>
      <c r="J1" s="497"/>
    </row>
    <row r="2" spans="1:10" s="467" customFormat="1" ht="15" customHeight="1" x14ac:dyDescent="0.35">
      <c r="A2" s="496" t="s">
        <v>366</v>
      </c>
      <c r="B2" s="496"/>
      <c r="C2" s="496"/>
      <c r="D2" s="496"/>
      <c r="E2" s="496"/>
      <c r="F2" s="496"/>
      <c r="G2" s="496"/>
      <c r="H2" s="496"/>
      <c r="I2" s="496"/>
      <c r="J2" s="497"/>
    </row>
    <row r="3" spans="1:10" s="467" customFormat="1" ht="15" customHeight="1" x14ac:dyDescent="0.35">
      <c r="A3" s="496" t="s">
        <v>406</v>
      </c>
      <c r="B3" s="496"/>
      <c r="C3" s="496"/>
      <c r="D3" s="496"/>
      <c r="E3" s="496"/>
      <c r="F3" s="496"/>
      <c r="G3" s="496"/>
      <c r="H3" s="496"/>
      <c r="I3" s="496"/>
      <c r="J3" s="497"/>
    </row>
    <row r="4" spans="1:10" s="467" customFormat="1" ht="15" customHeight="1" x14ac:dyDescent="0.35">
      <c r="A4" s="496" t="s">
        <v>304</v>
      </c>
      <c r="B4" s="496"/>
      <c r="C4" s="496"/>
      <c r="D4" s="496"/>
      <c r="E4" s="496"/>
      <c r="F4" s="496"/>
      <c r="G4" s="496"/>
      <c r="H4" s="496"/>
      <c r="I4" s="496"/>
      <c r="J4" s="497"/>
    </row>
    <row r="5" spans="1:10" x14ac:dyDescent="0.35">
      <c r="D5" s="499"/>
      <c r="E5" s="499"/>
    </row>
    <row r="6" spans="1:10" x14ac:dyDescent="0.35">
      <c r="A6" s="500"/>
      <c r="B6" s="500"/>
      <c r="C6" s="500" t="s">
        <v>204</v>
      </c>
      <c r="D6" s="500" t="s">
        <v>299</v>
      </c>
      <c r="E6" s="500" t="s">
        <v>286</v>
      </c>
      <c r="F6" s="501" t="s">
        <v>204</v>
      </c>
      <c r="G6" s="501" t="s">
        <v>204</v>
      </c>
      <c r="H6" s="500" t="s">
        <v>206</v>
      </c>
      <c r="I6" s="500"/>
    </row>
    <row r="7" spans="1:10" x14ac:dyDescent="0.35">
      <c r="A7" s="500"/>
      <c r="B7" s="500" t="s">
        <v>207</v>
      </c>
      <c r="C7" s="500" t="s">
        <v>210</v>
      </c>
      <c r="D7" s="500" t="s">
        <v>206</v>
      </c>
      <c r="E7" s="500" t="s">
        <v>206</v>
      </c>
      <c r="F7" s="501" t="s">
        <v>217</v>
      </c>
      <c r="G7" s="501" t="s">
        <v>217</v>
      </c>
      <c r="H7" s="500" t="s">
        <v>217</v>
      </c>
      <c r="I7" s="500" t="s">
        <v>149</v>
      </c>
    </row>
    <row r="8" spans="1:10" x14ac:dyDescent="0.35">
      <c r="A8" s="414" t="s">
        <v>218</v>
      </c>
      <c r="B8" s="414" t="s">
        <v>167</v>
      </c>
      <c r="C8" s="502" t="str">
        <f>'Rate Impacts Sch149'!$S$7</f>
        <v>12ME Oct. 2021</v>
      </c>
      <c r="D8" s="414" t="s">
        <v>267</v>
      </c>
      <c r="E8" s="414" t="s">
        <v>267</v>
      </c>
      <c r="F8" s="470" t="s">
        <v>264</v>
      </c>
      <c r="G8" s="470" t="s">
        <v>298</v>
      </c>
      <c r="H8" s="414" t="s">
        <v>223</v>
      </c>
      <c r="I8" s="414" t="s">
        <v>223</v>
      </c>
    </row>
    <row r="9" spans="1:10" x14ac:dyDescent="0.35">
      <c r="A9" s="498" t="s">
        <v>132</v>
      </c>
      <c r="B9" s="503" t="s">
        <v>243</v>
      </c>
      <c r="C9" s="520">
        <v>623977402</v>
      </c>
      <c r="D9" s="504">
        <v>6.8900000000000003E-3</v>
      </c>
      <c r="E9" s="505">
        <f>'CRM Rates'!$E$20</f>
        <v>1.8419999999999999E-2</v>
      </c>
      <c r="F9" s="422">
        <f>C9*D9</f>
        <v>4299204.29978</v>
      </c>
      <c r="G9" s="422">
        <f>C9*E9</f>
        <v>11493663.74484</v>
      </c>
      <c r="H9" s="506">
        <f>G9-F9</f>
        <v>7194459.4450599998</v>
      </c>
      <c r="I9" s="507">
        <f>H9/F9</f>
        <v>1.6734397677793904</v>
      </c>
    </row>
    <row r="10" spans="1:10" x14ac:dyDescent="0.35">
      <c r="A10" s="498" t="s">
        <v>244</v>
      </c>
      <c r="B10" s="503">
        <v>16</v>
      </c>
      <c r="C10" s="520">
        <v>9053</v>
      </c>
      <c r="D10" s="504">
        <v>6.8900000000000003E-3</v>
      </c>
      <c r="E10" s="505">
        <f>'CRM Rates'!$E$20</f>
        <v>1.8419999999999999E-2</v>
      </c>
      <c r="F10" s="422">
        <f t="shared" ref="F10:F21" si="0">C10*D10</f>
        <v>62.375170000000004</v>
      </c>
      <c r="G10" s="422">
        <f t="shared" ref="G10:G21" si="1">C10*E10</f>
        <v>166.75626</v>
      </c>
      <c r="H10" s="506">
        <f t="shared" ref="H10:H21" si="2">G10-F10</f>
        <v>104.38109</v>
      </c>
      <c r="I10" s="507">
        <f t="shared" ref="I10:I22" si="3">H10/F10</f>
        <v>1.6734397677793904</v>
      </c>
    </row>
    <row r="11" spans="1:10" x14ac:dyDescent="0.35">
      <c r="A11" s="498" t="s">
        <v>245</v>
      </c>
      <c r="B11" s="503">
        <v>31</v>
      </c>
      <c r="C11" s="520">
        <v>231606572</v>
      </c>
      <c r="D11" s="504">
        <v>6.13E-3</v>
      </c>
      <c r="E11" s="505">
        <f>'CRM Rates'!$F$20</f>
        <v>1.9539999999999998E-2</v>
      </c>
      <c r="F11" s="422">
        <f t="shared" si="0"/>
        <v>1419748.28636</v>
      </c>
      <c r="G11" s="422">
        <f t="shared" si="1"/>
        <v>4525592.4168799995</v>
      </c>
      <c r="H11" s="506">
        <f t="shared" si="2"/>
        <v>3105844.1305199992</v>
      </c>
      <c r="I11" s="507">
        <f t="shared" si="3"/>
        <v>2.1876019575856436</v>
      </c>
    </row>
    <row r="12" spans="1:10" x14ac:dyDescent="0.35">
      <c r="A12" s="498" t="s">
        <v>246</v>
      </c>
      <c r="B12" s="503">
        <v>41</v>
      </c>
      <c r="C12" s="520">
        <v>64824052</v>
      </c>
      <c r="D12" s="504">
        <v>3.82E-3</v>
      </c>
      <c r="E12" s="505">
        <f>'CRM Rates'!$G$20</f>
        <v>9.2099999999999994E-3</v>
      </c>
      <c r="F12" s="422">
        <f t="shared" si="0"/>
        <v>247627.87864000001</v>
      </c>
      <c r="G12" s="422">
        <f t="shared" si="1"/>
        <v>597029.51891999994</v>
      </c>
      <c r="H12" s="506">
        <f t="shared" si="2"/>
        <v>349401.64027999993</v>
      </c>
      <c r="I12" s="507">
        <f t="shared" si="3"/>
        <v>1.4109947643979055</v>
      </c>
    </row>
    <row r="13" spans="1:10" x14ac:dyDescent="0.35">
      <c r="A13" s="498" t="s">
        <v>135</v>
      </c>
      <c r="B13" s="503">
        <v>85</v>
      </c>
      <c r="C13" s="520">
        <v>9854273</v>
      </c>
      <c r="D13" s="504">
        <v>2.0600000000000002E-3</v>
      </c>
      <c r="E13" s="505">
        <f>'CRM Rates'!$H$20</f>
        <v>4.9199999999999999E-3</v>
      </c>
      <c r="F13" s="422">
        <f t="shared" si="0"/>
        <v>20299.802380000001</v>
      </c>
      <c r="G13" s="422">
        <f t="shared" si="1"/>
        <v>48483.023159999997</v>
      </c>
      <c r="H13" s="506">
        <f t="shared" si="2"/>
        <v>28183.220779999996</v>
      </c>
      <c r="I13" s="507">
        <f t="shared" si="3"/>
        <v>1.3883495145631066</v>
      </c>
    </row>
    <row r="14" spans="1:10" x14ac:dyDescent="0.35">
      <c r="A14" s="498" t="s">
        <v>247</v>
      </c>
      <c r="B14" s="503">
        <v>86</v>
      </c>
      <c r="C14" s="520">
        <v>4822377</v>
      </c>
      <c r="D14" s="504">
        <v>3.0100000000000001E-3</v>
      </c>
      <c r="E14" s="505">
        <f>'CRM Rates'!$I$20</f>
        <v>8.7799999999999996E-3</v>
      </c>
      <c r="F14" s="422">
        <f t="shared" si="0"/>
        <v>14515.35477</v>
      </c>
      <c r="G14" s="422">
        <f t="shared" si="1"/>
        <v>42340.47006</v>
      </c>
      <c r="H14" s="506">
        <f t="shared" si="2"/>
        <v>27825.115290000002</v>
      </c>
      <c r="I14" s="507">
        <f t="shared" si="3"/>
        <v>1.9169435215946844</v>
      </c>
    </row>
    <row r="15" spans="1:10" x14ac:dyDescent="0.35">
      <c r="A15" s="498" t="s">
        <v>248</v>
      </c>
      <c r="B15" s="503">
        <v>87</v>
      </c>
      <c r="C15" s="520">
        <v>14421322</v>
      </c>
      <c r="D15" s="504">
        <v>1.25E-3</v>
      </c>
      <c r="E15" s="505">
        <f>'CRM Rates'!$J$20</f>
        <v>2.8700000000000002E-3</v>
      </c>
      <c r="F15" s="422">
        <f t="shared" si="0"/>
        <v>18026.6525</v>
      </c>
      <c r="G15" s="422">
        <f t="shared" si="1"/>
        <v>41389.19414</v>
      </c>
      <c r="H15" s="506">
        <f t="shared" si="2"/>
        <v>23362.541639999999</v>
      </c>
      <c r="I15" s="507">
        <f t="shared" si="3"/>
        <v>1.296</v>
      </c>
    </row>
    <row r="16" spans="1:10" x14ac:dyDescent="0.35">
      <c r="A16" s="498" t="s">
        <v>249</v>
      </c>
      <c r="B16" s="503" t="s">
        <v>168</v>
      </c>
      <c r="C16" s="520">
        <v>22682</v>
      </c>
      <c r="D16" s="504">
        <v>6.13E-3</v>
      </c>
      <c r="E16" s="505">
        <f>'CRM Rates'!$F$20</f>
        <v>1.9539999999999998E-2</v>
      </c>
      <c r="F16" s="422">
        <f t="shared" si="0"/>
        <v>139.04066</v>
      </c>
      <c r="G16" s="422">
        <f t="shared" si="1"/>
        <v>443.20627999999994</v>
      </c>
      <c r="H16" s="506">
        <f t="shared" si="2"/>
        <v>304.16561999999993</v>
      </c>
      <c r="I16" s="507">
        <f t="shared" si="3"/>
        <v>2.187601957585644</v>
      </c>
    </row>
    <row r="17" spans="1:9" x14ac:dyDescent="0.35">
      <c r="A17" s="498" t="s">
        <v>250</v>
      </c>
      <c r="B17" s="498" t="s">
        <v>169</v>
      </c>
      <c r="C17" s="520">
        <v>23610221</v>
      </c>
      <c r="D17" s="504">
        <v>3.82E-3</v>
      </c>
      <c r="E17" s="505">
        <f>'CRM Rates'!$G$20</f>
        <v>9.2099999999999994E-3</v>
      </c>
      <c r="F17" s="422">
        <f t="shared" si="0"/>
        <v>90191.044219999996</v>
      </c>
      <c r="G17" s="422">
        <f t="shared" si="1"/>
        <v>217450.13540999999</v>
      </c>
      <c r="H17" s="506">
        <f t="shared" si="2"/>
        <v>127259.09118999999</v>
      </c>
      <c r="I17" s="507">
        <f t="shared" si="3"/>
        <v>1.4109947643979057</v>
      </c>
    </row>
    <row r="18" spans="1:9" x14ac:dyDescent="0.35">
      <c r="A18" s="498" t="s">
        <v>251</v>
      </c>
      <c r="B18" s="498" t="s">
        <v>170</v>
      </c>
      <c r="C18" s="520">
        <v>72045794</v>
      </c>
      <c r="D18" s="504">
        <v>2.0600000000000002E-3</v>
      </c>
      <c r="E18" s="505">
        <f>'CRM Rates'!$H$20</f>
        <v>4.9199999999999999E-3</v>
      </c>
      <c r="F18" s="422">
        <f t="shared" si="0"/>
        <v>148414.33564</v>
      </c>
      <c r="G18" s="422">
        <f t="shared" si="1"/>
        <v>354465.30647999997</v>
      </c>
      <c r="H18" s="506">
        <f t="shared" si="2"/>
        <v>206050.97083999997</v>
      </c>
      <c r="I18" s="507">
        <f t="shared" si="3"/>
        <v>1.3883495145631066</v>
      </c>
    </row>
    <row r="19" spans="1:9" x14ac:dyDescent="0.35">
      <c r="A19" s="498" t="s">
        <v>252</v>
      </c>
      <c r="B19" s="498" t="s">
        <v>171</v>
      </c>
      <c r="C19" s="520">
        <v>199957</v>
      </c>
      <c r="D19" s="504">
        <v>3.0100000000000001E-3</v>
      </c>
      <c r="E19" s="505">
        <f>'CRM Rates'!$I$20</f>
        <v>8.7799999999999996E-3</v>
      </c>
      <c r="F19" s="422">
        <f t="shared" si="0"/>
        <v>601.87057000000004</v>
      </c>
      <c r="G19" s="422">
        <f t="shared" si="1"/>
        <v>1755.6224599999998</v>
      </c>
      <c r="H19" s="506">
        <f t="shared" si="2"/>
        <v>1153.7518899999998</v>
      </c>
      <c r="I19" s="507">
        <f t="shared" si="3"/>
        <v>1.916943521594684</v>
      </c>
    </row>
    <row r="20" spans="1:9" x14ac:dyDescent="0.35">
      <c r="A20" s="498" t="s">
        <v>253</v>
      </c>
      <c r="B20" s="498" t="s">
        <v>172</v>
      </c>
      <c r="C20" s="520">
        <v>92054702</v>
      </c>
      <c r="D20" s="504">
        <v>1.25E-3</v>
      </c>
      <c r="E20" s="505">
        <f>'CRM Rates'!$J$20</f>
        <v>2.8700000000000002E-3</v>
      </c>
      <c r="F20" s="422">
        <f t="shared" si="0"/>
        <v>115068.3775</v>
      </c>
      <c r="G20" s="422">
        <f t="shared" si="1"/>
        <v>264196.99473999999</v>
      </c>
      <c r="H20" s="506">
        <f t="shared" si="2"/>
        <v>149128.61723999999</v>
      </c>
      <c r="I20" s="507">
        <f t="shared" si="3"/>
        <v>1.2959999999999998</v>
      </c>
    </row>
    <row r="21" spans="1:9" x14ac:dyDescent="0.35">
      <c r="A21" s="498" t="s">
        <v>136</v>
      </c>
      <c r="C21" s="520">
        <v>32366771</v>
      </c>
      <c r="D21" s="508">
        <v>1.5200000000000001E-3</v>
      </c>
      <c r="E21" s="509">
        <f>'CRM Rates'!$K$20</f>
        <v>6.9999999999999999E-4</v>
      </c>
      <c r="F21" s="422">
        <f t="shared" si="0"/>
        <v>49197.49192</v>
      </c>
      <c r="G21" s="422">
        <f t="shared" si="1"/>
        <v>22656.739699999998</v>
      </c>
      <c r="H21" s="506">
        <f t="shared" si="2"/>
        <v>-26540.752220000002</v>
      </c>
      <c r="I21" s="507">
        <f t="shared" si="3"/>
        <v>-0.53947368421052633</v>
      </c>
    </row>
    <row r="22" spans="1:9" x14ac:dyDescent="0.35">
      <c r="A22" s="498" t="s">
        <v>90</v>
      </c>
      <c r="C22" s="510">
        <f>SUM(C9:C21)</f>
        <v>1169815178</v>
      </c>
      <c r="D22" s="511"/>
      <c r="E22" s="511"/>
      <c r="F22" s="428">
        <f t="shared" ref="F22:H22" si="4">SUM(F9:F21)</f>
        <v>6423096.8101100009</v>
      </c>
      <c r="G22" s="428">
        <f t="shared" si="4"/>
        <v>17609633.129330005</v>
      </c>
      <c r="H22" s="512">
        <f t="shared" si="4"/>
        <v>11186536.319219997</v>
      </c>
      <c r="I22" s="513">
        <f t="shared" si="3"/>
        <v>1.7416110405828398</v>
      </c>
    </row>
    <row r="23" spans="1:9" s="467" customFormat="1" x14ac:dyDescent="0.35">
      <c r="A23" s="469"/>
      <c r="B23" s="514"/>
      <c r="C23" s="515"/>
      <c r="D23" s="516"/>
      <c r="E23" s="516"/>
      <c r="F23" s="516"/>
      <c r="G23" s="516"/>
      <c r="H23" s="491"/>
    </row>
    <row r="24" spans="1:9" x14ac:dyDescent="0.35">
      <c r="F24" s="506"/>
      <c r="G24" s="506"/>
    </row>
    <row r="25" spans="1:9" x14ac:dyDescent="0.35">
      <c r="C25" s="517"/>
      <c r="F25" s="506"/>
      <c r="G25" s="506"/>
      <c r="H25" s="518"/>
    </row>
    <row r="26" spans="1:9" x14ac:dyDescent="0.35">
      <c r="A26" s="519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"/>
  <sheetViews>
    <sheetView workbookViewId="0">
      <selection activeCell="I37" sqref="I37"/>
    </sheetView>
  </sheetViews>
  <sheetFormatPr defaultRowHeight="12.5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149"/>
  <sheetViews>
    <sheetView zoomScale="90" zoomScaleNormal="90" workbookViewId="0">
      <selection activeCell="J33" sqref="J33"/>
    </sheetView>
  </sheetViews>
  <sheetFormatPr defaultColWidth="8.7265625" defaultRowHeight="14.5" outlineLevelCol="1" x14ac:dyDescent="0.35"/>
  <cols>
    <col min="1" max="1" width="3.54296875" style="105" customWidth="1"/>
    <col min="2" max="2" width="2.54296875" style="105" customWidth="1"/>
    <col min="3" max="3" width="35.1796875" style="105" customWidth="1"/>
    <col min="4" max="4" width="9.1796875" style="105" bestFit="1" customWidth="1"/>
    <col min="5" max="5" width="13.81640625" style="105" customWidth="1"/>
    <col min="6" max="12" width="12.7265625" style="105" customWidth="1"/>
    <col min="13" max="13" width="9.1796875" style="105"/>
    <col min="14" max="14" width="9.1796875" style="105" customWidth="1" outlineLevel="1"/>
    <col min="15" max="15" width="9.1796875" customWidth="1"/>
    <col min="16" max="16384" width="8.7265625" style="105"/>
  </cols>
  <sheetData>
    <row r="1" spans="1:14" x14ac:dyDescent="0.35">
      <c r="B1" s="394" t="s">
        <v>0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4" customFormat="1" x14ac:dyDescent="0.35">
      <c r="A2" s="105"/>
      <c r="B2" s="396" t="s">
        <v>398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105"/>
      <c r="N2" s="105"/>
    </row>
    <row r="3" spans="1:14" customFormat="1" x14ac:dyDescent="0.35">
      <c r="A3" s="105"/>
      <c r="B3" s="397" t="s">
        <v>348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105"/>
      <c r="N3" s="105"/>
    </row>
    <row r="4" spans="1:14" customFormat="1" x14ac:dyDescent="0.35">
      <c r="A4" s="105"/>
      <c r="B4" s="106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customFormat="1" x14ac:dyDescent="0.35">
      <c r="A5" s="105"/>
      <c r="B5" s="105"/>
      <c r="C5" s="105"/>
      <c r="D5" s="105"/>
      <c r="E5" s="105"/>
      <c r="F5" s="107"/>
      <c r="G5" s="107" t="s">
        <v>120</v>
      </c>
      <c r="H5" s="107" t="s">
        <v>121</v>
      </c>
      <c r="I5" s="107"/>
      <c r="J5" s="107" t="s">
        <v>122</v>
      </c>
      <c r="K5" s="107" t="s">
        <v>123</v>
      </c>
      <c r="L5" s="107"/>
      <c r="M5" s="105"/>
      <c r="N5" s="105"/>
    </row>
    <row r="6" spans="1:14" customFormat="1" x14ac:dyDescent="0.35">
      <c r="A6" s="105"/>
      <c r="B6" s="105"/>
      <c r="C6" s="105"/>
      <c r="D6" s="107" t="s">
        <v>124</v>
      </c>
      <c r="E6" s="105"/>
      <c r="F6" s="107" t="s">
        <v>139</v>
      </c>
      <c r="G6" s="107" t="s">
        <v>126</v>
      </c>
      <c r="H6" s="107" t="s">
        <v>127</v>
      </c>
      <c r="I6" s="107" t="s">
        <v>128</v>
      </c>
      <c r="J6" s="107" t="s">
        <v>129</v>
      </c>
      <c r="K6" s="107" t="s">
        <v>130</v>
      </c>
      <c r="L6" s="107"/>
      <c r="M6" s="105"/>
      <c r="N6" s="105"/>
    </row>
    <row r="7" spans="1:14" customFormat="1" x14ac:dyDescent="0.35">
      <c r="A7" s="105"/>
      <c r="B7" s="105"/>
      <c r="C7" s="105"/>
      <c r="D7" s="108" t="s">
        <v>131</v>
      </c>
      <c r="E7" s="108" t="s">
        <v>90</v>
      </c>
      <c r="F7" s="108" t="s">
        <v>132</v>
      </c>
      <c r="G7" s="108" t="s">
        <v>133</v>
      </c>
      <c r="H7" s="108" t="s">
        <v>134</v>
      </c>
      <c r="I7" s="108" t="s">
        <v>135</v>
      </c>
      <c r="J7" s="108" t="s">
        <v>135</v>
      </c>
      <c r="K7" s="108" t="s">
        <v>135</v>
      </c>
      <c r="L7" s="108" t="s">
        <v>136</v>
      </c>
      <c r="M7" s="105"/>
      <c r="N7" s="215" t="s">
        <v>104</v>
      </c>
    </row>
    <row r="8" spans="1:14" customFormat="1" x14ac:dyDescent="0.35">
      <c r="A8" s="105"/>
      <c r="B8" s="110" t="s">
        <v>140</v>
      </c>
      <c r="C8" s="105"/>
      <c r="D8" s="105"/>
      <c r="E8" s="116"/>
      <c r="F8" s="116"/>
      <c r="G8" s="116"/>
      <c r="H8" s="116"/>
      <c r="I8" s="116"/>
      <c r="J8" s="116"/>
      <c r="K8" s="116"/>
      <c r="L8" s="116"/>
      <c r="M8" s="105"/>
      <c r="N8" s="216"/>
    </row>
    <row r="9" spans="1:14" customFormat="1" x14ac:dyDescent="0.35">
      <c r="A9" s="105"/>
      <c r="B9" s="105"/>
      <c r="C9" s="202" t="s">
        <v>349</v>
      </c>
      <c r="D9" s="210">
        <v>376</v>
      </c>
      <c r="E9" s="139">
        <f>('2020 CAP CRM'!$E$29+'2020 CAP CRM'!$E$35)*'2020 C&amp;OM'!F10</f>
        <v>3960064.3667624774</v>
      </c>
      <c r="F9" s="117">
        <f>$E$9*'Allocation Factors'!E12</f>
        <v>2605215.5915458319</v>
      </c>
      <c r="G9" s="117">
        <f>$E$9*'Allocation Factors'!F12</f>
        <v>948731.97626237059</v>
      </c>
      <c r="H9" s="117">
        <f>$E$9*'Allocation Factors'!G12</f>
        <v>208724.47273981656</v>
      </c>
      <c r="I9" s="117">
        <f>$E$9*'Allocation Factors'!H12</f>
        <v>101664.58215627029</v>
      </c>
      <c r="J9" s="117">
        <f>$E$9*'Allocation Factors'!I12</f>
        <v>10948.006170630302</v>
      </c>
      <c r="K9" s="117">
        <f>$E$9*'Allocation Factors'!J12</f>
        <v>79529.378724223134</v>
      </c>
      <c r="L9" s="117">
        <f>$E$9*'Allocation Factors'!K12</f>
        <v>5250.3591633341521</v>
      </c>
      <c r="M9" s="105"/>
      <c r="N9" s="216">
        <f t="shared" ref="N9:N16" si="0">SUM(F9:L9)-E9</f>
        <v>0</v>
      </c>
    </row>
    <row r="10" spans="1:14" customFormat="1" x14ac:dyDescent="0.35">
      <c r="A10" s="105"/>
      <c r="B10" s="105"/>
      <c r="C10" s="202" t="s">
        <v>350</v>
      </c>
      <c r="D10" s="210">
        <v>380</v>
      </c>
      <c r="E10" s="139">
        <f>('2020 CAP CRM'!$E$29+'2020 CAP CRM'!$E$35)*'2020 C&amp;OM'!F9</f>
        <v>344039.91483854147</v>
      </c>
      <c r="F10" s="117">
        <f>$E$10*'Allocation Factors'!E17</f>
        <v>197988.44048151068</v>
      </c>
      <c r="G10" s="117">
        <f>$E$10*'Allocation Factors'!F17</f>
        <v>139917.57017174995</v>
      </c>
      <c r="H10" s="117">
        <f>$E$10*'Allocation Factors'!G17</f>
        <v>2485.7067082536128</v>
      </c>
      <c r="I10" s="117">
        <f>$E$10*'Allocation Factors'!H17</f>
        <v>2495.3098284580519</v>
      </c>
      <c r="J10" s="117">
        <f>$E$10*'Allocation Factors'!I17</f>
        <v>393.30438550642492</v>
      </c>
      <c r="K10" s="117">
        <f>$E$10*'Allocation Factors'!J17</f>
        <v>321.13338307704731</v>
      </c>
      <c r="L10" s="117">
        <f>$E$10*'Allocation Factors'!K17</f>
        <v>438.4498799857783</v>
      </c>
      <c r="M10" s="105"/>
      <c r="N10" s="216">
        <f t="shared" si="0"/>
        <v>0</v>
      </c>
    </row>
    <row r="11" spans="1:14" customFormat="1" x14ac:dyDescent="0.35">
      <c r="A11" s="105"/>
      <c r="B11" s="105"/>
      <c r="C11" s="105" t="s">
        <v>90</v>
      </c>
      <c r="D11" s="200"/>
      <c r="E11" s="233">
        <f>SUM(E9:E10)</f>
        <v>4304104.2816010192</v>
      </c>
      <c r="F11" s="118">
        <f t="shared" ref="F11:L11" si="1">SUM(F9:F10)</f>
        <v>2803204.0320273424</v>
      </c>
      <c r="G11" s="118">
        <f t="shared" si="1"/>
        <v>1088649.5464341205</v>
      </c>
      <c r="H11" s="118">
        <f t="shared" si="1"/>
        <v>211210.17944807018</v>
      </c>
      <c r="I11" s="118">
        <f t="shared" si="1"/>
        <v>104159.89198472834</v>
      </c>
      <c r="J11" s="118">
        <f t="shared" si="1"/>
        <v>11341.310556136727</v>
      </c>
      <c r="K11" s="118">
        <f t="shared" si="1"/>
        <v>79850.512107300179</v>
      </c>
      <c r="L11" s="118">
        <f t="shared" si="1"/>
        <v>5688.8090433199304</v>
      </c>
      <c r="M11" s="105"/>
      <c r="N11" s="216">
        <f t="shared" si="0"/>
        <v>0</v>
      </c>
    </row>
    <row r="12" spans="1:14" customFormat="1" x14ac:dyDescent="0.35">
      <c r="A12" s="105"/>
      <c r="B12" s="105"/>
      <c r="C12" s="105"/>
      <c r="D12" s="200"/>
      <c r="E12" s="262"/>
      <c r="F12" s="116"/>
      <c r="G12" s="116"/>
      <c r="H12" s="116"/>
      <c r="I12" s="116"/>
      <c r="J12" s="116"/>
      <c r="K12" s="116"/>
      <c r="L12" s="116"/>
      <c r="M12" s="105"/>
      <c r="N12" s="216"/>
    </row>
    <row r="13" spans="1:14" s="110" customFormat="1" x14ac:dyDescent="0.35">
      <c r="B13" s="110" t="s">
        <v>53</v>
      </c>
      <c r="D13" s="210"/>
      <c r="E13" s="229"/>
      <c r="F13" s="112"/>
      <c r="G13" s="112"/>
      <c r="H13" s="112"/>
      <c r="I13" s="112"/>
      <c r="J13" s="112"/>
      <c r="K13" s="112"/>
      <c r="L13" s="112"/>
      <c r="N13" s="216"/>
    </row>
    <row r="14" spans="1:14" s="110" customFormat="1" x14ac:dyDescent="0.35">
      <c r="C14" s="207" t="s">
        <v>349</v>
      </c>
      <c r="D14" s="210">
        <v>376</v>
      </c>
      <c r="E14" s="181">
        <f>'2020 CAP CRM'!$E$27*'2020 C&amp;OM'!H10</f>
        <v>1140445.6798241986</v>
      </c>
      <c r="F14" s="120">
        <f>$E$14*'Allocation Factors'!E12</f>
        <v>750267.31669467676</v>
      </c>
      <c r="G14" s="120">
        <f>$E$14*'Allocation Factors'!F12</f>
        <v>273222.14576124621</v>
      </c>
      <c r="H14" s="120">
        <f>$E$14*'Allocation Factors'!G12</f>
        <v>60109.86215466859</v>
      </c>
      <c r="I14" s="120">
        <f>$E$14*'Allocation Factors'!H12</f>
        <v>29278.042671321295</v>
      </c>
      <c r="J14" s="120">
        <f>$E$14*'Allocation Factors'!I12</f>
        <v>3152.8796462951218</v>
      </c>
      <c r="K14" s="120">
        <f>$E$14*'Allocation Factors'!J12</f>
        <v>22903.399537238605</v>
      </c>
      <c r="L14" s="120">
        <f>$E$14*'Allocation Factors'!K12</f>
        <v>1512.0333587519615</v>
      </c>
      <c r="N14" s="216">
        <f t="shared" si="0"/>
        <v>0</v>
      </c>
    </row>
    <row r="15" spans="1:14" s="110" customFormat="1" x14ac:dyDescent="0.35">
      <c r="C15" s="207" t="s">
        <v>350</v>
      </c>
      <c r="D15" s="210">
        <v>380</v>
      </c>
      <c r="E15" s="181">
        <f>'2020 CAP CRM'!$E$27*'2020 C&amp;OM'!H9</f>
        <v>129574.77947390432</v>
      </c>
      <c r="F15" s="120">
        <f>$E$15*'Allocation Factors'!E17</f>
        <v>74567.826020459252</v>
      </c>
      <c r="G15" s="120">
        <f>$E$15*'Allocation Factors'!F17</f>
        <v>52696.75847942636</v>
      </c>
      <c r="H15" s="120">
        <f>$E$15*'Allocation Factors'!G17</f>
        <v>936.18468284391201</v>
      </c>
      <c r="I15" s="120">
        <f>$E$15*'Allocation Factors'!H17</f>
        <v>939.80147882915571</v>
      </c>
      <c r="J15" s="120">
        <f>$E$15*'Allocation Factors'!I17</f>
        <v>148.12911764040859</v>
      </c>
      <c r="K15" s="120">
        <f>$E$15*'Allocation Factors'!J17</f>
        <v>120.94755724330783</v>
      </c>
      <c r="L15" s="120">
        <f>$E$15*'Allocation Factors'!K17</f>
        <v>165.13213746195419</v>
      </c>
      <c r="N15" s="216">
        <f t="shared" si="0"/>
        <v>0</v>
      </c>
    </row>
    <row r="16" spans="1:14" s="110" customFormat="1" x14ac:dyDescent="0.35">
      <c r="C16" s="110" t="s">
        <v>90</v>
      </c>
      <c r="D16" s="210"/>
      <c r="E16" s="263">
        <f>SUM(E14:E15)</f>
        <v>1270020.4592981029</v>
      </c>
      <c r="F16" s="113">
        <f t="shared" ref="F16:L16" si="2">SUM(F14:F15)</f>
        <v>824835.14271513605</v>
      </c>
      <c r="G16" s="113">
        <f t="shared" si="2"/>
        <v>325918.90424067259</v>
      </c>
      <c r="H16" s="113">
        <f t="shared" si="2"/>
        <v>61046.046837512506</v>
      </c>
      <c r="I16" s="113">
        <f t="shared" si="2"/>
        <v>30217.844150150449</v>
      </c>
      <c r="J16" s="113">
        <f t="shared" si="2"/>
        <v>3301.0087639355306</v>
      </c>
      <c r="K16" s="113">
        <f t="shared" si="2"/>
        <v>23024.347094481913</v>
      </c>
      <c r="L16" s="113">
        <f t="shared" si="2"/>
        <v>1677.1654962139157</v>
      </c>
      <c r="N16" s="216">
        <f t="shared" si="0"/>
        <v>0</v>
      </c>
    </row>
    <row r="17" spans="1:14" s="110" customFormat="1" x14ac:dyDescent="0.35">
      <c r="D17" s="210"/>
      <c r="E17" s="230"/>
      <c r="F17" s="115"/>
      <c r="G17" s="115"/>
      <c r="H17" s="115"/>
      <c r="I17" s="115"/>
      <c r="J17" s="115"/>
      <c r="K17" s="115"/>
      <c r="L17" s="115"/>
      <c r="N17" s="78"/>
    </row>
    <row r="18" spans="1:14" s="110" customFormat="1" x14ac:dyDescent="0.35">
      <c r="B18" s="207" t="s">
        <v>326</v>
      </c>
      <c r="D18" s="210"/>
      <c r="E18" s="230"/>
      <c r="F18" s="115"/>
      <c r="G18" s="115"/>
      <c r="H18" s="115"/>
      <c r="I18" s="115"/>
      <c r="J18" s="115"/>
      <c r="K18" s="115"/>
      <c r="L18" s="115"/>
      <c r="N18" s="78"/>
    </row>
    <row r="19" spans="1:14" s="110" customFormat="1" x14ac:dyDescent="0.35">
      <c r="C19" s="207" t="s">
        <v>351</v>
      </c>
      <c r="D19" s="210">
        <v>874</v>
      </c>
      <c r="E19" s="181">
        <f>'2020 C&amp;OM'!F15+'2020 C&amp;OM'!F16</f>
        <v>3687499.6100000124</v>
      </c>
      <c r="F19" s="120">
        <f>$E$19*'Allocation Factors'!E20</f>
        <v>2312885.7242160654</v>
      </c>
      <c r="G19" s="120">
        <f>$E$19*'Allocation Factors'!F20</f>
        <v>1112666.8197422985</v>
      </c>
      <c r="H19" s="120">
        <f>$E$19*'Allocation Factors'!G20</f>
        <v>131969.48733833153</v>
      </c>
      <c r="I19" s="120">
        <f>$E$19*'Allocation Factors'!H20</f>
        <v>69400.850182610608</v>
      </c>
      <c r="J19" s="120">
        <f>$E$19*'Allocation Factors'!I20</f>
        <v>7970.3588110011779</v>
      </c>
      <c r="K19" s="120">
        <f>$E$19*'Allocation Factors'!J20</f>
        <v>47787.905504334653</v>
      </c>
      <c r="L19" s="120">
        <f>$E$19*'Allocation Factors'!K20</f>
        <v>4818.4642053700472</v>
      </c>
      <c r="N19" s="216">
        <f t="shared" ref="N19:N21" si="3">SUM(F19:L19)-E19</f>
        <v>0</v>
      </c>
    </row>
    <row r="20" spans="1:14" s="110" customFormat="1" x14ac:dyDescent="0.35">
      <c r="C20" s="207" t="s">
        <v>352</v>
      </c>
      <c r="D20" s="210">
        <v>878</v>
      </c>
      <c r="E20" s="181">
        <f>'2020 C&amp;OM'!F14</f>
        <v>498169.68</v>
      </c>
      <c r="F20" s="120">
        <f>$E$20*'Allocation Factors'!E23</f>
        <v>394468.80743981112</v>
      </c>
      <c r="G20" s="120">
        <f>$E$20*'Allocation Factors'!F23</f>
        <v>101663.65892426908</v>
      </c>
      <c r="H20" s="120">
        <f>$E$20*'Allocation Factors'!G23</f>
        <v>2015.3054142673154</v>
      </c>
      <c r="I20" s="120">
        <f>$E$20*'Allocation Factors'!H23</f>
        <v>11.438242442128685</v>
      </c>
      <c r="J20" s="120">
        <f>$E$20*'Allocation Factors'!I23</f>
        <v>6.657231729573021</v>
      </c>
      <c r="K20" s="120">
        <f>$E$20*'Allocation Factors'!J23</f>
        <v>0</v>
      </c>
      <c r="L20" s="120">
        <f>$E$20*'Allocation Factors'!K23</f>
        <v>3.8127474807095614</v>
      </c>
      <c r="N20" s="216">
        <f t="shared" si="3"/>
        <v>0</v>
      </c>
    </row>
    <row r="21" spans="1:14" s="110" customFormat="1" x14ac:dyDescent="0.35">
      <c r="C21" s="207" t="s">
        <v>90</v>
      </c>
      <c r="E21" s="113">
        <f>SUM(E19:E20)</f>
        <v>4185669.2900000126</v>
      </c>
      <c r="F21" s="113">
        <f t="shared" ref="F21:L21" si="4">SUM(F19:F20)</f>
        <v>2707354.5316558764</v>
      </c>
      <c r="G21" s="113">
        <f t="shared" si="4"/>
        <v>1214330.4786665675</v>
      </c>
      <c r="H21" s="113">
        <f t="shared" si="4"/>
        <v>133984.79275259885</v>
      </c>
      <c r="I21" s="113">
        <f t="shared" si="4"/>
        <v>69412.288425052742</v>
      </c>
      <c r="J21" s="113">
        <f t="shared" si="4"/>
        <v>7977.016042730751</v>
      </c>
      <c r="K21" s="113">
        <f t="shared" si="4"/>
        <v>47787.905504334653</v>
      </c>
      <c r="L21" s="113">
        <f t="shared" si="4"/>
        <v>4822.276952850757</v>
      </c>
      <c r="N21" s="216">
        <f t="shared" si="3"/>
        <v>0</v>
      </c>
    </row>
    <row r="22" spans="1:14" s="110" customFormat="1" x14ac:dyDescent="0.35">
      <c r="E22" s="112"/>
      <c r="F22" s="112"/>
      <c r="G22" s="112"/>
      <c r="H22" s="112"/>
      <c r="I22" s="112"/>
      <c r="J22" s="112"/>
      <c r="K22" s="112"/>
      <c r="L22" s="112"/>
      <c r="N22" s="78"/>
    </row>
    <row r="23" spans="1:14" s="110" customFormat="1" x14ac:dyDescent="0.35">
      <c r="B23" s="110" t="s">
        <v>141</v>
      </c>
      <c r="E23" s="112">
        <f>E11+E16+E21</f>
        <v>9759794.0308991354</v>
      </c>
      <c r="F23" s="112">
        <f t="shared" ref="F23:L23" si="5">F11+F16+F21</f>
        <v>6335393.7063983548</v>
      </c>
      <c r="G23" s="112">
        <f t="shared" si="5"/>
        <v>2628898.9293413609</v>
      </c>
      <c r="H23" s="112">
        <f t="shared" si="5"/>
        <v>406241.01903818152</v>
      </c>
      <c r="I23" s="112">
        <f t="shared" si="5"/>
        <v>203790.02455993154</v>
      </c>
      <c r="J23" s="112">
        <f t="shared" si="5"/>
        <v>22619.335362803009</v>
      </c>
      <c r="K23" s="112">
        <f t="shared" si="5"/>
        <v>150662.76470611675</v>
      </c>
      <c r="L23" s="112">
        <f t="shared" si="5"/>
        <v>12188.251492384603</v>
      </c>
      <c r="N23" s="216">
        <f t="shared" ref="N23" si="6">SUM(F23:L23)-E23</f>
        <v>0</v>
      </c>
    </row>
    <row r="24" spans="1:14" s="110" customFormat="1" x14ac:dyDescent="0.35">
      <c r="B24" s="110" t="s">
        <v>142</v>
      </c>
      <c r="E24" s="1">
        <f>'2019 GRC'!$J$18</f>
        <v>0.95455299999999998</v>
      </c>
      <c r="F24" s="112"/>
      <c r="G24" s="112"/>
      <c r="H24" s="112"/>
      <c r="I24" s="112"/>
      <c r="J24" s="112"/>
      <c r="K24" s="112"/>
      <c r="L24" s="112"/>
      <c r="N24" s="78"/>
    </row>
    <row r="25" spans="1:14" s="110" customFormat="1" x14ac:dyDescent="0.35">
      <c r="B25" s="111" t="s">
        <v>143</v>
      </c>
      <c r="C25" s="111"/>
      <c r="D25" s="111"/>
      <c r="E25" s="121">
        <f>E23/$E$24</f>
        <v>10224465.305644773</v>
      </c>
      <c r="F25" s="121">
        <f t="shared" ref="F25:L25" si="7">F23/$E$24</f>
        <v>6637026.6568732746</v>
      </c>
      <c r="G25" s="121">
        <f t="shared" si="7"/>
        <v>2754062.8224324486</v>
      </c>
      <c r="H25" s="121">
        <f t="shared" si="7"/>
        <v>425582.46534051176</v>
      </c>
      <c r="I25" s="121">
        <f t="shared" si="7"/>
        <v>213492.62383537798</v>
      </c>
      <c r="J25" s="121">
        <f t="shared" si="7"/>
        <v>23696.25925726807</v>
      </c>
      <c r="K25" s="121">
        <f t="shared" si="7"/>
        <v>157835.93441759312</v>
      </c>
      <c r="L25" s="121">
        <f t="shared" si="7"/>
        <v>12768.543488297248</v>
      </c>
      <c r="N25" s="216">
        <f t="shared" ref="N25" si="8">SUM(F25:L25)-E25</f>
        <v>0</v>
      </c>
    </row>
    <row r="26" spans="1:14" s="110" customFormat="1" x14ac:dyDescent="0.35">
      <c r="F26" s="112"/>
      <c r="G26" s="112"/>
      <c r="H26" s="112"/>
      <c r="I26" s="112"/>
      <c r="J26" s="112"/>
      <c r="K26" s="112"/>
      <c r="L26" s="112"/>
    </row>
    <row r="27" spans="1:14" customFormat="1" x14ac:dyDescent="0.35">
      <c r="A27" s="105"/>
      <c r="B27" s="105" t="s">
        <v>144</v>
      </c>
      <c r="C27" s="105"/>
      <c r="D27" s="105"/>
      <c r="E27" s="122">
        <f>SUM(F27:L27)</f>
        <v>0.99999999999999989</v>
      </c>
      <c r="F27" s="122">
        <f>F25/$E25</f>
        <v>0.64913190650752883</v>
      </c>
      <c r="G27" s="122">
        <f t="shared" ref="G27:L27" si="9">G25/$E25</f>
        <v>0.26936008290936958</v>
      </c>
      <c r="H27" s="122">
        <f t="shared" si="9"/>
        <v>4.1623933635488414E-2</v>
      </c>
      <c r="I27" s="122">
        <f t="shared" si="9"/>
        <v>2.0880566117967257E-2</v>
      </c>
      <c r="J27" s="122">
        <f t="shared" si="9"/>
        <v>2.3176037620457005E-3</v>
      </c>
      <c r="K27" s="122">
        <f t="shared" si="9"/>
        <v>1.5437084453741975E-2</v>
      </c>
      <c r="L27" s="122">
        <f t="shared" si="9"/>
        <v>1.2488226138581474E-3</v>
      </c>
      <c r="M27" s="105"/>
      <c r="N27" s="105"/>
    </row>
    <row r="28" spans="1:14" customFormat="1" x14ac:dyDescent="0.35">
      <c r="A28" s="105"/>
      <c r="B28" s="105"/>
      <c r="C28" s="105"/>
      <c r="D28" s="105"/>
      <c r="E28" s="105"/>
      <c r="F28" s="109"/>
      <c r="G28" s="109"/>
      <c r="H28" s="109"/>
      <c r="I28" s="109"/>
      <c r="J28" s="109"/>
      <c r="K28" s="109"/>
      <c r="L28" s="109"/>
      <c r="M28" s="105"/>
      <c r="N28" s="105"/>
    </row>
    <row r="29" spans="1:14" customFormat="1" x14ac:dyDescent="0.3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  <row r="30" spans="1:14" customFormat="1" x14ac:dyDescent="0.3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customFormat="1" x14ac:dyDescent="0.3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customFormat="1" x14ac:dyDescent="0.3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1:14" customFormat="1" x14ac:dyDescent="0.3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1:14" customFormat="1" x14ac:dyDescent="0.3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</row>
    <row r="35" spans="1:14" customFormat="1" x14ac:dyDescent="0.3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  <row r="36" spans="1:14" customFormat="1" x14ac:dyDescent="0.3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</row>
    <row r="37" spans="1:14" customFormat="1" x14ac:dyDescent="0.3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1:14" customFormat="1" x14ac:dyDescent="0.3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</row>
    <row r="39" spans="1:14" customFormat="1" x14ac:dyDescent="0.3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</row>
    <row r="40" spans="1:14" customFormat="1" x14ac:dyDescent="0.3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1:14" customFormat="1" x14ac:dyDescent="0.3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14" customFormat="1" x14ac:dyDescent="0.3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4" customFormat="1" x14ac:dyDescent="0.3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14" customFormat="1" x14ac:dyDescent="0.3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14" customFormat="1" x14ac:dyDescent="0.3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14" customFormat="1" x14ac:dyDescent="0.3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1:14" customFormat="1" x14ac:dyDescent="0.3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1:14" customFormat="1" x14ac:dyDescent="0.3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1:14" customFormat="1" x14ac:dyDescent="0.3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0" spans="1:14" customFormat="1" x14ac:dyDescent="0.3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</row>
    <row r="51" spans="1:14" customFormat="1" x14ac:dyDescent="0.3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  <row r="52" spans="1:14" customFormat="1" x14ac:dyDescent="0.35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</row>
    <row r="53" spans="1:14" customFormat="1" x14ac:dyDescent="0.3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</row>
    <row r="54" spans="1:14" customFormat="1" x14ac:dyDescent="0.35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</row>
    <row r="55" spans="1:14" customFormat="1" x14ac:dyDescent="0.3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</row>
    <row r="56" spans="1:14" customFormat="1" x14ac:dyDescent="0.3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</row>
    <row r="57" spans="1:14" customFormat="1" x14ac:dyDescent="0.35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</row>
    <row r="58" spans="1:14" customFormat="1" x14ac:dyDescent="0.3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</row>
    <row r="59" spans="1:14" customFormat="1" x14ac:dyDescent="0.35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</row>
    <row r="60" spans="1:14" customFormat="1" x14ac:dyDescent="0.35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</row>
    <row r="61" spans="1:14" customFormat="1" x14ac:dyDescent="0.35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</row>
    <row r="62" spans="1:14" customFormat="1" x14ac:dyDescent="0.35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</row>
    <row r="63" spans="1:14" customFormat="1" x14ac:dyDescent="0.35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</row>
    <row r="64" spans="1:14" customFormat="1" x14ac:dyDescent="0.35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</row>
    <row r="65" spans="1:14" customFormat="1" x14ac:dyDescent="0.35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</row>
    <row r="66" spans="1:14" customFormat="1" x14ac:dyDescent="0.3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</row>
    <row r="67" spans="1:14" customFormat="1" x14ac:dyDescent="0.3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</row>
    <row r="68" spans="1:14" customFormat="1" x14ac:dyDescent="0.3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</row>
    <row r="69" spans="1:14" customFormat="1" x14ac:dyDescent="0.3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</row>
    <row r="70" spans="1:14" customFormat="1" x14ac:dyDescent="0.35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</row>
    <row r="71" spans="1:14" customFormat="1" x14ac:dyDescent="0.35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</row>
    <row r="72" spans="1:14" customFormat="1" x14ac:dyDescent="0.35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</row>
    <row r="73" spans="1:14" customFormat="1" x14ac:dyDescent="0.35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</row>
    <row r="74" spans="1:14" customFormat="1" x14ac:dyDescent="0.35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</row>
    <row r="75" spans="1:14" customFormat="1" x14ac:dyDescent="0.35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</row>
    <row r="76" spans="1:14" customFormat="1" x14ac:dyDescent="0.35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</row>
    <row r="77" spans="1:14" customFormat="1" x14ac:dyDescent="0.35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1:14" customFormat="1" x14ac:dyDescent="0.35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</row>
    <row r="79" spans="1:14" customFormat="1" x14ac:dyDescent="0.35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</row>
    <row r="80" spans="1:14" customFormat="1" x14ac:dyDescent="0.35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1:14" customFormat="1" x14ac:dyDescent="0.35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4" customFormat="1" x14ac:dyDescent="0.35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</row>
    <row r="83" spans="1:14" customFormat="1" x14ac:dyDescent="0.35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</row>
    <row r="84" spans="1:14" customFormat="1" x14ac:dyDescent="0.35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</row>
    <row r="85" spans="1:14" customFormat="1" x14ac:dyDescent="0.35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</row>
    <row r="86" spans="1:14" customFormat="1" x14ac:dyDescent="0.35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</row>
    <row r="87" spans="1:14" customFormat="1" x14ac:dyDescent="0.35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</row>
    <row r="88" spans="1:14" customFormat="1" x14ac:dyDescent="0.35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</row>
    <row r="89" spans="1:14" customFormat="1" x14ac:dyDescent="0.35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</row>
    <row r="90" spans="1:14" customFormat="1" x14ac:dyDescent="0.35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</row>
    <row r="91" spans="1:14" customFormat="1" x14ac:dyDescent="0.35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</row>
    <row r="92" spans="1:14" customFormat="1" x14ac:dyDescent="0.35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</row>
    <row r="93" spans="1:14" customFormat="1" x14ac:dyDescent="0.35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</row>
    <row r="94" spans="1:14" customFormat="1" x14ac:dyDescent="0.35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</row>
    <row r="95" spans="1:14" customFormat="1" x14ac:dyDescent="0.35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</row>
    <row r="96" spans="1:14" customFormat="1" x14ac:dyDescent="0.35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</row>
    <row r="97" spans="1:14" customFormat="1" x14ac:dyDescent="0.35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</row>
    <row r="98" spans="1:14" customFormat="1" x14ac:dyDescent="0.3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</row>
    <row r="99" spans="1:14" customFormat="1" x14ac:dyDescent="0.3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</row>
    <row r="100" spans="1:14" customFormat="1" x14ac:dyDescent="0.3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</row>
    <row r="101" spans="1:14" customFormat="1" x14ac:dyDescent="0.3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</row>
    <row r="102" spans="1:14" customFormat="1" x14ac:dyDescent="0.3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</row>
    <row r="103" spans="1:14" customFormat="1" x14ac:dyDescent="0.3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</row>
    <row r="104" spans="1:14" customFormat="1" x14ac:dyDescent="0.3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</row>
    <row r="105" spans="1:14" customFormat="1" x14ac:dyDescent="0.3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</row>
    <row r="106" spans="1:14" customFormat="1" x14ac:dyDescent="0.3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</row>
    <row r="107" spans="1:14" customFormat="1" x14ac:dyDescent="0.3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</row>
    <row r="108" spans="1:14" customFormat="1" x14ac:dyDescent="0.3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</row>
    <row r="109" spans="1:14" customFormat="1" x14ac:dyDescent="0.3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</row>
    <row r="110" spans="1:14" customFormat="1" x14ac:dyDescent="0.3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</row>
    <row r="111" spans="1:14" customFormat="1" x14ac:dyDescent="0.3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</row>
    <row r="112" spans="1:14" customFormat="1" x14ac:dyDescent="0.3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</row>
    <row r="113" spans="1:14" customFormat="1" x14ac:dyDescent="0.3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</row>
    <row r="114" spans="1:14" customFormat="1" x14ac:dyDescent="0.3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</row>
    <row r="115" spans="1:14" customFormat="1" x14ac:dyDescent="0.3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</row>
    <row r="116" spans="1:14" customFormat="1" x14ac:dyDescent="0.35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</row>
    <row r="117" spans="1:14" customFormat="1" x14ac:dyDescent="0.35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</row>
    <row r="118" spans="1:14" customFormat="1" x14ac:dyDescent="0.35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</row>
    <row r="119" spans="1:14" customFormat="1" x14ac:dyDescent="0.35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</row>
    <row r="120" spans="1:14" customFormat="1" x14ac:dyDescent="0.35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</row>
    <row r="121" spans="1:14" customFormat="1" x14ac:dyDescent="0.35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</row>
    <row r="122" spans="1:14" customFormat="1" x14ac:dyDescent="0.35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</row>
    <row r="123" spans="1:14" customFormat="1" x14ac:dyDescent="0.35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</row>
    <row r="124" spans="1:14" customFormat="1" x14ac:dyDescent="0.35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</row>
    <row r="125" spans="1:14" customFormat="1" x14ac:dyDescent="0.35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</row>
    <row r="126" spans="1:14" customFormat="1" x14ac:dyDescent="0.35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</row>
    <row r="127" spans="1:14" customFormat="1" x14ac:dyDescent="0.35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</row>
    <row r="128" spans="1:14" customFormat="1" x14ac:dyDescent="0.35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</row>
    <row r="129" spans="1:14" customFormat="1" x14ac:dyDescent="0.35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</row>
    <row r="130" spans="1:14" customFormat="1" x14ac:dyDescent="0.35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</row>
    <row r="131" spans="1:14" customFormat="1" x14ac:dyDescent="0.35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</row>
    <row r="132" spans="1:14" customFormat="1" x14ac:dyDescent="0.35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</row>
    <row r="133" spans="1:14" customFormat="1" x14ac:dyDescent="0.35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</row>
    <row r="134" spans="1:14" customFormat="1" x14ac:dyDescent="0.35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</row>
    <row r="135" spans="1:14" customFormat="1" x14ac:dyDescent="0.35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</row>
    <row r="136" spans="1:14" customFormat="1" x14ac:dyDescent="0.35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</row>
    <row r="137" spans="1:14" customFormat="1" x14ac:dyDescent="0.35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</row>
    <row r="138" spans="1:14" customFormat="1" x14ac:dyDescent="0.35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</row>
    <row r="139" spans="1:14" customFormat="1" x14ac:dyDescent="0.35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</row>
    <row r="140" spans="1:14" customFormat="1" x14ac:dyDescent="0.35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</row>
    <row r="141" spans="1:14" customFormat="1" x14ac:dyDescent="0.35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</row>
    <row r="142" spans="1:14" customFormat="1" x14ac:dyDescent="0.35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</row>
    <row r="143" spans="1:14" customFormat="1" x14ac:dyDescent="0.35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</row>
    <row r="144" spans="1:14" customFormat="1" x14ac:dyDescent="0.35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</row>
    <row r="145" spans="1:14" customFormat="1" x14ac:dyDescent="0.35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</row>
    <row r="146" spans="1:14" customFormat="1" x14ac:dyDescent="0.35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</row>
    <row r="147" spans="1:14" customFormat="1" x14ac:dyDescent="0.35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</row>
    <row r="148" spans="1:14" customFormat="1" x14ac:dyDescent="0.35">
      <c r="A148" s="105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</row>
    <row r="149" spans="1:14" customFormat="1" x14ac:dyDescent="0.35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</row>
  </sheetData>
  <mergeCells count="3">
    <mergeCell ref="B1:L1"/>
    <mergeCell ref="B2:L2"/>
    <mergeCell ref="B3:L3"/>
  </mergeCells>
  <printOptions horizontalCentered="1"/>
  <pageMargins left="0.7" right="0.7" top="0.75" bottom="0.75" header="0.3" footer="0.3"/>
  <pageSetup scale="83" orientation="landscape" blackAndWhite="1" horizontalDpi="300" verticalDpi="300" r:id="rId1"/>
  <headerFooter>
    <oddFooter>&amp;L&amp;F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145"/>
  <sheetViews>
    <sheetView zoomScale="90" zoomScaleNormal="90" workbookViewId="0">
      <selection activeCell="K31" sqref="K31"/>
    </sheetView>
  </sheetViews>
  <sheetFormatPr defaultColWidth="8.7265625" defaultRowHeight="14.5" outlineLevelCol="1" x14ac:dyDescent="0.35"/>
  <cols>
    <col min="1" max="1" width="3.54296875" style="105" customWidth="1"/>
    <col min="2" max="2" width="2.54296875" style="105" customWidth="1"/>
    <col min="3" max="3" width="31.1796875" style="105" customWidth="1"/>
    <col min="4" max="4" width="9.1796875" style="105" bestFit="1" customWidth="1"/>
    <col min="5" max="5" width="13.81640625" style="105" customWidth="1"/>
    <col min="6" max="12" width="12.7265625" style="105" customWidth="1"/>
    <col min="13" max="13" width="9.1796875" style="105"/>
    <col min="14" max="14" width="9.1796875" style="105" customWidth="1" outlineLevel="1"/>
    <col min="15" max="15" width="9.1796875" customWidth="1"/>
    <col min="16" max="16384" width="8.7265625" style="105"/>
  </cols>
  <sheetData>
    <row r="1" spans="1:14" x14ac:dyDescent="0.35">
      <c r="B1" s="394" t="s">
        <v>0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4" customFormat="1" x14ac:dyDescent="0.35">
      <c r="A2" s="105"/>
      <c r="B2" s="396" t="s">
        <v>398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105"/>
      <c r="N2" s="105"/>
    </row>
    <row r="3" spans="1:14" customFormat="1" x14ac:dyDescent="0.35">
      <c r="A3" s="105"/>
      <c r="B3" s="397" t="s">
        <v>347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105"/>
      <c r="N3" s="105"/>
    </row>
    <row r="4" spans="1:14" customFormat="1" x14ac:dyDescent="0.35">
      <c r="A4" s="105"/>
      <c r="B4" s="106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customFormat="1" x14ac:dyDescent="0.35">
      <c r="A5" s="105"/>
      <c r="B5" s="105"/>
      <c r="C5" s="105"/>
      <c r="D5" s="105"/>
      <c r="E5" s="105"/>
      <c r="F5" s="107"/>
      <c r="G5" s="107" t="s">
        <v>120</v>
      </c>
      <c r="H5" s="107" t="s">
        <v>121</v>
      </c>
      <c r="I5" s="107"/>
      <c r="J5" s="107" t="s">
        <v>122</v>
      </c>
      <c r="K5" s="107" t="s">
        <v>123</v>
      </c>
      <c r="L5" s="107"/>
      <c r="M5" s="105"/>
      <c r="N5" s="105"/>
    </row>
    <row r="6" spans="1:14" customFormat="1" x14ac:dyDescent="0.35">
      <c r="A6" s="105"/>
      <c r="B6" s="105"/>
      <c r="C6" s="105"/>
      <c r="D6" s="107" t="s">
        <v>124</v>
      </c>
      <c r="E6" s="105"/>
      <c r="F6" s="107" t="s">
        <v>139</v>
      </c>
      <c r="G6" s="107" t="s">
        <v>126</v>
      </c>
      <c r="H6" s="107" t="s">
        <v>127</v>
      </c>
      <c r="I6" s="107" t="s">
        <v>128</v>
      </c>
      <c r="J6" s="107" t="s">
        <v>129</v>
      </c>
      <c r="K6" s="107" t="s">
        <v>130</v>
      </c>
      <c r="L6" s="107"/>
      <c r="M6" s="105"/>
      <c r="N6" s="105"/>
    </row>
    <row r="7" spans="1:14" customFormat="1" x14ac:dyDescent="0.35">
      <c r="A7" s="105"/>
      <c r="B7" s="105"/>
      <c r="C7" s="105"/>
      <c r="D7" s="108" t="s">
        <v>131</v>
      </c>
      <c r="E7" s="108" t="s">
        <v>90</v>
      </c>
      <c r="F7" s="108" t="s">
        <v>132</v>
      </c>
      <c r="G7" s="108" t="s">
        <v>133</v>
      </c>
      <c r="H7" s="108" t="s">
        <v>134</v>
      </c>
      <c r="I7" s="108" t="s">
        <v>135</v>
      </c>
      <c r="J7" s="108" t="s">
        <v>135</v>
      </c>
      <c r="K7" s="108" t="s">
        <v>135</v>
      </c>
      <c r="L7" s="108" t="s">
        <v>136</v>
      </c>
      <c r="M7" s="105"/>
      <c r="N7" s="215" t="s">
        <v>104</v>
      </c>
    </row>
    <row r="8" spans="1:14" customFormat="1" x14ac:dyDescent="0.35">
      <c r="A8" s="105"/>
      <c r="B8" s="110" t="s">
        <v>140</v>
      </c>
      <c r="C8" s="105"/>
      <c r="D8" s="105"/>
      <c r="E8" s="116"/>
      <c r="F8" s="116"/>
      <c r="G8" s="116"/>
      <c r="H8" s="116"/>
      <c r="I8" s="116"/>
      <c r="J8" s="116"/>
      <c r="K8" s="116"/>
      <c r="L8" s="116"/>
      <c r="M8" s="105"/>
      <c r="N8" s="216"/>
    </row>
    <row r="9" spans="1:14" customFormat="1" x14ac:dyDescent="0.35">
      <c r="A9" s="105"/>
      <c r="B9" s="105"/>
      <c r="C9" s="202" t="s">
        <v>349</v>
      </c>
      <c r="D9" s="210">
        <v>376</v>
      </c>
      <c r="E9" s="139">
        <f>('2019TrueUp'!$F$10+'2019TrueUp'!$F$16)*'CRM CAP Forecast'!E14</f>
        <v>454248.52086434275</v>
      </c>
      <c r="F9" s="117">
        <f>$E$9*'Allocation Factors'!E12</f>
        <v>298837.39742339356</v>
      </c>
      <c r="G9" s="117">
        <f>$E$9*'Allocation Factors'!F12</f>
        <v>108826.53840958019</v>
      </c>
      <c r="H9" s="117">
        <f>$E$9*'Allocation Factors'!G12</f>
        <v>23942.232809656329</v>
      </c>
      <c r="I9" s="117">
        <f>$E$9*'Allocation Factors'!H12</f>
        <v>11661.675617291083</v>
      </c>
      <c r="J9" s="117">
        <f>$E$9*'Allocation Factors'!I12</f>
        <v>1255.8168627668665</v>
      </c>
      <c r="K9" s="117">
        <f>$E$9*'Allocation Factors'!J12</f>
        <v>9122.6049136855654</v>
      </c>
      <c r="L9" s="117">
        <f>$E$9*'Allocation Factors'!K12</f>
        <v>602.25482796909705</v>
      </c>
      <c r="M9" s="105"/>
      <c r="N9" s="216">
        <f t="shared" ref="N9:N16" si="0">SUM(F9:L9)-E9</f>
        <v>0</v>
      </c>
    </row>
    <row r="10" spans="1:14" customFormat="1" x14ac:dyDescent="0.35">
      <c r="A10" s="105"/>
      <c r="B10" s="105"/>
      <c r="C10" s="202" t="s">
        <v>350</v>
      </c>
      <c r="D10" s="210">
        <v>380</v>
      </c>
      <c r="E10" s="139">
        <f>('2019TrueUp'!$F$10+'2019TrueUp'!$F$16)*'CRM CAP Forecast'!E15</f>
        <v>809.19079654204438</v>
      </c>
      <c r="F10" s="117">
        <f>$E$10*'Allocation Factors'!E17</f>
        <v>465.67394348570804</v>
      </c>
      <c r="G10" s="117">
        <f>$E$10*'Allocation Factors'!F17</f>
        <v>329.08975143375466</v>
      </c>
      <c r="H10" s="264">
        <f>$E$10*'Allocation Factors'!G17</f>
        <v>5.8464466024693751</v>
      </c>
      <c r="I10" s="264">
        <f>$E$10*'Allocation Factors'!H17</f>
        <v>5.8690333900843115</v>
      </c>
      <c r="J10" s="264">
        <f>$E$10*'Allocation Factors'!I17</f>
        <v>0.92506210839164538</v>
      </c>
      <c r="K10" s="264">
        <f>$E$10*'Allocation Factors'!J17</f>
        <v>0.7553140401465025</v>
      </c>
      <c r="L10" s="264">
        <f>$E$10*'Allocation Factors'!K17</f>
        <v>1.0312454814900158</v>
      </c>
      <c r="M10" s="105"/>
      <c r="N10" s="216">
        <f t="shared" si="0"/>
        <v>0</v>
      </c>
    </row>
    <row r="11" spans="1:14" customFormat="1" x14ac:dyDescent="0.35">
      <c r="A11" s="105"/>
      <c r="B11" s="105"/>
      <c r="C11" s="105" t="s">
        <v>90</v>
      </c>
      <c r="D11" s="200"/>
      <c r="E11" s="118">
        <f>SUM(E9:E10)</f>
        <v>455057.71166088479</v>
      </c>
      <c r="F11" s="118">
        <f t="shared" ref="F11:L11" si="1">SUM(F9:F10)</f>
        <v>299303.07136687927</v>
      </c>
      <c r="G11" s="118">
        <f t="shared" si="1"/>
        <v>109155.62816101394</v>
      </c>
      <c r="H11" s="118">
        <f t="shared" si="1"/>
        <v>23948.079256258799</v>
      </c>
      <c r="I11" s="118">
        <f t="shared" si="1"/>
        <v>11667.544650681168</v>
      </c>
      <c r="J11" s="118">
        <f t="shared" si="1"/>
        <v>1256.7419248752581</v>
      </c>
      <c r="K11" s="118">
        <f t="shared" si="1"/>
        <v>9123.3602277257123</v>
      </c>
      <c r="L11" s="118">
        <f t="shared" si="1"/>
        <v>603.28607345058708</v>
      </c>
      <c r="M11" s="105"/>
      <c r="N11" s="216">
        <f t="shared" si="0"/>
        <v>0</v>
      </c>
    </row>
    <row r="12" spans="1:14" customFormat="1" x14ac:dyDescent="0.35">
      <c r="A12" s="105"/>
      <c r="B12" s="105"/>
      <c r="C12" s="105"/>
      <c r="D12" s="200"/>
      <c r="E12" s="116"/>
      <c r="F12" s="116"/>
      <c r="G12" s="116"/>
      <c r="H12" s="116"/>
      <c r="I12" s="116"/>
      <c r="J12" s="116"/>
      <c r="K12" s="116"/>
      <c r="L12" s="116"/>
      <c r="M12" s="105"/>
      <c r="N12" s="216"/>
    </row>
    <row r="13" spans="1:14" s="110" customFormat="1" x14ac:dyDescent="0.35">
      <c r="B13" s="110" t="s">
        <v>53</v>
      </c>
      <c r="D13" s="210"/>
      <c r="E13" s="112"/>
      <c r="F13" s="112"/>
      <c r="G13" s="112"/>
      <c r="H13" s="112"/>
      <c r="I13" s="112"/>
      <c r="J13" s="112"/>
      <c r="K13" s="112"/>
      <c r="L13" s="112"/>
      <c r="N13" s="216"/>
    </row>
    <row r="14" spans="1:14" s="110" customFormat="1" x14ac:dyDescent="0.35">
      <c r="C14" s="202" t="s">
        <v>349</v>
      </c>
      <c r="D14" s="210">
        <v>376</v>
      </c>
      <c r="E14" s="171">
        <f>'2019TrueUp'!$F$8*'CRM CAP Forecast'!E23</f>
        <v>127704.78265727004</v>
      </c>
      <c r="F14" s="120">
        <f>$E$14*'Allocation Factors'!E12</f>
        <v>84013.40485424659</v>
      </c>
      <c r="G14" s="120">
        <f>$E$14*'Allocation Factors'!F12</f>
        <v>30594.858973880739</v>
      </c>
      <c r="H14" s="120">
        <f>$E$14*'Allocation Factors'!G12</f>
        <v>6730.9798421997011</v>
      </c>
      <c r="I14" s="120">
        <f>$E$14*'Allocation Factors'!H12</f>
        <v>3278.4955409254812</v>
      </c>
      <c r="J14" s="120">
        <f>$E$14*'Allocation Factors'!I12</f>
        <v>353.05303628026917</v>
      </c>
      <c r="K14" s="120">
        <f>$E$14*'Allocation Factors'!J12</f>
        <v>2564.6759962004935</v>
      </c>
      <c r="L14" s="120">
        <f>$E$14*'Allocation Factors'!K12</f>
        <v>169.31441353675606</v>
      </c>
      <c r="N14" s="216">
        <f t="shared" si="0"/>
        <v>0</v>
      </c>
    </row>
    <row r="15" spans="1:14" s="110" customFormat="1" x14ac:dyDescent="0.35">
      <c r="C15" s="202" t="s">
        <v>350</v>
      </c>
      <c r="D15" s="210">
        <v>380</v>
      </c>
      <c r="E15" s="181">
        <f>'2019TrueUp'!$F$8*'CRM CAP Forecast'!E24</f>
        <v>297.51157191563829</v>
      </c>
      <c r="F15" s="120">
        <f>$E$15*'Allocation Factors'!E17</f>
        <v>171.21226232259625</v>
      </c>
      <c r="G15" s="120">
        <f>$E$15*'Allocation Factors'!F17</f>
        <v>120.99496147111194</v>
      </c>
      <c r="H15" s="265">
        <f>$E$15*'Allocation Factors'!G17</f>
        <v>2.1495369525388943</v>
      </c>
      <c r="I15" s="265">
        <f>$E$15*'Allocation Factors'!H17</f>
        <v>2.1578413360249162</v>
      </c>
      <c r="J15" s="265">
        <f>$E$15*'Allocation Factors'!I17</f>
        <v>0.34011346046357699</v>
      </c>
      <c r="K15" s="265">
        <f>$E$15*'Allocation Factors'!J17</f>
        <v>0.27770294513262128</v>
      </c>
      <c r="L15" s="265">
        <f>$E$15*'Allocation Factors'!K17</f>
        <v>0.37915342777017436</v>
      </c>
      <c r="N15" s="216">
        <f t="shared" si="0"/>
        <v>0</v>
      </c>
    </row>
    <row r="16" spans="1:14" s="110" customFormat="1" x14ac:dyDescent="0.35">
      <c r="C16" s="110" t="s">
        <v>90</v>
      </c>
      <c r="E16" s="113">
        <f>SUM(E14:E15)</f>
        <v>128002.29422918567</v>
      </c>
      <c r="F16" s="113">
        <f t="shared" ref="F16:L16" si="2">SUM(F14:F15)</f>
        <v>84184.617116569192</v>
      </c>
      <c r="G16" s="113">
        <f t="shared" si="2"/>
        <v>30715.85393535185</v>
      </c>
      <c r="H16" s="113">
        <f t="shared" si="2"/>
        <v>6733.1293791522403</v>
      </c>
      <c r="I16" s="113">
        <f t="shared" si="2"/>
        <v>3280.6533822615061</v>
      </c>
      <c r="J16" s="113">
        <f t="shared" si="2"/>
        <v>353.39314974073272</v>
      </c>
      <c r="K16" s="113">
        <f t="shared" si="2"/>
        <v>2564.9536991456262</v>
      </c>
      <c r="L16" s="113">
        <f t="shared" si="2"/>
        <v>169.69356696452624</v>
      </c>
      <c r="N16" s="216">
        <f t="shared" si="0"/>
        <v>0</v>
      </c>
    </row>
    <row r="17" spans="1:14" s="110" customFormat="1" x14ac:dyDescent="0.35">
      <c r="E17" s="115"/>
      <c r="F17" s="115"/>
      <c r="G17" s="115"/>
      <c r="H17" s="115"/>
      <c r="I17" s="115"/>
      <c r="J17" s="115"/>
      <c r="K17" s="115"/>
      <c r="L17" s="115"/>
      <c r="N17" s="78"/>
    </row>
    <row r="18" spans="1:14" s="110" customFormat="1" x14ac:dyDescent="0.35">
      <c r="E18" s="112"/>
      <c r="F18" s="112"/>
      <c r="G18" s="112"/>
      <c r="H18" s="112"/>
      <c r="I18" s="112"/>
      <c r="J18" s="112"/>
      <c r="K18" s="112"/>
      <c r="L18" s="112"/>
      <c r="N18" s="78"/>
    </row>
    <row r="19" spans="1:14" s="110" customFormat="1" x14ac:dyDescent="0.35">
      <c r="B19" s="110" t="s">
        <v>141</v>
      </c>
      <c r="E19" s="112">
        <f>E11+E16</f>
        <v>583060.00589007046</v>
      </c>
      <c r="F19" s="112">
        <f t="shared" ref="F19:L19" si="3">F11+F16</f>
        <v>383487.68848344847</v>
      </c>
      <c r="G19" s="112">
        <f t="shared" si="3"/>
        <v>139871.4820963658</v>
      </c>
      <c r="H19" s="112">
        <f t="shared" si="3"/>
        <v>30681.20863541104</v>
      </c>
      <c r="I19" s="112">
        <f t="shared" si="3"/>
        <v>14948.198032942673</v>
      </c>
      <c r="J19" s="112">
        <f t="shared" si="3"/>
        <v>1610.1350746159908</v>
      </c>
      <c r="K19" s="112">
        <f t="shared" si="3"/>
        <v>11688.313926871338</v>
      </c>
      <c r="L19" s="112">
        <f t="shared" si="3"/>
        <v>772.97964041511329</v>
      </c>
      <c r="N19" s="216">
        <f t="shared" ref="N19" si="4">SUM(F19:L19)-E19</f>
        <v>0</v>
      </c>
    </row>
    <row r="20" spans="1:14" s="110" customFormat="1" x14ac:dyDescent="0.35">
      <c r="B20" s="110" t="s">
        <v>142</v>
      </c>
      <c r="E20" s="1">
        <f>'2017 4.01 G'!$F$19</f>
        <v>0.954538</v>
      </c>
      <c r="F20" s="112"/>
      <c r="G20" s="112"/>
      <c r="H20" s="112"/>
      <c r="I20" s="112"/>
      <c r="J20" s="112"/>
      <c r="K20" s="112"/>
      <c r="L20" s="112"/>
      <c r="N20" s="78"/>
    </row>
    <row r="21" spans="1:14" s="110" customFormat="1" x14ac:dyDescent="0.35">
      <c r="B21" s="111" t="s">
        <v>143</v>
      </c>
      <c r="C21" s="111"/>
      <c r="D21" s="111"/>
      <c r="E21" s="121">
        <f>E19/$E$20</f>
        <v>610829.5383631353</v>
      </c>
      <c r="F21" s="121">
        <f t="shared" ref="F21:L21" si="5">F19/$E$20</f>
        <v>401752.14447559812</v>
      </c>
      <c r="G21" s="121">
        <f t="shared" si="5"/>
        <v>146533.17321716453</v>
      </c>
      <c r="H21" s="121">
        <f t="shared" si="5"/>
        <v>32142.469587812157</v>
      </c>
      <c r="I21" s="121">
        <f t="shared" si="5"/>
        <v>15660.139285122932</v>
      </c>
      <c r="J21" s="121">
        <f t="shared" si="5"/>
        <v>1686.8213466786976</v>
      </c>
      <c r="K21" s="121">
        <f t="shared" si="5"/>
        <v>12244.995931928681</v>
      </c>
      <c r="L21" s="121">
        <f t="shared" si="5"/>
        <v>809.79451883017055</v>
      </c>
      <c r="N21" s="216">
        <f t="shared" ref="N21" si="6">SUM(F21:L21)-E21</f>
        <v>0</v>
      </c>
    </row>
    <row r="22" spans="1:14" s="110" customFormat="1" x14ac:dyDescent="0.35">
      <c r="F22" s="112"/>
      <c r="G22" s="112"/>
      <c r="H22" s="112"/>
      <c r="I22" s="112"/>
      <c r="J22" s="112"/>
      <c r="K22" s="112"/>
      <c r="L22" s="112"/>
    </row>
    <row r="23" spans="1:14" customFormat="1" x14ac:dyDescent="0.35">
      <c r="A23" s="105"/>
      <c r="B23" s="105" t="s">
        <v>144</v>
      </c>
      <c r="C23" s="105"/>
      <c r="D23" s="105"/>
      <c r="E23" s="122">
        <f>SUM(F23:L23)</f>
        <v>1</v>
      </c>
      <c r="F23" s="122">
        <f>F21/$E21</f>
        <v>0.65771564609038002</v>
      </c>
      <c r="G23" s="122">
        <f t="shared" ref="G23:L23" si="7">G21/$E21</f>
        <v>0.23989208774977619</v>
      </c>
      <c r="H23" s="122">
        <f t="shared" si="7"/>
        <v>5.2621013833000996E-2</v>
      </c>
      <c r="I23" s="122">
        <f t="shared" si="7"/>
        <v>2.5637495081013997E-2</v>
      </c>
      <c r="J23" s="122">
        <f t="shared" si="7"/>
        <v>2.7615255005495336E-3</v>
      </c>
      <c r="K23" s="122">
        <f t="shared" si="7"/>
        <v>2.0046502604870901E-2</v>
      </c>
      <c r="L23" s="122">
        <f t="shared" si="7"/>
        <v>1.3257291404083205E-3</v>
      </c>
      <c r="M23" s="105"/>
      <c r="N23" s="105"/>
    </row>
    <row r="24" spans="1:14" customFormat="1" x14ac:dyDescent="0.35">
      <c r="A24" s="105"/>
      <c r="B24" s="105"/>
      <c r="C24" s="105"/>
      <c r="D24" s="105"/>
      <c r="E24" s="105"/>
      <c r="F24" s="109"/>
      <c r="G24" s="109"/>
      <c r="H24" s="109"/>
      <c r="I24" s="109"/>
      <c r="J24" s="109"/>
      <c r="K24" s="109"/>
      <c r="L24" s="109"/>
      <c r="M24" s="105"/>
      <c r="N24" s="105"/>
    </row>
    <row r="25" spans="1:14" customFormat="1" x14ac:dyDescent="0.3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pans="1:14" customFormat="1" x14ac:dyDescent="0.3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</row>
    <row r="27" spans="1:14" customFormat="1" x14ac:dyDescent="0.3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</row>
    <row r="28" spans="1:14" customFormat="1" x14ac:dyDescent="0.3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  <row r="29" spans="1:14" customFormat="1" x14ac:dyDescent="0.3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  <row r="30" spans="1:14" customFormat="1" x14ac:dyDescent="0.3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</row>
    <row r="31" spans="1:14" customFormat="1" x14ac:dyDescent="0.3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  <row r="32" spans="1:14" customFormat="1" x14ac:dyDescent="0.3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</row>
    <row r="33" spans="1:14" customFormat="1" x14ac:dyDescent="0.3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1:14" customFormat="1" x14ac:dyDescent="0.3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</row>
    <row r="35" spans="1:14" customFormat="1" x14ac:dyDescent="0.3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  <row r="36" spans="1:14" customFormat="1" x14ac:dyDescent="0.3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</row>
    <row r="37" spans="1:14" customFormat="1" x14ac:dyDescent="0.3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1:14" customFormat="1" x14ac:dyDescent="0.3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</row>
    <row r="39" spans="1:14" customFormat="1" x14ac:dyDescent="0.3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</row>
    <row r="40" spans="1:14" customFormat="1" x14ac:dyDescent="0.3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1:14" customFormat="1" x14ac:dyDescent="0.3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1:14" customFormat="1" x14ac:dyDescent="0.3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4" customFormat="1" x14ac:dyDescent="0.3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14" customFormat="1" x14ac:dyDescent="0.3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14" customFormat="1" x14ac:dyDescent="0.3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14" customFormat="1" x14ac:dyDescent="0.3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1:14" customFormat="1" x14ac:dyDescent="0.3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1:14" customFormat="1" x14ac:dyDescent="0.3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1:14" customFormat="1" x14ac:dyDescent="0.3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0" spans="1:14" customFormat="1" x14ac:dyDescent="0.3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</row>
    <row r="51" spans="1:14" customFormat="1" x14ac:dyDescent="0.3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  <row r="52" spans="1:14" customFormat="1" x14ac:dyDescent="0.35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</row>
    <row r="53" spans="1:14" customFormat="1" x14ac:dyDescent="0.3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</row>
    <row r="54" spans="1:14" customFormat="1" x14ac:dyDescent="0.35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</row>
    <row r="55" spans="1:14" customFormat="1" x14ac:dyDescent="0.3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</row>
    <row r="56" spans="1:14" customFormat="1" x14ac:dyDescent="0.3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</row>
    <row r="57" spans="1:14" customFormat="1" x14ac:dyDescent="0.35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</row>
    <row r="58" spans="1:14" customFormat="1" x14ac:dyDescent="0.3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</row>
    <row r="59" spans="1:14" customFormat="1" x14ac:dyDescent="0.35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</row>
    <row r="60" spans="1:14" customFormat="1" x14ac:dyDescent="0.35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</row>
    <row r="61" spans="1:14" customFormat="1" x14ac:dyDescent="0.35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</row>
    <row r="62" spans="1:14" customFormat="1" x14ac:dyDescent="0.35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</row>
    <row r="63" spans="1:14" customFormat="1" x14ac:dyDescent="0.35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</row>
    <row r="64" spans="1:14" customFormat="1" x14ac:dyDescent="0.35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</row>
    <row r="65" spans="1:14" customFormat="1" x14ac:dyDescent="0.35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</row>
    <row r="66" spans="1:14" customFormat="1" x14ac:dyDescent="0.3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</row>
    <row r="67" spans="1:14" customFormat="1" x14ac:dyDescent="0.3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</row>
    <row r="68" spans="1:14" customFormat="1" x14ac:dyDescent="0.3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</row>
    <row r="69" spans="1:14" customFormat="1" x14ac:dyDescent="0.3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</row>
    <row r="70" spans="1:14" customFormat="1" x14ac:dyDescent="0.35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</row>
    <row r="71" spans="1:14" customFormat="1" x14ac:dyDescent="0.35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</row>
    <row r="72" spans="1:14" customFormat="1" x14ac:dyDescent="0.35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</row>
    <row r="73" spans="1:14" customFormat="1" x14ac:dyDescent="0.35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</row>
    <row r="74" spans="1:14" customFormat="1" x14ac:dyDescent="0.35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</row>
    <row r="75" spans="1:14" customFormat="1" x14ac:dyDescent="0.35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</row>
    <row r="76" spans="1:14" customFormat="1" x14ac:dyDescent="0.35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</row>
    <row r="77" spans="1:14" customFormat="1" x14ac:dyDescent="0.35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1:14" customFormat="1" x14ac:dyDescent="0.35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</row>
    <row r="79" spans="1:14" customFormat="1" x14ac:dyDescent="0.35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</row>
    <row r="80" spans="1:14" customFormat="1" x14ac:dyDescent="0.35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1:14" customFormat="1" x14ac:dyDescent="0.35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4" customFormat="1" x14ac:dyDescent="0.35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</row>
    <row r="83" spans="1:14" customFormat="1" x14ac:dyDescent="0.35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</row>
    <row r="84" spans="1:14" customFormat="1" x14ac:dyDescent="0.35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</row>
    <row r="85" spans="1:14" customFormat="1" x14ac:dyDescent="0.35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</row>
    <row r="86" spans="1:14" customFormat="1" x14ac:dyDescent="0.35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</row>
    <row r="87" spans="1:14" customFormat="1" x14ac:dyDescent="0.35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</row>
    <row r="88" spans="1:14" customFormat="1" x14ac:dyDescent="0.35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</row>
    <row r="89" spans="1:14" customFormat="1" x14ac:dyDescent="0.35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</row>
    <row r="90" spans="1:14" customFormat="1" x14ac:dyDescent="0.35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</row>
    <row r="91" spans="1:14" customFormat="1" x14ac:dyDescent="0.35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</row>
    <row r="92" spans="1:14" customFormat="1" x14ac:dyDescent="0.35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</row>
    <row r="93" spans="1:14" customFormat="1" x14ac:dyDescent="0.35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</row>
    <row r="94" spans="1:14" customFormat="1" x14ac:dyDescent="0.35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</row>
    <row r="95" spans="1:14" customFormat="1" x14ac:dyDescent="0.35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</row>
    <row r="96" spans="1:14" customFormat="1" x14ac:dyDescent="0.35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</row>
    <row r="97" spans="1:14" customFormat="1" x14ac:dyDescent="0.35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</row>
    <row r="98" spans="1:14" customFormat="1" x14ac:dyDescent="0.3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</row>
    <row r="99" spans="1:14" customFormat="1" x14ac:dyDescent="0.3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</row>
    <row r="100" spans="1:14" customFormat="1" x14ac:dyDescent="0.3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</row>
    <row r="101" spans="1:14" customFormat="1" x14ac:dyDescent="0.3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</row>
    <row r="102" spans="1:14" customFormat="1" x14ac:dyDescent="0.3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</row>
    <row r="103" spans="1:14" customFormat="1" x14ac:dyDescent="0.3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</row>
    <row r="104" spans="1:14" customFormat="1" x14ac:dyDescent="0.3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</row>
    <row r="105" spans="1:14" customFormat="1" x14ac:dyDescent="0.3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</row>
    <row r="106" spans="1:14" customFormat="1" x14ac:dyDescent="0.3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</row>
    <row r="107" spans="1:14" customFormat="1" x14ac:dyDescent="0.3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</row>
    <row r="108" spans="1:14" customFormat="1" x14ac:dyDescent="0.3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</row>
    <row r="109" spans="1:14" customFormat="1" x14ac:dyDescent="0.3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</row>
    <row r="110" spans="1:14" customFormat="1" x14ac:dyDescent="0.3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</row>
    <row r="111" spans="1:14" customFormat="1" x14ac:dyDescent="0.3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</row>
    <row r="112" spans="1:14" customFormat="1" x14ac:dyDescent="0.3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</row>
    <row r="113" spans="1:14" customFormat="1" x14ac:dyDescent="0.3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</row>
    <row r="114" spans="1:14" customFormat="1" x14ac:dyDescent="0.3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</row>
    <row r="115" spans="1:14" customFormat="1" x14ac:dyDescent="0.3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</row>
    <row r="116" spans="1:14" customFormat="1" x14ac:dyDescent="0.35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</row>
    <row r="117" spans="1:14" customFormat="1" x14ac:dyDescent="0.35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</row>
    <row r="118" spans="1:14" customFormat="1" x14ac:dyDescent="0.35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</row>
    <row r="119" spans="1:14" customFormat="1" x14ac:dyDescent="0.35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</row>
    <row r="120" spans="1:14" customFormat="1" x14ac:dyDescent="0.35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</row>
    <row r="121" spans="1:14" customFormat="1" x14ac:dyDescent="0.35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</row>
    <row r="122" spans="1:14" customFormat="1" x14ac:dyDescent="0.35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</row>
    <row r="123" spans="1:14" customFormat="1" x14ac:dyDescent="0.35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</row>
    <row r="124" spans="1:14" customFormat="1" x14ac:dyDescent="0.35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</row>
    <row r="125" spans="1:14" customFormat="1" x14ac:dyDescent="0.35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</row>
    <row r="126" spans="1:14" customFormat="1" x14ac:dyDescent="0.35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</row>
    <row r="127" spans="1:14" customFormat="1" x14ac:dyDescent="0.35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</row>
    <row r="128" spans="1:14" customFormat="1" x14ac:dyDescent="0.35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</row>
    <row r="129" spans="1:14" customFormat="1" x14ac:dyDescent="0.35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</row>
    <row r="130" spans="1:14" customFormat="1" x14ac:dyDescent="0.35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</row>
    <row r="131" spans="1:14" customFormat="1" x14ac:dyDescent="0.35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</row>
    <row r="132" spans="1:14" customFormat="1" x14ac:dyDescent="0.35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</row>
    <row r="133" spans="1:14" customFormat="1" x14ac:dyDescent="0.35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</row>
    <row r="134" spans="1:14" customFormat="1" x14ac:dyDescent="0.35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</row>
    <row r="135" spans="1:14" customFormat="1" x14ac:dyDescent="0.35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</row>
    <row r="136" spans="1:14" customFormat="1" x14ac:dyDescent="0.35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</row>
    <row r="137" spans="1:14" customFormat="1" x14ac:dyDescent="0.35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</row>
    <row r="138" spans="1:14" customFormat="1" x14ac:dyDescent="0.35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</row>
    <row r="139" spans="1:14" customFormat="1" x14ac:dyDescent="0.35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</row>
    <row r="140" spans="1:14" customFormat="1" x14ac:dyDescent="0.35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</row>
    <row r="141" spans="1:14" customFormat="1" x14ac:dyDescent="0.35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</row>
    <row r="142" spans="1:14" customFormat="1" x14ac:dyDescent="0.35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</row>
    <row r="143" spans="1:14" customFormat="1" x14ac:dyDescent="0.35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</row>
    <row r="144" spans="1:14" customFormat="1" x14ac:dyDescent="0.35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</row>
    <row r="145" spans="1:14" customFormat="1" x14ac:dyDescent="0.35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</row>
  </sheetData>
  <mergeCells count="3">
    <mergeCell ref="B1:L1"/>
    <mergeCell ref="B2:L2"/>
    <mergeCell ref="B3:L3"/>
  </mergeCells>
  <printOptions horizontalCentered="1"/>
  <pageMargins left="0.7" right="0.7" top="0.75" bottom="0.75" header="0.3" footer="0.3"/>
  <pageSetup scale="85" orientation="landscape" blackAndWhite="1" horizontalDpi="300" verticalDpi="300" r:id="rId1"/>
  <headerFooter>
    <oddFooter>&amp;L&amp;F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FEB3498DA4D74468420633951C73946" ma:contentTypeVersion="52" ma:contentTypeDescription="" ma:contentTypeScope="" ma:versionID="37cd7cf7ac4221db81cad4eefa3d56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2020-10-01T07:00:00+00:00</OpenedDate>
    <SignificantOrder xmlns="dc463f71-b30c-4ab2-9473-d307f9d35888">false</SignificantOrder>
    <Date1 xmlns="dc463f71-b30c-4ab2-9473-d307f9d35888">2020-10-01T07:00:00+00:00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2208775-6868-410D-9022-129594D8C31A}"/>
</file>

<file path=customXml/itemProps2.xml><?xml version="1.0" encoding="utf-8"?>
<ds:datastoreItem xmlns:ds="http://schemas.openxmlformats.org/officeDocument/2006/customXml" ds:itemID="{0A72FF3F-4E73-43E6-818D-EF48E72D9D4D}"/>
</file>

<file path=customXml/itemProps3.xml><?xml version="1.0" encoding="utf-8"?>
<ds:datastoreItem xmlns:ds="http://schemas.openxmlformats.org/officeDocument/2006/customXml" ds:itemID="{1A47D431-5F83-49B5-B409-162F9D395B56}"/>
</file>

<file path=customXml/itemProps4.xml><?xml version="1.0" encoding="utf-8"?>
<ds:datastoreItem xmlns:ds="http://schemas.openxmlformats.org/officeDocument/2006/customXml" ds:itemID="{EE18A20A-E2F0-4CE0-BE3F-F575C6D97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9</vt:i4>
      </vt:variant>
    </vt:vector>
  </HeadingPairs>
  <TitlesOfParts>
    <vt:vector size="30" baseType="lpstr">
      <vt:lpstr>CRM Rates</vt:lpstr>
      <vt:lpstr>Summary</vt:lpstr>
      <vt:lpstr>Rate Impacts--&gt;</vt:lpstr>
      <vt:lpstr>Rate Impacts Sch149</vt:lpstr>
      <vt:lpstr>Typical Res Bill Sch149</vt:lpstr>
      <vt:lpstr>Schedule 149</vt:lpstr>
      <vt:lpstr>Work Papers--&gt;</vt:lpstr>
      <vt:lpstr>CRM 2020 Rev Req Alloc</vt:lpstr>
      <vt:lpstr>CRM 2019 Rev Req Alloc TrueUp</vt:lpstr>
      <vt:lpstr>CRM 2019 Rev Req Alloc</vt:lpstr>
      <vt:lpstr>Forecasted Volume</vt:lpstr>
      <vt:lpstr>Allocation Factors</vt:lpstr>
      <vt:lpstr>2020 CAP CRM</vt:lpstr>
      <vt:lpstr>2020 C&amp;OM</vt:lpstr>
      <vt:lpstr>CRM CAP Forecast</vt:lpstr>
      <vt:lpstr>2019 CRM+True Up</vt:lpstr>
      <vt:lpstr>2019 CRM Orig Flng</vt:lpstr>
      <vt:lpstr>2019TrueUp</vt:lpstr>
      <vt:lpstr>2017 4.01 G</vt:lpstr>
      <vt:lpstr>2019 GRC</vt:lpstr>
      <vt:lpstr>MACRS 20</vt:lpstr>
      <vt:lpstr>'2017 4.01 G'!Print_Area</vt:lpstr>
      <vt:lpstr>'Allocation Factors'!Print_Area</vt:lpstr>
      <vt:lpstr>'CRM 2019 Rev Req Alloc'!Print_Area</vt:lpstr>
      <vt:lpstr>'CRM 2019 Rev Req Alloc TrueUp'!Print_Area</vt:lpstr>
      <vt:lpstr>'CRM 2020 Rev Req Alloc'!Print_Area</vt:lpstr>
      <vt:lpstr>'CRM Rates'!Print_Area</vt:lpstr>
      <vt:lpstr>'Rate Impacts Sch149'!Print_Area</vt:lpstr>
      <vt:lpstr>'Schedule 149'!Print_Area</vt:lpstr>
      <vt:lpstr>'Typical Res Bill Sch149'!Print_Area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Paul Schmidt</cp:lastModifiedBy>
  <cp:lastPrinted>2020-06-20T00:14:04Z</cp:lastPrinted>
  <dcterms:created xsi:type="dcterms:W3CDTF">2017-05-26T23:01:59Z</dcterms:created>
  <dcterms:modified xsi:type="dcterms:W3CDTF">2020-09-24T22:37:52Z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0x0101006E56B4D1795A2E4DB2F0B01679ED314A00AFEB3498DA4D74468420633951C73946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