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inst\OneDrive - Waste Management\Documents\WUTC Rate Cases\WM Brem-Air\Commodity Rebates\2020\"/>
    </mc:Choice>
  </mc:AlternateContent>
  <xr:revisionPtr revIDLastSave="0" documentId="13_ncr:1_{50F8BD79-1E38-4F58-BE11-4F8D2A3681E7}" xr6:coauthVersionLast="44" xr6:coauthVersionMax="44" xr10:uidLastSave="{00000000-0000-0000-0000-000000000000}"/>
  <bookViews>
    <workbookView xWindow="6495" yWindow="2775" windowWidth="19185" windowHeight="10185" tabRatio="967" xr2:uid="{00000000-000D-0000-FFFF-FFFF00000000}"/>
  </bookViews>
  <sheets>
    <sheet name="Rebate Analysis" sheetId="40" r:id="rId1"/>
    <sheet name="Calculation of Revenue" sheetId="34" r:id="rId2"/>
    <sheet name="Reg. Res'l - SS Mix &amp; Prices" sheetId="35" r:id="rId3"/>
    <sheet name="Composition" sheetId="43" r:id="rId4"/>
    <sheet name="Reg. MF - SS Mix &amp; Prices" sheetId="36" r:id="rId5"/>
    <sheet name="Total Company Tonnage" sheetId="41" r:id="rId6"/>
    <sheet name="Commodity Prices" sheetId="39" r:id="rId7"/>
    <sheet name="Customer Counts" sheetId="38" r:id="rId8"/>
    <sheet name="MF Units" sheetId="42" r:id="rId9"/>
  </sheets>
  <definedNames>
    <definedName name="_xlnm.Print_Area" localSheetId="1">'Calculation of Revenue'!$A$1:$K$47</definedName>
    <definedName name="_xlnm.Print_Area" localSheetId="6">'Commodity Prices'!$A$1:$K$21</definedName>
    <definedName name="_xlnm.Print_Area" localSheetId="7">'Customer Counts'!$A$1:$I$24</definedName>
    <definedName name="_xlnm.Print_Area" localSheetId="0">'Rebate Analysis'!$M$1:$R$67</definedName>
    <definedName name="_xlnm.Print_Area" localSheetId="4">'Reg. MF - SS Mix &amp; Prices'!$A$1:$M$68</definedName>
    <definedName name="_xlnm.Print_Area" localSheetId="2">'Reg. Res''l - SS Mix &amp; Prices'!$A$1:$M$70</definedName>
    <definedName name="_xlnm.Print_Area" localSheetId="5">'Total Company Tonnage'!$A$1:$T$61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5" i="43" l="1"/>
  <c r="F34" i="40" l="1"/>
  <c r="C45" i="40" l="1"/>
  <c r="D47" i="40"/>
  <c r="D45" i="40"/>
  <c r="C13" i="40"/>
  <c r="C11" i="40"/>
  <c r="D13" i="40"/>
  <c r="D11" i="40"/>
  <c r="A62" i="40" l="1"/>
  <c r="E45" i="40"/>
  <c r="A44" i="40"/>
  <c r="C14" i="40"/>
  <c r="E29" i="40" s="1"/>
  <c r="E13" i="40"/>
  <c r="E11" i="40"/>
  <c r="X5" i="43"/>
  <c r="J20" i="39"/>
  <c r="K20" i="39"/>
  <c r="B20" i="39"/>
  <c r="D20" i="38"/>
  <c r="I20" i="42"/>
  <c r="H20" i="42"/>
  <c r="E14" i="40" l="1"/>
  <c r="E24" i="40"/>
  <c r="Z15" i="43" l="1"/>
  <c r="Z14" i="43"/>
  <c r="Z13" i="43"/>
  <c r="Z12" i="43"/>
  <c r="Z11" i="43"/>
  <c r="Z10" i="43"/>
  <c r="Z9" i="43"/>
  <c r="Z8" i="43"/>
  <c r="Z7" i="43"/>
  <c r="Z6" i="43"/>
  <c r="Z5" i="43"/>
  <c r="X16" i="43"/>
  <c r="Y14" i="43" s="1"/>
  <c r="O21" i="41" s="1"/>
  <c r="Y15" i="43" l="1"/>
  <c r="Y7" i="43"/>
  <c r="L21" i="41" s="1"/>
  <c r="Y11" i="43"/>
  <c r="Q21" i="41" s="1"/>
  <c r="Y5" i="43"/>
  <c r="Y9" i="43"/>
  <c r="N21" i="41" s="1"/>
  <c r="Y13" i="43"/>
  <c r="S21" i="41" s="1"/>
  <c r="Y8" i="43"/>
  <c r="M21" i="41" s="1"/>
  <c r="Y12" i="43"/>
  <c r="R21" i="41" s="1"/>
  <c r="Y6" i="43"/>
  <c r="K21" i="41" s="1"/>
  <c r="Y10" i="43"/>
  <c r="P21" i="41" s="1"/>
  <c r="Z16" i="43"/>
  <c r="AA6" i="43" s="1"/>
  <c r="Y16" i="43" l="1"/>
  <c r="AA9" i="43"/>
  <c r="AA14" i="43"/>
  <c r="AA5" i="43"/>
  <c r="AA10" i="43"/>
  <c r="AA12" i="43"/>
  <c r="AA11" i="43"/>
  <c r="AA15" i="43"/>
  <c r="AA7" i="43"/>
  <c r="AA13" i="43"/>
  <c r="AA8" i="43"/>
  <c r="AA16" i="43" l="1"/>
  <c r="V16" i="43"/>
  <c r="W13" i="43" s="1"/>
  <c r="S20" i="41" s="1"/>
  <c r="W14" i="43"/>
  <c r="O20" i="41" s="1"/>
  <c r="W10" i="43"/>
  <c r="P20" i="41" s="1"/>
  <c r="W8" i="43"/>
  <c r="M20" i="41" s="1"/>
  <c r="W7" i="43"/>
  <c r="L20" i="41" s="1"/>
  <c r="W6" i="43"/>
  <c r="K20" i="41" s="1"/>
  <c r="W5" i="43"/>
  <c r="W11" i="43" l="1"/>
  <c r="Q20" i="41" s="1"/>
  <c r="W12" i="43"/>
  <c r="R20" i="41" s="1"/>
  <c r="W15" i="43"/>
  <c r="W9" i="43"/>
  <c r="W16" i="43" l="1"/>
  <c r="N20" i="41"/>
  <c r="Q14" i="43"/>
  <c r="O17" i="41" s="1"/>
  <c r="Q10" i="43"/>
  <c r="P17" i="41" s="1"/>
  <c r="P16" i="43"/>
  <c r="Q13" i="43" s="1"/>
  <c r="S17" i="41" s="1"/>
  <c r="L16" i="43"/>
  <c r="M15" i="43" s="1"/>
  <c r="H16" i="43"/>
  <c r="I13" i="43" s="1"/>
  <c r="S13" i="41" s="1"/>
  <c r="F16" i="43"/>
  <c r="G12" i="43" s="1"/>
  <c r="R12" i="41" s="1"/>
  <c r="D16" i="43"/>
  <c r="E15" i="43" s="1"/>
  <c r="N16" i="43"/>
  <c r="O12" i="43" s="1"/>
  <c r="R16" i="41" s="1"/>
  <c r="J16" i="43"/>
  <c r="K14" i="43" s="1"/>
  <c r="O14" i="41" s="1"/>
  <c r="Q6" i="43" l="1"/>
  <c r="K17" i="41" s="1"/>
  <c r="I10" i="43"/>
  <c r="P13" i="41" s="1"/>
  <c r="I7" i="43"/>
  <c r="L13" i="41" s="1"/>
  <c r="I11" i="43"/>
  <c r="Q13" i="41" s="1"/>
  <c r="I15" i="43"/>
  <c r="I14" i="43"/>
  <c r="O13" i="41" s="1"/>
  <c r="I8" i="43"/>
  <c r="M13" i="41" s="1"/>
  <c r="I12" i="43"/>
  <c r="R13" i="41" s="1"/>
  <c r="I6" i="43"/>
  <c r="K13" i="41" s="1"/>
  <c r="I5" i="43"/>
  <c r="I9" i="43"/>
  <c r="N13" i="41" s="1"/>
  <c r="G5" i="43"/>
  <c r="G6" i="43"/>
  <c r="K12" i="41" s="1"/>
  <c r="G10" i="43"/>
  <c r="P12" i="41" s="1"/>
  <c r="G14" i="43"/>
  <c r="O12" i="41" s="1"/>
  <c r="G13" i="43"/>
  <c r="S12" i="41" s="1"/>
  <c r="G7" i="43"/>
  <c r="L12" i="41" s="1"/>
  <c r="G11" i="43"/>
  <c r="Q12" i="41" s="1"/>
  <c r="G15" i="43"/>
  <c r="G9" i="43"/>
  <c r="N12" i="41" s="1"/>
  <c r="G8" i="43"/>
  <c r="M12" i="41" s="1"/>
  <c r="E8" i="43"/>
  <c r="M11" i="41" s="1"/>
  <c r="E9" i="43"/>
  <c r="N11" i="41" s="1"/>
  <c r="E13" i="43"/>
  <c r="S11" i="41" s="1"/>
  <c r="E12" i="43"/>
  <c r="R11" i="41" s="1"/>
  <c r="E5" i="43"/>
  <c r="E6" i="43"/>
  <c r="K11" i="41" s="1"/>
  <c r="E10" i="43"/>
  <c r="P11" i="41" s="1"/>
  <c r="E14" i="43"/>
  <c r="O11" i="41" s="1"/>
  <c r="E7" i="43"/>
  <c r="L11" i="41" s="1"/>
  <c r="E11" i="43"/>
  <c r="Q11" i="41" s="1"/>
  <c r="Q11" i="43"/>
  <c r="Q17" i="41" s="1"/>
  <c r="Q15" i="43"/>
  <c r="Q8" i="43"/>
  <c r="M17" i="41" s="1"/>
  <c r="Q12" i="43"/>
  <c r="R17" i="41" s="1"/>
  <c r="Q7" i="43"/>
  <c r="L17" i="41" s="1"/>
  <c r="Q5" i="43"/>
  <c r="Q9" i="43"/>
  <c r="N17" i="41" s="1"/>
  <c r="O5" i="43"/>
  <c r="O6" i="43"/>
  <c r="K16" i="41" s="1"/>
  <c r="O10" i="43"/>
  <c r="P16" i="41" s="1"/>
  <c r="O14" i="43"/>
  <c r="O16" i="41" s="1"/>
  <c r="O13" i="43"/>
  <c r="S16" i="41" s="1"/>
  <c r="O7" i="43"/>
  <c r="L16" i="41" s="1"/>
  <c r="O11" i="43"/>
  <c r="Q16" i="41" s="1"/>
  <c r="O15" i="43"/>
  <c r="O9" i="43"/>
  <c r="N16" i="41" s="1"/>
  <c r="O8" i="43"/>
  <c r="M16" i="41" s="1"/>
  <c r="M8" i="43"/>
  <c r="M15" i="41" s="1"/>
  <c r="M5" i="43"/>
  <c r="M9" i="43"/>
  <c r="N15" i="41" s="1"/>
  <c r="M13" i="43"/>
  <c r="S15" i="41" s="1"/>
  <c r="M6" i="43"/>
  <c r="K15" i="41" s="1"/>
  <c r="M10" i="43"/>
  <c r="P15" i="41" s="1"/>
  <c r="M14" i="43"/>
  <c r="O15" i="41" s="1"/>
  <c r="M12" i="43"/>
  <c r="R15" i="41" s="1"/>
  <c r="M7" i="43"/>
  <c r="L15" i="41" s="1"/>
  <c r="M11" i="43"/>
  <c r="Q15" i="41" s="1"/>
  <c r="K11" i="43"/>
  <c r="Q14" i="41" s="1"/>
  <c r="K15" i="43"/>
  <c r="K8" i="43"/>
  <c r="M14" i="41" s="1"/>
  <c r="K12" i="43"/>
  <c r="R14" i="41" s="1"/>
  <c r="K5" i="43"/>
  <c r="K9" i="43"/>
  <c r="N14" i="41" s="1"/>
  <c r="K13" i="43"/>
  <c r="S14" i="41" s="1"/>
  <c r="K7" i="43"/>
  <c r="K6" i="43"/>
  <c r="K14" i="41" s="1"/>
  <c r="K10" i="43"/>
  <c r="P14" i="41" s="1"/>
  <c r="B16" i="43"/>
  <c r="C6" i="43" s="1"/>
  <c r="K10" i="41" s="1"/>
  <c r="O16" i="43" l="1"/>
  <c r="K16" i="43"/>
  <c r="L14" i="41"/>
  <c r="I16" i="43"/>
  <c r="G16" i="43"/>
  <c r="E16" i="43"/>
  <c r="C13" i="43"/>
  <c r="S10" i="41" s="1"/>
  <c r="C9" i="43"/>
  <c r="N10" i="41" s="1"/>
  <c r="Q16" i="43"/>
  <c r="M16" i="43"/>
  <c r="C5" i="43"/>
  <c r="C8" i="43"/>
  <c r="M10" i="41" s="1"/>
  <c r="C12" i="43"/>
  <c r="R10" i="41" s="1"/>
  <c r="C15" i="43"/>
  <c r="C11" i="43"/>
  <c r="Q10" i="41" s="1"/>
  <c r="C7" i="43"/>
  <c r="C14" i="43"/>
  <c r="O10" i="41" s="1"/>
  <c r="C10" i="43"/>
  <c r="P10" i="41" s="1"/>
  <c r="C16" i="43" l="1"/>
  <c r="L10" i="41"/>
  <c r="R16" i="43"/>
  <c r="S14" i="43" l="1"/>
  <c r="O18" i="41" s="1"/>
  <c r="S10" i="43"/>
  <c r="P18" i="41" s="1"/>
  <c r="S6" i="43"/>
  <c r="K18" i="41" s="1"/>
  <c r="S8" i="43"/>
  <c r="M18" i="41" s="1"/>
  <c r="S15" i="43"/>
  <c r="S13" i="43"/>
  <c r="S18" i="41" s="1"/>
  <c r="S9" i="43"/>
  <c r="N18" i="41" s="1"/>
  <c r="S5" i="43"/>
  <c r="S12" i="43"/>
  <c r="R18" i="41" s="1"/>
  <c r="S11" i="43"/>
  <c r="Q18" i="41" s="1"/>
  <c r="S7" i="43"/>
  <c r="L18" i="41" s="1"/>
  <c r="T16" i="43"/>
  <c r="S16" i="43" l="1"/>
  <c r="U15" i="43"/>
  <c r="U11" i="43"/>
  <c r="Q19" i="41" s="1"/>
  <c r="U7" i="43"/>
  <c r="L19" i="41" s="1"/>
  <c r="U14" i="43"/>
  <c r="O19" i="41" s="1"/>
  <c r="U10" i="43"/>
  <c r="P19" i="41" s="1"/>
  <c r="U6" i="43"/>
  <c r="K19" i="41" s="1"/>
  <c r="U13" i="43"/>
  <c r="S19" i="41" s="1"/>
  <c r="U9" i="43"/>
  <c r="N19" i="41" s="1"/>
  <c r="U12" i="43"/>
  <c r="R19" i="41" s="1"/>
  <c r="U5" i="43"/>
  <c r="U8" i="43"/>
  <c r="M19" i="41" s="1"/>
  <c r="C21" i="38"/>
  <c r="D21" i="38"/>
  <c r="E10" i="38"/>
  <c r="E11" i="38"/>
  <c r="E12" i="38"/>
  <c r="E13" i="38"/>
  <c r="E14" i="38"/>
  <c r="E15" i="38"/>
  <c r="E16" i="38"/>
  <c r="E17" i="38"/>
  <c r="E18" i="38"/>
  <c r="E19" i="38"/>
  <c r="E20" i="38"/>
  <c r="E9" i="38"/>
  <c r="U16" i="43" l="1"/>
  <c r="D34" i="34"/>
  <c r="B26" i="36" s="1"/>
  <c r="D35" i="34"/>
  <c r="B27" i="36" s="1"/>
  <c r="D36" i="34"/>
  <c r="B28" i="36" s="1"/>
  <c r="D37" i="34"/>
  <c r="B29" i="36" s="1"/>
  <c r="D38" i="34"/>
  <c r="B30" i="36" s="1"/>
  <c r="D39" i="34"/>
  <c r="B31" i="36" s="1"/>
  <c r="D40" i="34"/>
  <c r="B32" i="36" s="1"/>
  <c r="D41" i="34"/>
  <c r="B33" i="36" s="1"/>
  <c r="D42" i="34"/>
  <c r="B34" i="36" s="1"/>
  <c r="D43" i="34"/>
  <c r="B35" i="36" s="1"/>
  <c r="D44" i="34"/>
  <c r="B36" i="36" s="1"/>
  <c r="D33" i="34"/>
  <c r="B25" i="36" s="1"/>
  <c r="D12" i="34"/>
  <c r="B26" i="35" s="1"/>
  <c r="D13" i="34"/>
  <c r="B27" i="35" s="1"/>
  <c r="D14" i="34"/>
  <c r="B28" i="35" s="1"/>
  <c r="D15" i="34"/>
  <c r="B29" i="35" s="1"/>
  <c r="D16" i="34"/>
  <c r="B30" i="35" s="1"/>
  <c r="D17" i="34"/>
  <c r="B31" i="35" s="1"/>
  <c r="D18" i="34"/>
  <c r="B32" i="35" s="1"/>
  <c r="D19" i="34"/>
  <c r="B33" i="35" s="1"/>
  <c r="D20" i="34"/>
  <c r="B34" i="35" s="1"/>
  <c r="D21" i="34"/>
  <c r="B35" i="35" s="1"/>
  <c r="D22" i="34"/>
  <c r="B36" i="35" s="1"/>
  <c r="D11" i="34"/>
  <c r="B25" i="35" s="1"/>
  <c r="F22" i="41"/>
  <c r="I11" i="41"/>
  <c r="I12" i="41"/>
  <c r="I13" i="41"/>
  <c r="I14" i="41"/>
  <c r="I15" i="41"/>
  <c r="I16" i="41"/>
  <c r="I17" i="41"/>
  <c r="I18" i="41"/>
  <c r="I19" i="41"/>
  <c r="I20" i="41"/>
  <c r="I21" i="41"/>
  <c r="I10" i="41"/>
  <c r="H22" i="41"/>
  <c r="B37" i="35" l="1"/>
  <c r="Y21" i="41"/>
  <c r="X22" i="41"/>
  <c r="X21" i="41"/>
  <c r="Y10" i="41"/>
  <c r="Y11" i="41"/>
  <c r="Y12" i="41"/>
  <c r="Y13" i="41"/>
  <c r="Y14" i="41"/>
  <c r="Y15" i="41"/>
  <c r="Y16" i="41"/>
  <c r="Y17" i="41"/>
  <c r="Y18" i="41"/>
  <c r="Y19" i="41"/>
  <c r="Y20" i="41"/>
  <c r="J20" i="41" l="1"/>
  <c r="J21" i="41" s="1"/>
  <c r="L17" i="35" l="1"/>
  <c r="T11" i="41" l="1"/>
  <c r="T12" i="41"/>
  <c r="T13" i="41"/>
  <c r="T14" i="41"/>
  <c r="T15" i="41"/>
  <c r="T16" i="41"/>
  <c r="T17" i="41"/>
  <c r="T18" i="41"/>
  <c r="T19" i="41"/>
  <c r="T20" i="41"/>
  <c r="T21" i="41"/>
  <c r="G62" i="40" l="1"/>
  <c r="J45" i="40"/>
  <c r="G44" i="40"/>
  <c r="J11" i="40"/>
  <c r="I14" i="40"/>
  <c r="K29" i="40" s="1"/>
  <c r="K24" i="40" l="1"/>
  <c r="K11" i="40"/>
  <c r="D20" i="42" l="1"/>
  <c r="C20" i="42" s="1"/>
  <c r="I20" i="38" l="1"/>
  <c r="C47" i="40"/>
  <c r="D19" i="42"/>
  <c r="C19" i="42" s="1"/>
  <c r="C48" i="40" l="1"/>
  <c r="E47" i="40"/>
  <c r="E48" i="40" s="1"/>
  <c r="I19" i="38"/>
  <c r="D10" i="42"/>
  <c r="C10" i="42" s="1"/>
  <c r="D11" i="42"/>
  <c r="C11" i="42" s="1"/>
  <c r="D12" i="42"/>
  <c r="C12" i="42" s="1"/>
  <c r="D13" i="42"/>
  <c r="C13" i="42" s="1"/>
  <c r="D14" i="42"/>
  <c r="C14" i="42" s="1"/>
  <c r="D15" i="42"/>
  <c r="C15" i="42" s="1"/>
  <c r="D16" i="42"/>
  <c r="C16" i="42" s="1"/>
  <c r="I16" i="38" s="1"/>
  <c r="D17" i="42"/>
  <c r="C17" i="42" s="1"/>
  <c r="I17" i="38" s="1"/>
  <c r="D18" i="42"/>
  <c r="C18" i="42" s="1"/>
  <c r="I18" i="38" s="1"/>
  <c r="D9" i="42"/>
  <c r="C9" i="42" s="1"/>
  <c r="K45" i="40" s="1"/>
  <c r="E58" i="40" l="1"/>
  <c r="E63" i="40"/>
  <c r="I48" i="40"/>
  <c r="K63" i="40"/>
  <c r="K58" i="40"/>
  <c r="I10" i="38"/>
  <c r="I11" i="38"/>
  <c r="I12" i="38"/>
  <c r="I13" i="38"/>
  <c r="I14" i="38"/>
  <c r="I15" i="38"/>
  <c r="I9" i="38"/>
  <c r="M62" i="40" l="1"/>
  <c r="M44" i="40"/>
  <c r="O48" i="40" l="1"/>
  <c r="Q63" i="40" s="1"/>
  <c r="Q58" i="40" l="1"/>
  <c r="O14" i="40" l="1"/>
  <c r="Q29" i="40" s="1"/>
  <c r="E21" i="38"/>
  <c r="Q24" i="40" l="1"/>
  <c r="S62" i="40" l="1"/>
  <c r="V45" i="40"/>
  <c r="U48" i="40"/>
  <c r="S44" i="40"/>
  <c r="U14" i="40"/>
  <c r="W24" i="40" s="1"/>
  <c r="V11" i="40"/>
  <c r="W29" i="40" l="1"/>
  <c r="W11" i="40"/>
  <c r="W63" i="40"/>
  <c r="W58" i="40"/>
  <c r="W45" i="40"/>
  <c r="T10" i="41" l="1"/>
  <c r="Y62" i="40" l="1"/>
  <c r="AA48" i="40"/>
  <c r="AC58" i="40" s="1"/>
  <c r="Y44" i="40"/>
  <c r="AA14" i="40"/>
  <c r="AC29" i="40" s="1"/>
  <c r="AC63" i="40" l="1"/>
  <c r="AC24" i="40"/>
  <c r="F13" i="38" l="1"/>
  <c r="G13" i="38" s="1"/>
  <c r="F14" i="38"/>
  <c r="G14" i="38" s="1"/>
  <c r="F15" i="38"/>
  <c r="G15" i="38" s="1"/>
  <c r="F16" i="38"/>
  <c r="G16" i="38" s="1"/>
  <c r="F17" i="38"/>
  <c r="G17" i="38" s="1"/>
  <c r="F18" i="38"/>
  <c r="G18" i="38" s="1"/>
  <c r="F19" i="38"/>
  <c r="G19" i="38" s="1"/>
  <c r="F20" i="38"/>
  <c r="G20" i="38" s="1"/>
  <c r="F9" i="38" l="1"/>
  <c r="F10" i="38"/>
  <c r="F11" i="38"/>
  <c r="F12" i="38"/>
  <c r="AH45" i="40" l="1"/>
  <c r="K49" i="41" l="1"/>
  <c r="L49" i="41"/>
  <c r="M49" i="41"/>
  <c r="O49" i="41"/>
  <c r="N49" i="41"/>
  <c r="P49" i="41"/>
  <c r="Q49" i="41"/>
  <c r="R49" i="41"/>
  <c r="S49" i="41"/>
  <c r="T49" i="41"/>
  <c r="K50" i="41"/>
  <c r="L50" i="41"/>
  <c r="M50" i="41"/>
  <c r="O50" i="41"/>
  <c r="N50" i="41"/>
  <c r="P50" i="41"/>
  <c r="Q50" i="41"/>
  <c r="R50" i="41"/>
  <c r="S50" i="41"/>
  <c r="T50" i="41"/>
  <c r="K51" i="41"/>
  <c r="L51" i="41"/>
  <c r="M51" i="41"/>
  <c r="O51" i="41"/>
  <c r="N51" i="41"/>
  <c r="P51" i="41"/>
  <c r="Q51" i="41"/>
  <c r="R51" i="41"/>
  <c r="S51" i="41"/>
  <c r="T51" i="41"/>
  <c r="K52" i="41"/>
  <c r="L52" i="41"/>
  <c r="M52" i="41"/>
  <c r="O52" i="41"/>
  <c r="N52" i="41"/>
  <c r="P52" i="41"/>
  <c r="Q52" i="41"/>
  <c r="R52" i="41"/>
  <c r="S52" i="41"/>
  <c r="T52" i="41"/>
  <c r="K53" i="41"/>
  <c r="L53" i="41"/>
  <c r="M53" i="41"/>
  <c r="O53" i="41"/>
  <c r="N53" i="41"/>
  <c r="P53" i="41"/>
  <c r="Q53" i="41"/>
  <c r="R53" i="41"/>
  <c r="S53" i="41"/>
  <c r="T53" i="41"/>
  <c r="K54" i="41"/>
  <c r="L54" i="41"/>
  <c r="M54" i="41"/>
  <c r="O54" i="41"/>
  <c r="N54" i="41"/>
  <c r="P54" i="41"/>
  <c r="Q54" i="41"/>
  <c r="R54" i="41"/>
  <c r="S54" i="41"/>
  <c r="T54" i="41"/>
  <c r="K55" i="41"/>
  <c r="L55" i="41"/>
  <c r="M55" i="41"/>
  <c r="O55" i="41"/>
  <c r="N55" i="41"/>
  <c r="P55" i="41"/>
  <c r="Q55" i="41"/>
  <c r="R55" i="41"/>
  <c r="S55" i="41"/>
  <c r="T55" i="41"/>
  <c r="K56" i="41"/>
  <c r="L56" i="41"/>
  <c r="M56" i="41"/>
  <c r="O56" i="41"/>
  <c r="N56" i="41"/>
  <c r="P56" i="41"/>
  <c r="Q56" i="41"/>
  <c r="R56" i="41"/>
  <c r="S56" i="41"/>
  <c r="T56" i="41"/>
  <c r="K57" i="41"/>
  <c r="L57" i="41"/>
  <c r="M57" i="41"/>
  <c r="O57" i="41"/>
  <c r="N57" i="41"/>
  <c r="P57" i="41"/>
  <c r="Q57" i="41"/>
  <c r="R57" i="41"/>
  <c r="S57" i="41"/>
  <c r="T57" i="41"/>
  <c r="K58" i="41"/>
  <c r="L58" i="41"/>
  <c r="M58" i="41"/>
  <c r="O58" i="41"/>
  <c r="N58" i="41"/>
  <c r="P58" i="41"/>
  <c r="Q58" i="41"/>
  <c r="R58" i="41"/>
  <c r="S58" i="41"/>
  <c r="T58" i="41"/>
  <c r="K59" i="41"/>
  <c r="L59" i="41"/>
  <c r="M59" i="41"/>
  <c r="O59" i="41"/>
  <c r="N59" i="41"/>
  <c r="P59" i="41"/>
  <c r="Q59" i="41"/>
  <c r="R59" i="41"/>
  <c r="S59" i="41"/>
  <c r="T59" i="41"/>
  <c r="K60" i="41"/>
  <c r="L60" i="41"/>
  <c r="M60" i="41"/>
  <c r="O60" i="41"/>
  <c r="N60" i="41"/>
  <c r="P60" i="41"/>
  <c r="Q60" i="41"/>
  <c r="R60" i="41"/>
  <c r="S60" i="41"/>
  <c r="T60" i="41"/>
  <c r="J50" i="41"/>
  <c r="J51" i="41"/>
  <c r="J52" i="41"/>
  <c r="J53" i="41"/>
  <c r="J54" i="41"/>
  <c r="J55" i="41"/>
  <c r="J56" i="41"/>
  <c r="J57" i="41"/>
  <c r="J58" i="41"/>
  <c r="J59" i="41"/>
  <c r="J60" i="41"/>
  <c r="J49" i="41"/>
  <c r="D11" i="41"/>
  <c r="D12" i="41"/>
  <c r="D13" i="41"/>
  <c r="D14" i="41"/>
  <c r="D15" i="41"/>
  <c r="D16" i="41"/>
  <c r="D17" i="41"/>
  <c r="D18" i="41"/>
  <c r="D19" i="41"/>
  <c r="D20" i="41"/>
  <c r="D21" i="41"/>
  <c r="D10" i="41"/>
  <c r="J30" i="41" l="1"/>
  <c r="G10" i="41"/>
  <c r="Q38" i="41"/>
  <c r="G18" i="41"/>
  <c r="Q33" i="41"/>
  <c r="G13" i="41"/>
  <c r="Q40" i="41"/>
  <c r="G20" i="41"/>
  <c r="Q32" i="41"/>
  <c r="G12" i="41"/>
  <c r="Q34" i="41"/>
  <c r="G14" i="41"/>
  <c r="T37" i="41"/>
  <c r="G17" i="41"/>
  <c r="Q36" i="41"/>
  <c r="G16" i="41"/>
  <c r="Q39" i="41"/>
  <c r="G19" i="41"/>
  <c r="T35" i="41"/>
  <c r="G15" i="41"/>
  <c r="Q31" i="41"/>
  <c r="G11" i="41"/>
  <c r="Q41" i="41"/>
  <c r="G21" i="41"/>
  <c r="D60" i="41"/>
  <c r="D50" i="41"/>
  <c r="D53" i="41"/>
  <c r="D51" i="41"/>
  <c r="D59" i="41"/>
  <c r="D58" i="41"/>
  <c r="D54" i="41"/>
  <c r="D49" i="41"/>
  <c r="D57" i="41"/>
  <c r="D56" i="41"/>
  <c r="D55" i="41"/>
  <c r="J41" i="41"/>
  <c r="O41" i="41"/>
  <c r="R41" i="41"/>
  <c r="J61" i="41"/>
  <c r="K41" i="41"/>
  <c r="N41" i="41"/>
  <c r="S41" i="41"/>
  <c r="L41" i="41"/>
  <c r="P41" i="41"/>
  <c r="T41" i="41"/>
  <c r="M41" i="41"/>
  <c r="R61" i="41"/>
  <c r="O61" i="41"/>
  <c r="D52" i="41"/>
  <c r="O40" i="41"/>
  <c r="R40" i="41"/>
  <c r="L40" i="41"/>
  <c r="J40" i="41"/>
  <c r="K40" i="41"/>
  <c r="N40" i="41"/>
  <c r="S40" i="41"/>
  <c r="P40" i="41"/>
  <c r="T40" i="41"/>
  <c r="M40" i="41"/>
  <c r="J39" i="41"/>
  <c r="O39" i="41"/>
  <c r="R39" i="41"/>
  <c r="K39" i="41"/>
  <c r="N39" i="41"/>
  <c r="S39" i="41"/>
  <c r="L39" i="41"/>
  <c r="P39" i="41"/>
  <c r="T39" i="41"/>
  <c r="M39" i="41"/>
  <c r="J38" i="41"/>
  <c r="O38" i="41"/>
  <c r="R38" i="41"/>
  <c r="K38" i="41"/>
  <c r="N38" i="41"/>
  <c r="S38" i="41"/>
  <c r="L38" i="41"/>
  <c r="T38" i="41"/>
  <c r="P38" i="41"/>
  <c r="M38" i="41"/>
  <c r="M37" i="41"/>
  <c r="Q37" i="41"/>
  <c r="J37" i="41"/>
  <c r="O37" i="41"/>
  <c r="R37" i="41"/>
  <c r="K37" i="41"/>
  <c r="N37" i="41"/>
  <c r="S37" i="41"/>
  <c r="L37" i="41"/>
  <c r="P37" i="41"/>
  <c r="J36" i="41"/>
  <c r="O36" i="41"/>
  <c r="R36" i="41"/>
  <c r="K36" i="41"/>
  <c r="N36" i="41"/>
  <c r="S36" i="41"/>
  <c r="L36" i="41"/>
  <c r="P36" i="41"/>
  <c r="T36" i="41"/>
  <c r="M36" i="41"/>
  <c r="M35" i="41"/>
  <c r="Q35" i="41"/>
  <c r="J35" i="41"/>
  <c r="O35" i="41"/>
  <c r="R35" i="41"/>
  <c r="K35" i="41"/>
  <c r="N35" i="41"/>
  <c r="S35" i="41"/>
  <c r="L35" i="41"/>
  <c r="P35" i="41"/>
  <c r="J34" i="41"/>
  <c r="O34" i="41"/>
  <c r="R34" i="41"/>
  <c r="K34" i="41"/>
  <c r="N34" i="41"/>
  <c r="S34" i="41"/>
  <c r="P34" i="41"/>
  <c r="T34" i="41"/>
  <c r="L34" i="41"/>
  <c r="M34" i="41"/>
  <c r="J33" i="41"/>
  <c r="O33" i="41"/>
  <c r="R33" i="41"/>
  <c r="K33" i="41"/>
  <c r="N33" i="41"/>
  <c r="S33" i="41"/>
  <c r="L33" i="41"/>
  <c r="P33" i="41"/>
  <c r="T33" i="41"/>
  <c r="M33" i="41"/>
  <c r="J32" i="41"/>
  <c r="O32" i="41"/>
  <c r="R32" i="41"/>
  <c r="K32" i="41"/>
  <c r="N32" i="41"/>
  <c r="S32" i="41"/>
  <c r="L32" i="41"/>
  <c r="P32" i="41"/>
  <c r="T32" i="41"/>
  <c r="M32" i="41"/>
  <c r="J31" i="41"/>
  <c r="O31" i="41"/>
  <c r="R31" i="41"/>
  <c r="K31" i="41"/>
  <c r="N31" i="41"/>
  <c r="S31" i="41"/>
  <c r="L31" i="41"/>
  <c r="P31" i="41"/>
  <c r="T31" i="41"/>
  <c r="M31" i="41"/>
  <c r="R30" i="41"/>
  <c r="K30" i="41"/>
  <c r="N30" i="41"/>
  <c r="S30" i="41"/>
  <c r="O30" i="41"/>
  <c r="L30" i="41"/>
  <c r="P30" i="41"/>
  <c r="T30" i="41"/>
  <c r="D22" i="41"/>
  <c r="G22" i="41" s="1"/>
  <c r="M30" i="41"/>
  <c r="Q30" i="41"/>
  <c r="K61" i="41"/>
  <c r="S61" i="41"/>
  <c r="L61" i="41"/>
  <c r="P61" i="41"/>
  <c r="T61" i="41"/>
  <c r="N61" i="41"/>
  <c r="M61" i="41"/>
  <c r="Q61" i="41"/>
  <c r="D61" i="41" l="1"/>
  <c r="D36" i="41"/>
  <c r="C55" i="41" s="1"/>
  <c r="D37" i="41"/>
  <c r="C56" i="41" s="1"/>
  <c r="D40" i="41"/>
  <c r="D41" i="41"/>
  <c r="D30" i="41"/>
  <c r="C49" i="41" s="1"/>
  <c r="D38" i="41"/>
  <c r="D39" i="41"/>
  <c r="D35" i="41"/>
  <c r="C54" i="41" s="1"/>
  <c r="D34" i="41"/>
  <c r="C53" i="41" s="1"/>
  <c r="D33" i="41"/>
  <c r="C52" i="41" s="1"/>
  <c r="D32" i="41"/>
  <c r="C51" i="41" s="1"/>
  <c r="D31" i="41"/>
  <c r="C50" i="41" s="1"/>
  <c r="C34" i="34"/>
  <c r="C35" i="34"/>
  <c r="C36" i="34"/>
  <c r="C37" i="34"/>
  <c r="C38" i="34"/>
  <c r="C39" i="34"/>
  <c r="C40" i="34"/>
  <c r="C41" i="34"/>
  <c r="C42" i="34"/>
  <c r="C43" i="34"/>
  <c r="C44" i="34"/>
  <c r="C33" i="34"/>
  <c r="C12" i="34"/>
  <c r="C13" i="34"/>
  <c r="C14" i="34"/>
  <c r="C15" i="34"/>
  <c r="C16" i="34"/>
  <c r="C17" i="34"/>
  <c r="C18" i="34"/>
  <c r="C19" i="34"/>
  <c r="C20" i="34"/>
  <c r="C21" i="34"/>
  <c r="C22" i="34"/>
  <c r="C11" i="34"/>
  <c r="C41" i="35"/>
  <c r="D41" i="35"/>
  <c r="E41" i="35"/>
  <c r="F41" i="35"/>
  <c r="G41" i="35"/>
  <c r="H41" i="35"/>
  <c r="I41" i="35"/>
  <c r="J41" i="35"/>
  <c r="K41" i="35"/>
  <c r="L41" i="35"/>
  <c r="C22" i="41"/>
  <c r="I22" i="41" l="1"/>
  <c r="Y22" i="41"/>
  <c r="C59" i="41"/>
  <c r="C60" i="41"/>
  <c r="C58" i="41"/>
  <c r="C57" i="41"/>
  <c r="D42" i="41"/>
  <c r="D19" i="35"/>
  <c r="D19" i="36" s="1"/>
  <c r="D20" i="35"/>
  <c r="D20" i="36" s="1"/>
  <c r="D21" i="35"/>
  <c r="D21" i="36" s="1"/>
  <c r="E19" i="35"/>
  <c r="E19" i="36" s="1"/>
  <c r="E20" i="35"/>
  <c r="E20" i="36" s="1"/>
  <c r="E21" i="35"/>
  <c r="E21" i="36" s="1"/>
  <c r="F19" i="35"/>
  <c r="F19" i="36" s="1"/>
  <c r="F20" i="35"/>
  <c r="F20" i="36" s="1"/>
  <c r="F21" i="35"/>
  <c r="F21" i="36" s="1"/>
  <c r="H19" i="35"/>
  <c r="G19" i="36" s="1"/>
  <c r="H20" i="35"/>
  <c r="G20" i="36" s="1"/>
  <c r="H21" i="35"/>
  <c r="G21" i="36" s="1"/>
  <c r="I19" i="35"/>
  <c r="I19" i="36" s="1"/>
  <c r="I20" i="35"/>
  <c r="I20" i="36" s="1"/>
  <c r="I21" i="35"/>
  <c r="I21" i="36" s="1"/>
  <c r="J19" i="35"/>
  <c r="J19" i="36" s="1"/>
  <c r="J20" i="35"/>
  <c r="J20" i="36" s="1"/>
  <c r="J21" i="35"/>
  <c r="J21" i="36" s="1"/>
  <c r="K19" i="35"/>
  <c r="K19" i="36" s="1"/>
  <c r="K20" i="35"/>
  <c r="K20" i="36" s="1"/>
  <c r="K21" i="35"/>
  <c r="K21" i="36" s="1"/>
  <c r="L19" i="35"/>
  <c r="L19" i="36" s="1"/>
  <c r="L20" i="35"/>
  <c r="L20" i="36" s="1"/>
  <c r="L21" i="35"/>
  <c r="L21" i="36" s="1"/>
  <c r="G19" i="35"/>
  <c r="H19" i="36" s="1"/>
  <c r="G20" i="35"/>
  <c r="H20" i="36" s="1"/>
  <c r="G21" i="35"/>
  <c r="H21" i="36" s="1"/>
  <c r="C21" i="35"/>
  <c r="C21" i="36" s="1"/>
  <c r="C20" i="35"/>
  <c r="C20" i="36" s="1"/>
  <c r="C19" i="35"/>
  <c r="C19" i="36" s="1"/>
  <c r="J36" i="35" l="1"/>
  <c r="D36" i="35"/>
  <c r="I36" i="35"/>
  <c r="G36" i="35"/>
  <c r="L36" i="35"/>
  <c r="F36" i="35"/>
  <c r="K36" i="35"/>
  <c r="C36" i="35"/>
  <c r="H36" i="35"/>
  <c r="E36" i="35"/>
  <c r="K22" i="34"/>
  <c r="C35" i="35"/>
  <c r="H35" i="35"/>
  <c r="G35" i="35"/>
  <c r="L35" i="35"/>
  <c r="E35" i="35"/>
  <c r="F35" i="35"/>
  <c r="K35" i="35"/>
  <c r="I35" i="35"/>
  <c r="J35" i="35"/>
  <c r="D35" i="35"/>
  <c r="K21" i="34"/>
  <c r="C34" i="35"/>
  <c r="F34" i="35"/>
  <c r="J34" i="35"/>
  <c r="K20" i="34"/>
  <c r="I34" i="35"/>
  <c r="L34" i="35"/>
  <c r="H34" i="35"/>
  <c r="D34" i="35"/>
  <c r="G34" i="35"/>
  <c r="E34" i="35"/>
  <c r="K34" i="35"/>
  <c r="K19" i="34"/>
  <c r="D17" i="35"/>
  <c r="D18" i="35"/>
  <c r="D33" i="35" s="1"/>
  <c r="E17" i="35"/>
  <c r="E18" i="35"/>
  <c r="E33" i="35" s="1"/>
  <c r="F17" i="35"/>
  <c r="F18" i="35"/>
  <c r="F33" i="35" s="1"/>
  <c r="H17" i="35"/>
  <c r="H18" i="35"/>
  <c r="H33" i="35" s="1"/>
  <c r="I17" i="35"/>
  <c r="I18" i="35"/>
  <c r="I33" i="35" s="1"/>
  <c r="J17" i="35"/>
  <c r="J18" i="35"/>
  <c r="J33" i="35" s="1"/>
  <c r="K17" i="35"/>
  <c r="K18" i="35"/>
  <c r="K33" i="35" s="1"/>
  <c r="L18" i="35"/>
  <c r="L33" i="35" s="1"/>
  <c r="G17" i="35"/>
  <c r="G18" i="35"/>
  <c r="G33" i="35" s="1"/>
  <c r="C18" i="35"/>
  <c r="C33" i="35" s="1"/>
  <c r="C17" i="35"/>
  <c r="L18" i="36" l="1"/>
  <c r="G18" i="36"/>
  <c r="C18" i="36"/>
  <c r="J17" i="36"/>
  <c r="E17" i="36"/>
  <c r="H18" i="36"/>
  <c r="I18" i="36"/>
  <c r="F18" i="36"/>
  <c r="D18" i="36"/>
  <c r="C17" i="36"/>
  <c r="E18" i="36"/>
  <c r="L17" i="36"/>
  <c r="G17" i="36"/>
  <c r="K18" i="36"/>
  <c r="H17" i="36"/>
  <c r="K17" i="36"/>
  <c r="I17" i="36"/>
  <c r="F17" i="36"/>
  <c r="D17" i="36"/>
  <c r="J18" i="36"/>
  <c r="D16" i="35"/>
  <c r="E16" i="35"/>
  <c r="F16" i="35"/>
  <c r="H16" i="35"/>
  <c r="I16" i="35"/>
  <c r="J16" i="35"/>
  <c r="K16" i="35"/>
  <c r="L16" i="35"/>
  <c r="G16" i="35"/>
  <c r="C16" i="35"/>
  <c r="D15" i="35"/>
  <c r="E15" i="35"/>
  <c r="F15" i="35"/>
  <c r="H15" i="35"/>
  <c r="I15" i="35"/>
  <c r="J15" i="35"/>
  <c r="K15" i="35"/>
  <c r="L15" i="35"/>
  <c r="G15" i="35"/>
  <c r="C15" i="35"/>
  <c r="H16" i="36" l="1"/>
  <c r="J15" i="36"/>
  <c r="E15" i="36"/>
  <c r="L16" i="36"/>
  <c r="G16" i="36"/>
  <c r="K15" i="36"/>
  <c r="D16" i="36"/>
  <c r="H15" i="36"/>
  <c r="I15" i="36"/>
  <c r="D15" i="36"/>
  <c r="K16" i="36"/>
  <c r="F16" i="36"/>
  <c r="F15" i="36"/>
  <c r="I16" i="36"/>
  <c r="C15" i="36"/>
  <c r="L15" i="36"/>
  <c r="G15" i="36"/>
  <c r="C16" i="36"/>
  <c r="J16" i="36"/>
  <c r="E16" i="36"/>
  <c r="D14" i="35"/>
  <c r="E14" i="35"/>
  <c r="F14" i="35"/>
  <c r="G14" i="35"/>
  <c r="H14" i="35"/>
  <c r="I14" i="35"/>
  <c r="J14" i="35"/>
  <c r="K14" i="35"/>
  <c r="L14" i="35"/>
  <c r="C14" i="35"/>
  <c r="K14" i="36" l="1"/>
  <c r="J14" i="36"/>
  <c r="F14" i="36"/>
  <c r="C14" i="36"/>
  <c r="I14" i="36"/>
  <c r="E14" i="36"/>
  <c r="H14" i="36"/>
  <c r="L14" i="36"/>
  <c r="G14" i="36"/>
  <c r="D14" i="36"/>
  <c r="D13" i="35"/>
  <c r="E13" i="35"/>
  <c r="F13" i="35"/>
  <c r="G13" i="35"/>
  <c r="H13" i="35"/>
  <c r="I13" i="35"/>
  <c r="J13" i="35"/>
  <c r="K13" i="35"/>
  <c r="L13" i="35"/>
  <c r="C13" i="35"/>
  <c r="D12" i="35"/>
  <c r="E12" i="35"/>
  <c r="F12" i="35"/>
  <c r="G12" i="35"/>
  <c r="H12" i="35"/>
  <c r="I12" i="35"/>
  <c r="J12" i="35"/>
  <c r="K12" i="35"/>
  <c r="L12" i="35"/>
  <c r="C12" i="35"/>
  <c r="E13" i="36" l="1"/>
  <c r="J12" i="36"/>
  <c r="F12" i="36"/>
  <c r="L13" i="36"/>
  <c r="G13" i="36"/>
  <c r="D13" i="36"/>
  <c r="H12" i="36"/>
  <c r="C13" i="36"/>
  <c r="I12" i="36"/>
  <c r="E12" i="36"/>
  <c r="K13" i="36"/>
  <c r="H13" i="36"/>
  <c r="K12" i="36"/>
  <c r="I13" i="36"/>
  <c r="C12" i="36"/>
  <c r="L12" i="36"/>
  <c r="G12" i="36"/>
  <c r="D12" i="36"/>
  <c r="J13" i="36"/>
  <c r="F13" i="36"/>
  <c r="D11" i="35"/>
  <c r="E11" i="35"/>
  <c r="F11" i="35"/>
  <c r="G11" i="35"/>
  <c r="H11" i="35"/>
  <c r="I11" i="35"/>
  <c r="J11" i="35"/>
  <c r="K11" i="35"/>
  <c r="L11" i="35"/>
  <c r="C11" i="35"/>
  <c r="H11" i="36" l="1"/>
  <c r="J11" i="36"/>
  <c r="F11" i="36"/>
  <c r="C11" i="36"/>
  <c r="I11" i="36"/>
  <c r="E11" i="36"/>
  <c r="K11" i="36"/>
  <c r="L11" i="36"/>
  <c r="G11" i="36"/>
  <c r="D11" i="36"/>
  <c r="D10" i="35"/>
  <c r="D10" i="36" s="1"/>
  <c r="E10" i="35"/>
  <c r="E10" i="36" s="1"/>
  <c r="F10" i="35"/>
  <c r="F10" i="36" s="1"/>
  <c r="G10" i="35"/>
  <c r="H10" i="36" s="1"/>
  <c r="H10" i="35"/>
  <c r="G10" i="36" s="1"/>
  <c r="I10" i="35"/>
  <c r="I10" i="36" s="1"/>
  <c r="J10" i="35"/>
  <c r="J10" i="36" s="1"/>
  <c r="K10" i="35"/>
  <c r="K10" i="36" s="1"/>
  <c r="L10" i="35"/>
  <c r="L10" i="36" s="1"/>
  <c r="C10" i="35"/>
  <c r="C10" i="36" l="1"/>
  <c r="B22" i="41"/>
  <c r="K42" i="41"/>
  <c r="K22" i="41" s="1"/>
  <c r="N42" i="41"/>
  <c r="N22" i="41" s="1"/>
  <c r="S42" i="41"/>
  <c r="S22" i="41" s="1"/>
  <c r="L42" i="41"/>
  <c r="L22" i="41" s="1"/>
  <c r="P42" i="41"/>
  <c r="P22" i="41" s="1"/>
  <c r="M42" i="41"/>
  <c r="M22" i="41" s="1"/>
  <c r="Q42" i="41"/>
  <c r="Q22" i="41" s="1"/>
  <c r="J42" i="41"/>
  <c r="J22" i="41" s="1"/>
  <c r="O42" i="41"/>
  <c r="O22" i="41" s="1"/>
  <c r="R42" i="41"/>
  <c r="R22" i="41" s="1"/>
  <c r="T42" i="41"/>
  <c r="T22" i="41" s="1"/>
  <c r="B21" i="38"/>
  <c r="I21" i="38"/>
  <c r="G12" i="38"/>
  <c r="G11" i="38"/>
  <c r="G10" i="38"/>
  <c r="AO62" i="40"/>
  <c r="AO28" i="40"/>
  <c r="AE62" i="40"/>
  <c r="AE44" i="40"/>
  <c r="B23" i="38" l="1"/>
  <c r="AG14" i="40"/>
  <c r="AI24" i="40" s="1"/>
  <c r="I23" i="38"/>
  <c r="AG48" i="40"/>
  <c r="AI58" i="40" s="1"/>
  <c r="F21" i="38"/>
  <c r="G21" i="38" s="1"/>
  <c r="G9" i="38"/>
  <c r="AI45" i="40"/>
  <c r="AI63" i="40" l="1"/>
  <c r="F27" i="36"/>
  <c r="C27" i="36"/>
  <c r="H27" i="36"/>
  <c r="L27" i="36"/>
  <c r="J27" i="36"/>
  <c r="E27" i="36"/>
  <c r="G27" i="36"/>
  <c r="I27" i="36"/>
  <c r="D27" i="36"/>
  <c r="K27" i="36"/>
  <c r="E29" i="36"/>
  <c r="F29" i="36"/>
  <c r="L29" i="36"/>
  <c r="H29" i="36"/>
  <c r="D29" i="36"/>
  <c r="C29" i="36"/>
  <c r="G29" i="36"/>
  <c r="I29" i="36"/>
  <c r="K29" i="36"/>
  <c r="J29" i="36"/>
  <c r="J33" i="36"/>
  <c r="C33" i="36"/>
  <c r="L33" i="36"/>
  <c r="I33" i="36"/>
  <c r="E33" i="36"/>
  <c r="G33" i="36"/>
  <c r="F33" i="36"/>
  <c r="K33" i="36"/>
  <c r="D33" i="36"/>
  <c r="H33" i="36"/>
  <c r="E31" i="36"/>
  <c r="K31" i="36"/>
  <c r="J31" i="36"/>
  <c r="F31" i="36"/>
  <c r="L31" i="36"/>
  <c r="G31" i="36"/>
  <c r="H31" i="36"/>
  <c r="C31" i="36"/>
  <c r="D31" i="36"/>
  <c r="I31" i="36"/>
  <c r="C32" i="36"/>
  <c r="G32" i="36"/>
  <c r="J32" i="36"/>
  <c r="F32" i="36"/>
  <c r="L32" i="36"/>
  <c r="I32" i="36"/>
  <c r="H32" i="36"/>
  <c r="K32" i="36"/>
  <c r="D32" i="36"/>
  <c r="E32" i="36"/>
  <c r="I26" i="35"/>
  <c r="L26" i="35"/>
  <c r="D26" i="35"/>
  <c r="E26" i="35"/>
  <c r="H26" i="35"/>
  <c r="G26" i="35"/>
  <c r="J26" i="35"/>
  <c r="K26" i="35"/>
  <c r="C26" i="35"/>
  <c r="F26" i="35"/>
  <c r="J35" i="36"/>
  <c r="K35" i="36"/>
  <c r="D35" i="36"/>
  <c r="C35" i="36"/>
  <c r="L35" i="36"/>
  <c r="E35" i="36"/>
  <c r="H35" i="36"/>
  <c r="G35" i="36"/>
  <c r="I35" i="36"/>
  <c r="F35" i="36"/>
  <c r="J30" i="35"/>
  <c r="K30" i="35"/>
  <c r="G30" i="35"/>
  <c r="D30" i="35"/>
  <c r="F30" i="35"/>
  <c r="C30" i="35"/>
  <c r="H30" i="35"/>
  <c r="E30" i="35"/>
  <c r="I30" i="35"/>
  <c r="L30" i="35"/>
  <c r="D28" i="35"/>
  <c r="I28" i="35"/>
  <c r="E28" i="35"/>
  <c r="H28" i="35"/>
  <c r="K28" i="35"/>
  <c r="J28" i="35"/>
  <c r="L28" i="35"/>
  <c r="C28" i="35"/>
  <c r="G28" i="35"/>
  <c r="F28" i="35"/>
  <c r="AI29" i="40"/>
  <c r="G31" i="35"/>
  <c r="D31" i="35"/>
  <c r="E31" i="35"/>
  <c r="L31" i="35"/>
  <c r="F31" i="35"/>
  <c r="J31" i="35"/>
  <c r="H31" i="35"/>
  <c r="K31" i="35"/>
  <c r="I31" i="35"/>
  <c r="C31" i="35"/>
  <c r="C32" i="35"/>
  <c r="J32" i="35"/>
  <c r="H32" i="35"/>
  <c r="G32" i="35"/>
  <c r="I32" i="35"/>
  <c r="D32" i="35"/>
  <c r="E32" i="35"/>
  <c r="L32" i="35"/>
  <c r="K32" i="35"/>
  <c r="F32" i="35"/>
  <c r="L30" i="36"/>
  <c r="C30" i="36"/>
  <c r="K30" i="36"/>
  <c r="G30" i="36"/>
  <c r="D30" i="36"/>
  <c r="J30" i="36"/>
  <c r="I30" i="36"/>
  <c r="E30" i="36"/>
  <c r="H30" i="36"/>
  <c r="F30" i="36"/>
  <c r="H28" i="36"/>
  <c r="I28" i="36"/>
  <c r="J28" i="36"/>
  <c r="K28" i="36"/>
  <c r="F28" i="36"/>
  <c r="L28" i="36"/>
  <c r="G28" i="36"/>
  <c r="C28" i="36"/>
  <c r="E28" i="36"/>
  <c r="D28" i="36"/>
  <c r="J27" i="35"/>
  <c r="E27" i="35"/>
  <c r="D27" i="35"/>
  <c r="F27" i="35"/>
  <c r="G27" i="35"/>
  <c r="I27" i="35"/>
  <c r="K27" i="35"/>
  <c r="C27" i="35"/>
  <c r="H27" i="35"/>
  <c r="L27" i="35"/>
  <c r="I29" i="35"/>
  <c r="E29" i="35"/>
  <c r="F29" i="35"/>
  <c r="L29" i="35"/>
  <c r="D29" i="35"/>
  <c r="J29" i="35"/>
  <c r="G29" i="35"/>
  <c r="H29" i="35"/>
  <c r="C29" i="35"/>
  <c r="K29" i="35"/>
  <c r="E34" i="36"/>
  <c r="D34" i="36"/>
  <c r="F34" i="36"/>
  <c r="G34" i="36"/>
  <c r="H34" i="36"/>
  <c r="K34" i="36"/>
  <c r="L34" i="36"/>
  <c r="I34" i="36"/>
  <c r="J34" i="36"/>
  <c r="C34" i="36"/>
  <c r="E26" i="36"/>
  <c r="I26" i="36"/>
  <c r="L26" i="36"/>
  <c r="C26" i="36"/>
  <c r="F26" i="36"/>
  <c r="H26" i="36"/>
  <c r="D26" i="36"/>
  <c r="K26" i="36"/>
  <c r="G26" i="36"/>
  <c r="J26" i="36"/>
  <c r="I36" i="36"/>
  <c r="K36" i="36"/>
  <c r="J36" i="36"/>
  <c r="G36" i="36"/>
  <c r="C36" i="36"/>
  <c r="F36" i="36"/>
  <c r="H36" i="36"/>
  <c r="L36" i="36"/>
  <c r="D36" i="36"/>
  <c r="E36" i="36"/>
  <c r="C25" i="35" l="1"/>
  <c r="D42" i="35" l="1"/>
  <c r="E42" i="35"/>
  <c r="F42" i="35"/>
  <c r="G42" i="35"/>
  <c r="H42" i="35"/>
  <c r="I42" i="35"/>
  <c r="J42" i="35"/>
  <c r="K42" i="35"/>
  <c r="L42" i="35"/>
  <c r="D43" i="35"/>
  <c r="E43" i="35"/>
  <c r="F43" i="35"/>
  <c r="G43" i="35"/>
  <c r="H43" i="35"/>
  <c r="I43" i="35"/>
  <c r="J43" i="35"/>
  <c r="K43" i="35"/>
  <c r="L43" i="35"/>
  <c r="D44" i="35"/>
  <c r="E44" i="35"/>
  <c r="F44" i="35"/>
  <c r="G44" i="35"/>
  <c r="H44" i="35"/>
  <c r="I44" i="35"/>
  <c r="J44" i="35"/>
  <c r="K44" i="35"/>
  <c r="L44" i="35"/>
  <c r="D45" i="35"/>
  <c r="E45" i="35"/>
  <c r="F45" i="35"/>
  <c r="G45" i="35"/>
  <c r="H45" i="35"/>
  <c r="I45" i="35"/>
  <c r="J45" i="35"/>
  <c r="K45" i="35"/>
  <c r="L45" i="35"/>
  <c r="D46" i="35"/>
  <c r="E46" i="35"/>
  <c r="F46" i="35"/>
  <c r="G46" i="35"/>
  <c r="H46" i="35"/>
  <c r="I46" i="35"/>
  <c r="J46" i="35"/>
  <c r="K46" i="35"/>
  <c r="L46" i="35"/>
  <c r="D47" i="35"/>
  <c r="E47" i="35"/>
  <c r="F47" i="35"/>
  <c r="G47" i="35"/>
  <c r="H47" i="35"/>
  <c r="I47" i="35"/>
  <c r="J47" i="35"/>
  <c r="K47" i="35"/>
  <c r="L47" i="35"/>
  <c r="D48" i="35"/>
  <c r="E48" i="35"/>
  <c r="F48" i="35"/>
  <c r="G48" i="35"/>
  <c r="H48" i="35"/>
  <c r="I48" i="35"/>
  <c r="J48" i="35"/>
  <c r="K48" i="35"/>
  <c r="L48" i="35"/>
  <c r="D49" i="35"/>
  <c r="E49" i="35"/>
  <c r="F49" i="35"/>
  <c r="G49" i="35"/>
  <c r="H49" i="35"/>
  <c r="I49" i="35"/>
  <c r="J49" i="35"/>
  <c r="K49" i="35"/>
  <c r="L49" i="35"/>
  <c r="D50" i="35"/>
  <c r="E50" i="35"/>
  <c r="F50" i="35"/>
  <c r="G50" i="35"/>
  <c r="H50" i="35"/>
  <c r="I50" i="35"/>
  <c r="J50" i="35"/>
  <c r="K50" i="35"/>
  <c r="L50" i="35"/>
  <c r="D51" i="35"/>
  <c r="E51" i="35"/>
  <c r="F51" i="35"/>
  <c r="G51" i="35"/>
  <c r="H51" i="35"/>
  <c r="I51" i="35"/>
  <c r="J51" i="35"/>
  <c r="K51" i="35"/>
  <c r="L51" i="35"/>
  <c r="D52" i="35"/>
  <c r="E52" i="35"/>
  <c r="F52" i="35"/>
  <c r="G52" i="35"/>
  <c r="H52" i="35"/>
  <c r="I52" i="35"/>
  <c r="J52" i="35"/>
  <c r="K52" i="35"/>
  <c r="L52" i="35"/>
  <c r="C43" i="35"/>
  <c r="C44" i="35"/>
  <c r="C45" i="35"/>
  <c r="C46" i="35"/>
  <c r="C47" i="35"/>
  <c r="C48" i="35"/>
  <c r="C49" i="35"/>
  <c r="C50" i="35"/>
  <c r="C51" i="35"/>
  <c r="C52" i="35"/>
  <c r="C42" i="35"/>
  <c r="M11" i="35" l="1"/>
  <c r="M11" i="36" l="1"/>
  <c r="M26" i="36" s="1"/>
  <c r="M26" i="35"/>
  <c r="C56" i="35"/>
  <c r="C57" i="35"/>
  <c r="C60" i="35"/>
  <c r="C58" i="35"/>
  <c r="C59" i="35"/>
  <c r="C61" i="35"/>
  <c r="C62" i="35"/>
  <c r="C63" i="35"/>
  <c r="C41" i="36"/>
  <c r="C42" i="36"/>
  <c r="C57" i="36" s="1"/>
  <c r="C43" i="36"/>
  <c r="C58" i="36" s="1"/>
  <c r="C44" i="36"/>
  <c r="C59" i="36" s="1"/>
  <c r="C45" i="36"/>
  <c r="C60" i="36" s="1"/>
  <c r="C46" i="36"/>
  <c r="C61" i="36" s="1"/>
  <c r="C47" i="36"/>
  <c r="C62" i="36" s="1"/>
  <c r="C48" i="36"/>
  <c r="C63" i="36" s="1"/>
  <c r="C49" i="36"/>
  <c r="C64" i="36" s="1"/>
  <c r="C50" i="36"/>
  <c r="C51" i="36"/>
  <c r="C52" i="36"/>
  <c r="C67" i="35"/>
  <c r="C65" i="36" l="1"/>
  <c r="C66" i="36"/>
  <c r="C66" i="35"/>
  <c r="C64" i="35"/>
  <c r="C67" i="36"/>
  <c r="AK62" i="40"/>
  <c r="AK44" i="40"/>
  <c r="AM48" i="40" l="1"/>
  <c r="AO58" i="40" s="1"/>
  <c r="C37" i="35"/>
  <c r="C65" i="35"/>
  <c r="C68" i="35" s="1"/>
  <c r="AH11" i="40"/>
  <c r="AM14" i="40"/>
  <c r="AO24" i="40" s="1"/>
  <c r="C70" i="35" l="1"/>
  <c r="AI11" i="40"/>
  <c r="AO63" i="40"/>
  <c r="AO13" i="40"/>
  <c r="AO29" i="40"/>
  <c r="AO47" i="40"/>
  <c r="AO45" i="40" l="1"/>
  <c r="AO48" i="40" s="1"/>
  <c r="AO11" i="40" l="1"/>
  <c r="AO14" i="40" s="1"/>
  <c r="M21" i="35" l="1"/>
  <c r="M36" i="35" s="1"/>
  <c r="M21" i="36" l="1"/>
  <c r="M36" i="36" s="1"/>
  <c r="K49" i="36" l="1"/>
  <c r="E51" i="36"/>
  <c r="D52" i="36"/>
  <c r="E52" i="36"/>
  <c r="F52" i="36"/>
  <c r="H52" i="36"/>
  <c r="I52" i="36"/>
  <c r="J52" i="36"/>
  <c r="K52" i="36"/>
  <c r="L52" i="36"/>
  <c r="D42" i="36"/>
  <c r="E42" i="36"/>
  <c r="F42" i="36"/>
  <c r="H42" i="36"/>
  <c r="G42" i="36"/>
  <c r="I42" i="36"/>
  <c r="J42" i="36"/>
  <c r="K42" i="36"/>
  <c r="L42" i="36"/>
  <c r="D43" i="36"/>
  <c r="E43" i="36"/>
  <c r="F43" i="36"/>
  <c r="H43" i="36"/>
  <c r="I43" i="36"/>
  <c r="J43" i="36"/>
  <c r="K43" i="36"/>
  <c r="L43" i="36"/>
  <c r="D44" i="36"/>
  <c r="E44" i="36"/>
  <c r="F44" i="36"/>
  <c r="H44" i="36"/>
  <c r="I44" i="36"/>
  <c r="J44" i="36"/>
  <c r="K44" i="36"/>
  <c r="L44" i="36"/>
  <c r="D45" i="36"/>
  <c r="E45" i="36"/>
  <c r="F45" i="36"/>
  <c r="H45" i="36"/>
  <c r="I45" i="36"/>
  <c r="J45" i="36"/>
  <c r="K45" i="36"/>
  <c r="L45" i="36"/>
  <c r="D46" i="36"/>
  <c r="E46" i="36"/>
  <c r="F46" i="36"/>
  <c r="H46" i="36"/>
  <c r="I46" i="36"/>
  <c r="J46" i="36"/>
  <c r="K46" i="36"/>
  <c r="L46" i="36"/>
  <c r="D47" i="36"/>
  <c r="E47" i="36"/>
  <c r="F47" i="36"/>
  <c r="H47" i="36"/>
  <c r="I47" i="36"/>
  <c r="J47" i="36"/>
  <c r="K47" i="36"/>
  <c r="L47" i="36"/>
  <c r="D48" i="36"/>
  <c r="E48" i="36"/>
  <c r="F48" i="36"/>
  <c r="H48" i="36"/>
  <c r="I48" i="36"/>
  <c r="J48" i="36"/>
  <c r="K48" i="36"/>
  <c r="L48" i="36"/>
  <c r="D49" i="36"/>
  <c r="E49" i="36"/>
  <c r="F49" i="36"/>
  <c r="H49" i="36"/>
  <c r="I49" i="36"/>
  <c r="J49" i="36"/>
  <c r="L49" i="36"/>
  <c r="D50" i="36"/>
  <c r="E50" i="36"/>
  <c r="F50" i="36"/>
  <c r="H50" i="36"/>
  <c r="I50" i="36"/>
  <c r="J50" i="36"/>
  <c r="K50" i="36"/>
  <c r="L50" i="36"/>
  <c r="D51" i="36"/>
  <c r="F51" i="36"/>
  <c r="H51" i="36"/>
  <c r="I51" i="36"/>
  <c r="J51" i="36"/>
  <c r="K51" i="36"/>
  <c r="L51" i="36"/>
  <c r="D41" i="36"/>
  <c r="E41" i="36"/>
  <c r="F41" i="36"/>
  <c r="H41" i="36"/>
  <c r="G41" i="36"/>
  <c r="I41" i="36"/>
  <c r="J41" i="36"/>
  <c r="K41" i="36"/>
  <c r="L41" i="36"/>
  <c r="M10" i="35"/>
  <c r="M10" i="36" s="1"/>
  <c r="G43" i="36" l="1"/>
  <c r="G44" i="36" l="1"/>
  <c r="B11" i="35"/>
  <c r="B10" i="35"/>
  <c r="M20" i="35"/>
  <c r="M35" i="35" s="1"/>
  <c r="B21" i="35"/>
  <c r="M20" i="36" l="1"/>
  <c r="M35" i="36" s="1"/>
  <c r="G45" i="36"/>
  <c r="B20" i="35"/>
  <c r="G46" i="36" l="1"/>
  <c r="G47" i="36" l="1"/>
  <c r="G48" i="36" l="1"/>
  <c r="M15" i="35"/>
  <c r="M19" i="35"/>
  <c r="M34" i="35" s="1"/>
  <c r="M16" i="35"/>
  <c r="M17" i="35"/>
  <c r="M18" i="35"/>
  <c r="M33" i="35" s="1"/>
  <c r="B16" i="35" l="1"/>
  <c r="M16" i="36"/>
  <c r="M31" i="36" s="1"/>
  <c r="M31" i="35"/>
  <c r="B17" i="35"/>
  <c r="M17" i="36"/>
  <c r="M32" i="36" s="1"/>
  <c r="M32" i="35"/>
  <c r="B19" i="35"/>
  <c r="M19" i="36"/>
  <c r="M34" i="36" s="1"/>
  <c r="B18" i="35"/>
  <c r="M18" i="36"/>
  <c r="M33" i="36" s="1"/>
  <c r="B15" i="35"/>
  <c r="M15" i="36"/>
  <c r="M30" i="36" s="1"/>
  <c r="M30" i="35"/>
  <c r="G49" i="36"/>
  <c r="M12" i="35"/>
  <c r="M14" i="35"/>
  <c r="B12" i="35" l="1"/>
  <c r="M12" i="36"/>
  <c r="M27" i="36" s="1"/>
  <c r="M27" i="35"/>
  <c r="B14" i="35"/>
  <c r="M14" i="36"/>
  <c r="M29" i="36" s="1"/>
  <c r="M29" i="35"/>
  <c r="G50" i="36"/>
  <c r="M13" i="35"/>
  <c r="B13" i="35" l="1"/>
  <c r="M13" i="36"/>
  <c r="M28" i="36" s="1"/>
  <c r="M28" i="35"/>
  <c r="G52" i="36"/>
  <c r="G51" i="36"/>
  <c r="B20" i="36" l="1"/>
  <c r="B21" i="36"/>
  <c r="B18" i="36"/>
  <c r="B19" i="36"/>
  <c r="L64" i="36" l="1"/>
  <c r="L65" i="36"/>
  <c r="L67" i="36"/>
  <c r="K66" i="36"/>
  <c r="H65" i="36" l="1"/>
  <c r="K65" i="36"/>
  <c r="J65" i="36"/>
  <c r="E65" i="36"/>
  <c r="J64" i="36"/>
  <c r="E64" i="36"/>
  <c r="K64" i="36"/>
  <c r="H66" i="36"/>
  <c r="H64" i="36"/>
  <c r="E66" i="36"/>
  <c r="D64" i="36"/>
  <c r="F64" i="36"/>
  <c r="G64" i="36"/>
  <c r="I64" i="36"/>
  <c r="D65" i="36"/>
  <c r="F65" i="36"/>
  <c r="G65" i="36"/>
  <c r="I65" i="36"/>
  <c r="L66" i="36"/>
  <c r="J66" i="36"/>
  <c r="D66" i="36"/>
  <c r="F66" i="36"/>
  <c r="G66" i="36"/>
  <c r="I66" i="36"/>
  <c r="F67" i="36"/>
  <c r="G67" i="36"/>
  <c r="I67" i="36"/>
  <c r="K67" i="36"/>
  <c r="E67" i="36"/>
  <c r="H67" i="36"/>
  <c r="J67" i="36"/>
  <c r="D67" i="36" l="1"/>
  <c r="B64" i="36"/>
  <c r="F41" i="34" s="1"/>
  <c r="B65" i="36"/>
  <c r="F42" i="34" s="1"/>
  <c r="B66" i="36"/>
  <c r="F43" i="34" s="1"/>
  <c r="I62" i="35"/>
  <c r="H62" i="35"/>
  <c r="F62" i="35"/>
  <c r="D62" i="35"/>
  <c r="K63" i="35"/>
  <c r="I63" i="35"/>
  <c r="H63" i="35"/>
  <c r="F63" i="35"/>
  <c r="D63" i="35"/>
  <c r="L61" i="35"/>
  <c r="J61" i="35"/>
  <c r="G61" i="35"/>
  <c r="E61" i="35"/>
  <c r="L62" i="35"/>
  <c r="J62" i="35"/>
  <c r="G62" i="35"/>
  <c r="E62" i="35"/>
  <c r="L63" i="35"/>
  <c r="J63" i="35"/>
  <c r="G63" i="35"/>
  <c r="E63" i="35"/>
  <c r="K61" i="35"/>
  <c r="I61" i="35"/>
  <c r="H61" i="35"/>
  <c r="F61" i="35"/>
  <c r="D61" i="35"/>
  <c r="K62" i="35"/>
  <c r="G61" i="36" l="1"/>
  <c r="K61" i="36"/>
  <c r="H63" i="36"/>
  <c r="L63" i="36"/>
  <c r="H62" i="36"/>
  <c r="L62" i="36"/>
  <c r="H61" i="36"/>
  <c r="L61" i="36"/>
  <c r="F63" i="36"/>
  <c r="I63" i="36"/>
  <c r="G62" i="36"/>
  <c r="K62" i="36"/>
  <c r="F61" i="36"/>
  <c r="I61" i="36"/>
  <c r="E63" i="36"/>
  <c r="J63" i="36"/>
  <c r="E62" i="36"/>
  <c r="J62" i="36"/>
  <c r="E61" i="36"/>
  <c r="J61" i="36"/>
  <c r="G63" i="36"/>
  <c r="K63" i="36"/>
  <c r="F62" i="36"/>
  <c r="I62" i="36"/>
  <c r="D60" i="36"/>
  <c r="D61" i="36"/>
  <c r="D62" i="36"/>
  <c r="D63" i="36"/>
  <c r="B61" i="35"/>
  <c r="B62" i="35"/>
  <c r="B63" i="35"/>
  <c r="F18" i="34" s="1"/>
  <c r="E18" i="34" s="1"/>
  <c r="L60" i="36"/>
  <c r="E60" i="36"/>
  <c r="K60" i="36"/>
  <c r="I60" i="36"/>
  <c r="G60" i="36"/>
  <c r="F60" i="36"/>
  <c r="J60" i="36"/>
  <c r="H60" i="36"/>
  <c r="K60" i="35"/>
  <c r="K66" i="35"/>
  <c r="K65" i="35"/>
  <c r="K64" i="35"/>
  <c r="K67" i="35"/>
  <c r="I60" i="35"/>
  <c r="I66" i="35"/>
  <c r="I65" i="35"/>
  <c r="I64" i="35"/>
  <c r="I67" i="35"/>
  <c r="H60" i="35"/>
  <c r="H67" i="35"/>
  <c r="H66" i="35"/>
  <c r="H65" i="35"/>
  <c r="H64" i="35"/>
  <c r="F60" i="35"/>
  <c r="F67" i="35"/>
  <c r="F66" i="35"/>
  <c r="F65" i="35"/>
  <c r="F64" i="35"/>
  <c r="D60" i="35"/>
  <c r="D67" i="35"/>
  <c r="D66" i="35"/>
  <c r="D65" i="35"/>
  <c r="D64" i="35"/>
  <c r="L60" i="35"/>
  <c r="L67" i="35"/>
  <c r="L66" i="35"/>
  <c r="L65" i="35"/>
  <c r="L64" i="35"/>
  <c r="J60" i="35"/>
  <c r="J67" i="35"/>
  <c r="J66" i="35"/>
  <c r="J65" i="35"/>
  <c r="J64" i="35"/>
  <c r="G60" i="35"/>
  <c r="G67" i="35"/>
  <c r="G66" i="35"/>
  <c r="G65" i="35"/>
  <c r="G64" i="35"/>
  <c r="E60" i="35"/>
  <c r="E67" i="35"/>
  <c r="E66" i="35"/>
  <c r="E65" i="35"/>
  <c r="E64" i="35"/>
  <c r="B63" i="36" l="1"/>
  <c r="F40" i="34" s="1"/>
  <c r="E40" i="34" s="1"/>
  <c r="B62" i="36"/>
  <c r="F39" i="34" s="1"/>
  <c r="B61" i="36"/>
  <c r="F38" i="34" s="1"/>
  <c r="E38" i="34" s="1"/>
  <c r="F17" i="34"/>
  <c r="F16" i="34"/>
  <c r="E16" i="34" s="1"/>
  <c r="B15" i="36"/>
  <c r="B16" i="36"/>
  <c r="B17" i="36"/>
  <c r="B67" i="35"/>
  <c r="F22" i="34" s="1"/>
  <c r="B60" i="35"/>
  <c r="B66" i="35"/>
  <c r="F21" i="34" s="1"/>
  <c r="B64" i="35"/>
  <c r="F19" i="34" s="1"/>
  <c r="B65" i="35"/>
  <c r="F20" i="34" s="1"/>
  <c r="B60" i="36"/>
  <c r="F37" i="34" s="1"/>
  <c r="E37" i="34" s="1"/>
  <c r="E59" i="35"/>
  <c r="E57" i="35"/>
  <c r="G58" i="35"/>
  <c r="G25" i="35"/>
  <c r="G56" i="35" s="1"/>
  <c r="J58" i="35"/>
  <c r="J25" i="35"/>
  <c r="J56" i="35" s="1"/>
  <c r="L59" i="35"/>
  <c r="L57" i="35"/>
  <c r="D59" i="35"/>
  <c r="D57" i="35"/>
  <c r="F25" i="35"/>
  <c r="F56" i="35" s="1"/>
  <c r="F58" i="35"/>
  <c r="H59" i="35"/>
  <c r="H57" i="35"/>
  <c r="I58" i="35"/>
  <c r="K25" i="35"/>
  <c r="K56" i="35" s="1"/>
  <c r="K59" i="35"/>
  <c r="K57" i="35"/>
  <c r="E58" i="35"/>
  <c r="E25" i="35"/>
  <c r="E56" i="35" s="1"/>
  <c r="G59" i="35"/>
  <c r="G57" i="35"/>
  <c r="J59" i="35"/>
  <c r="J57" i="35"/>
  <c r="L58" i="35"/>
  <c r="L25" i="35"/>
  <c r="L56" i="35" s="1"/>
  <c r="D25" i="35"/>
  <c r="D58" i="35"/>
  <c r="F59" i="35"/>
  <c r="F57" i="35"/>
  <c r="H25" i="35"/>
  <c r="H56" i="35" s="1"/>
  <c r="H58" i="35"/>
  <c r="I25" i="35"/>
  <c r="I56" i="35" s="1"/>
  <c r="I57" i="35"/>
  <c r="K58" i="35"/>
  <c r="K35" i="34"/>
  <c r="K34" i="34"/>
  <c r="K13" i="34"/>
  <c r="K14" i="34"/>
  <c r="K36" i="34"/>
  <c r="K15" i="34"/>
  <c r="C23" i="34"/>
  <c r="C45" i="34"/>
  <c r="K37" i="34"/>
  <c r="K38" i="34"/>
  <c r="K39" i="34"/>
  <c r="G18" i="34"/>
  <c r="K40" i="34"/>
  <c r="K41" i="34"/>
  <c r="K42" i="34"/>
  <c r="K43" i="34"/>
  <c r="K44" i="34"/>
  <c r="K12" i="34"/>
  <c r="K16" i="34"/>
  <c r="K17" i="34"/>
  <c r="K18" i="34"/>
  <c r="G22" i="34" l="1"/>
  <c r="E22" i="34"/>
  <c r="E21" i="34"/>
  <c r="G21" i="34"/>
  <c r="E19" i="34"/>
  <c r="G19" i="34"/>
  <c r="G20" i="34"/>
  <c r="E20" i="34"/>
  <c r="E39" i="34"/>
  <c r="E17" i="34"/>
  <c r="F25" i="34"/>
  <c r="E28" i="40" s="1"/>
  <c r="F30" i="40" s="1"/>
  <c r="D56" i="35"/>
  <c r="G39" i="34"/>
  <c r="F57" i="36"/>
  <c r="J57" i="36"/>
  <c r="H57" i="36"/>
  <c r="K57" i="36"/>
  <c r="G57" i="36"/>
  <c r="L57" i="36"/>
  <c r="E57" i="36"/>
  <c r="I57" i="36"/>
  <c r="G38" i="34"/>
  <c r="G40" i="34"/>
  <c r="G16" i="34"/>
  <c r="K58" i="36"/>
  <c r="I59" i="36"/>
  <c r="G58" i="36"/>
  <c r="F59" i="36"/>
  <c r="J59" i="36"/>
  <c r="E58" i="36"/>
  <c r="K59" i="36"/>
  <c r="I58" i="36"/>
  <c r="L59" i="36"/>
  <c r="J58" i="36"/>
  <c r="H58" i="36"/>
  <c r="E59" i="36"/>
  <c r="G17" i="34"/>
  <c r="F15" i="34"/>
  <c r="E15" i="34" s="1"/>
  <c r="D58" i="36"/>
  <c r="D59" i="36"/>
  <c r="B14" i="36"/>
  <c r="B58" i="35"/>
  <c r="F13" i="34" s="1"/>
  <c r="B57" i="35"/>
  <c r="F12" i="34" s="1"/>
  <c r="I59" i="35"/>
  <c r="B59" i="35" s="1"/>
  <c r="F14" i="34" s="1"/>
  <c r="E68" i="35"/>
  <c r="E37" i="35"/>
  <c r="G37" i="34"/>
  <c r="D57" i="36"/>
  <c r="M25" i="35"/>
  <c r="I37" i="35"/>
  <c r="H68" i="35"/>
  <c r="H37" i="35"/>
  <c r="D37" i="35"/>
  <c r="L68" i="35"/>
  <c r="L37" i="35"/>
  <c r="K68" i="35"/>
  <c r="K37" i="35"/>
  <c r="F68" i="35"/>
  <c r="F37" i="35"/>
  <c r="J68" i="35"/>
  <c r="J37" i="35"/>
  <c r="G68" i="35"/>
  <c r="G37" i="35"/>
  <c r="R30" i="40" l="1"/>
  <c r="J13" i="40" s="1"/>
  <c r="K13" i="40" s="1"/>
  <c r="K14" i="40" s="1"/>
  <c r="L30" i="40"/>
  <c r="J70" i="35"/>
  <c r="I21" i="39" s="1"/>
  <c r="K70" i="35"/>
  <c r="J21" i="39" s="1"/>
  <c r="E70" i="35"/>
  <c r="D21" i="39" s="1"/>
  <c r="G70" i="35"/>
  <c r="G21" i="39" s="1"/>
  <c r="F70" i="35"/>
  <c r="E21" i="39" s="1"/>
  <c r="H70" i="35"/>
  <c r="F21" i="39" s="1"/>
  <c r="L70" i="35"/>
  <c r="K21" i="39" s="1"/>
  <c r="K11" i="34"/>
  <c r="D23" i="34"/>
  <c r="K23" i="34" s="1"/>
  <c r="B57" i="36"/>
  <c r="F34" i="34" s="1"/>
  <c r="E34" i="34" s="1"/>
  <c r="E12" i="34"/>
  <c r="G12" i="34"/>
  <c r="G59" i="36"/>
  <c r="H59" i="36"/>
  <c r="L58" i="36"/>
  <c r="F58" i="36"/>
  <c r="G15" i="34"/>
  <c r="B10" i="36"/>
  <c r="B11" i="36"/>
  <c r="B12" i="36"/>
  <c r="I68" i="35"/>
  <c r="B13" i="36"/>
  <c r="E14" i="34"/>
  <c r="G14" i="34"/>
  <c r="D68" i="35"/>
  <c r="D70" i="35" s="1"/>
  <c r="C21" i="39" s="1"/>
  <c r="M37" i="35"/>
  <c r="E13" i="34"/>
  <c r="G13" i="34"/>
  <c r="B56" i="35"/>
  <c r="F11" i="34" s="1"/>
  <c r="E11" i="34" s="1"/>
  <c r="I70" i="35" l="1"/>
  <c r="H21" i="39" s="1"/>
  <c r="G34" i="34"/>
  <c r="B59" i="36"/>
  <c r="F36" i="34" s="1"/>
  <c r="E36" i="34" s="1"/>
  <c r="B58" i="36"/>
  <c r="F35" i="34" s="1"/>
  <c r="G35" i="34" s="1"/>
  <c r="G11" i="34"/>
  <c r="G36" i="34" l="1"/>
  <c r="E35" i="34"/>
  <c r="B68" i="35" l="1"/>
  <c r="AP30" i="40" s="1"/>
  <c r="AH13" i="40" l="1"/>
  <c r="AC11" i="40" s="1"/>
  <c r="B67" i="36"/>
  <c r="F44" i="34" s="1"/>
  <c r="AI13" i="40" l="1"/>
  <c r="AI14" i="40" s="1"/>
  <c r="E44" i="34" l="1"/>
  <c r="G44" i="34"/>
  <c r="E43" i="34" l="1"/>
  <c r="E42" i="34"/>
  <c r="E41" i="34"/>
  <c r="G42" i="34" l="1"/>
  <c r="F23" i="34"/>
  <c r="G41" i="34"/>
  <c r="G43" i="34"/>
  <c r="K22" i="40" l="1"/>
  <c r="L26" i="40" s="1"/>
  <c r="L32" i="40" s="1"/>
  <c r="H13" i="34" s="1"/>
  <c r="H14" i="34" s="1"/>
  <c r="H15" i="34" s="1"/>
  <c r="H16" i="34" s="1"/>
  <c r="H17" i="34" s="1"/>
  <c r="H18" i="34" s="1"/>
  <c r="H19" i="34" s="1"/>
  <c r="H20" i="34" s="1"/>
  <c r="H21" i="34" s="1"/>
  <c r="H22" i="34" s="1"/>
  <c r="E16" i="40"/>
  <c r="E22" i="40" s="1"/>
  <c r="F26" i="40" s="1"/>
  <c r="F32" i="40" s="1"/>
  <c r="F36" i="40" s="1"/>
  <c r="F47" i="34"/>
  <c r="E62" i="40" s="1"/>
  <c r="F64" i="40" s="1"/>
  <c r="W28" i="40"/>
  <c r="X30" i="40" s="1"/>
  <c r="Q13" i="40" s="1"/>
  <c r="AC28" i="40"/>
  <c r="AD30" i="40" s="1"/>
  <c r="V13" i="40" s="1"/>
  <c r="AO22" i="40"/>
  <c r="AP26" i="40" s="1"/>
  <c r="AP32" i="40" s="1"/>
  <c r="E23" i="34"/>
  <c r="G23" i="34"/>
  <c r="R64" i="40" l="1"/>
  <c r="J47" i="40" s="1"/>
  <c r="K47" i="40" s="1"/>
  <c r="K48" i="40" s="1"/>
  <c r="L64" i="40"/>
  <c r="W13" i="40"/>
  <c r="W14" i="40" s="1"/>
  <c r="W22" i="40" s="1"/>
  <c r="X26" i="40" s="1"/>
  <c r="X32" i="40" s="1"/>
  <c r="Q11" i="40"/>
  <c r="Q14" i="40" s="1"/>
  <c r="Q22" i="40" s="1"/>
  <c r="R26" i="40" s="1"/>
  <c r="R32" i="40" s="1"/>
  <c r="H11" i="34" s="1"/>
  <c r="H12" i="34" s="1"/>
  <c r="W62" i="40"/>
  <c r="X64" i="40" s="1"/>
  <c r="Q47" i="40" s="1"/>
  <c r="AC62" i="40"/>
  <c r="AD64" i="40" s="1"/>
  <c r="V47" i="40" s="1"/>
  <c r="AI62" i="40"/>
  <c r="AJ64" i="40" s="1"/>
  <c r="AC47" i="40" s="1"/>
  <c r="AI28" i="40"/>
  <c r="AJ30" i="40" s="1"/>
  <c r="AC13" i="40" s="1"/>
  <c r="AC14" i="40" s="1"/>
  <c r="AC22" i="40" s="1"/>
  <c r="AD26" i="40" s="1"/>
  <c r="AD32" i="40" s="1"/>
  <c r="AI22" i="40"/>
  <c r="AJ26" i="40" s="1"/>
  <c r="AO56" i="40"/>
  <c r="AP60" i="40" s="1"/>
  <c r="I13" i="34" l="1"/>
  <c r="I12" i="34"/>
  <c r="I11" i="34"/>
  <c r="W47" i="40"/>
  <c r="W48" i="40" s="1"/>
  <c r="W56" i="40" s="1"/>
  <c r="X60" i="40" s="1"/>
  <c r="X66" i="40" s="1"/>
  <c r="Q45" i="40"/>
  <c r="Q48" i="40" s="1"/>
  <c r="Q56" i="40" s="1"/>
  <c r="R60" i="40" s="1"/>
  <c r="R66" i="40" s="1"/>
  <c r="H33" i="34" s="1"/>
  <c r="H34" i="34" s="1"/>
  <c r="AJ32" i="40"/>
  <c r="AP64" i="40"/>
  <c r="AH47" i="40" s="1"/>
  <c r="D25" i="36"/>
  <c r="D56" i="36" s="1"/>
  <c r="D68" i="36" s="1"/>
  <c r="B37" i="36"/>
  <c r="G25" i="36"/>
  <c r="G56" i="36" s="1"/>
  <c r="G68" i="36" s="1"/>
  <c r="L25" i="36"/>
  <c r="L37" i="36" s="1"/>
  <c r="H25" i="36"/>
  <c r="H37" i="36" s="1"/>
  <c r="E25" i="36"/>
  <c r="E56" i="36" s="1"/>
  <c r="E68" i="36" s="1"/>
  <c r="K25" i="36"/>
  <c r="K37" i="36" s="1"/>
  <c r="M25" i="36"/>
  <c r="M37" i="36" s="1"/>
  <c r="F25" i="36"/>
  <c r="F56" i="36" s="1"/>
  <c r="F68" i="36" s="1"/>
  <c r="J25" i="36"/>
  <c r="J37" i="36" s="1"/>
  <c r="I25" i="36"/>
  <c r="I37" i="36" s="1"/>
  <c r="D45" i="34"/>
  <c r="K45" i="34" s="1"/>
  <c r="C25" i="36"/>
  <c r="C37" i="36" s="1"/>
  <c r="H56" i="36" l="1"/>
  <c r="H68" i="36" s="1"/>
  <c r="K56" i="36"/>
  <c r="K68" i="36" s="1"/>
  <c r="E37" i="36"/>
  <c r="I34" i="34"/>
  <c r="I33" i="34"/>
  <c r="AC45" i="40"/>
  <c r="AC48" i="40" s="1"/>
  <c r="AC56" i="40" s="1"/>
  <c r="AD60" i="40" s="1"/>
  <c r="AD66" i="40" s="1"/>
  <c r="AI47" i="40"/>
  <c r="AI48" i="40" s="1"/>
  <c r="AI56" i="40" s="1"/>
  <c r="AJ60" i="40" s="1"/>
  <c r="AJ66" i="40" s="1"/>
  <c r="AP66" i="40"/>
  <c r="I14" i="34"/>
  <c r="C56" i="36"/>
  <c r="C68" i="36" s="1"/>
  <c r="I56" i="36"/>
  <c r="I68" i="36" s="1"/>
  <c r="K33" i="34"/>
  <c r="J56" i="36"/>
  <c r="J68" i="36" s="1"/>
  <c r="F37" i="36"/>
  <c r="L56" i="36"/>
  <c r="L68" i="36" s="1"/>
  <c r="G37" i="36"/>
  <c r="D37" i="36"/>
  <c r="I15" i="34" l="1"/>
  <c r="B56" i="36"/>
  <c r="I16" i="34" l="1"/>
  <c r="B68" i="36"/>
  <c r="F33" i="34"/>
  <c r="I17" i="34" l="1"/>
  <c r="E33" i="34"/>
  <c r="E45" i="34" s="1"/>
  <c r="G33" i="34"/>
  <c r="F45" i="34"/>
  <c r="E50" i="40" s="1"/>
  <c r="E56" i="40" s="1"/>
  <c r="F60" i="40" s="1"/>
  <c r="F66" i="40" s="1"/>
  <c r="I18" i="34" l="1"/>
  <c r="G45" i="34"/>
  <c r="K56" i="40"/>
  <c r="L60" i="40" s="1"/>
  <c r="L66" i="40" s="1"/>
  <c r="H35" i="34" s="1"/>
  <c r="I35" i="34" l="1"/>
  <c r="H36" i="34"/>
  <c r="I19" i="34"/>
  <c r="H37" i="34" l="1"/>
  <c r="I36" i="34"/>
  <c r="I20" i="34"/>
  <c r="I37" i="34" l="1"/>
  <c r="H38" i="34"/>
  <c r="I22" i="34"/>
  <c r="I21" i="34"/>
  <c r="H39" i="34" l="1"/>
  <c r="I38" i="34"/>
  <c r="I23" i="34"/>
  <c r="H23" i="34" s="1"/>
  <c r="H40" i="34" l="1"/>
  <c r="I39" i="34"/>
  <c r="I40" i="34" l="1"/>
  <c r="H41" i="34"/>
  <c r="I41" i="34" l="1"/>
  <c r="H42" i="34"/>
  <c r="H43" i="34" l="1"/>
  <c r="I42" i="34"/>
  <c r="H44" i="34" l="1"/>
  <c r="I44" i="34" s="1"/>
  <c r="I43" i="34"/>
  <c r="I45" i="34" s="1"/>
  <c r="H4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WMI-USER</author>
  </authors>
  <commentList>
    <comment ref="K7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$0/ton….value pays for outbound freight.
</t>
        </r>
      </text>
    </comment>
  </commentList>
</comments>
</file>

<file path=xl/sharedStrings.xml><?xml version="1.0" encoding="utf-8"?>
<sst xmlns="http://schemas.openxmlformats.org/spreadsheetml/2006/main" count="712" uniqueCount="165">
  <si>
    <t>Tons</t>
  </si>
  <si>
    <t>UBC</t>
  </si>
  <si>
    <t>HDPE</t>
  </si>
  <si>
    <t>PET</t>
  </si>
  <si>
    <t>Glass</t>
  </si>
  <si>
    <t>January</t>
  </si>
  <si>
    <t>February</t>
  </si>
  <si>
    <t>Revenue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</si>
  <si>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</si>
  <si>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</si>
  <si>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</si>
  <si>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</si>
  <si>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</si>
  <si>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</si>
  <si>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</si>
  <si>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</si>
  <si>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</si>
  <si>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</si>
  <si>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WM - Brem-Air</t>
  </si>
  <si>
    <t>Residential</t>
  </si>
  <si>
    <t>Multi-family</t>
  </si>
  <si>
    <t>Weighted</t>
  </si>
  <si>
    <t>Total</t>
  </si>
  <si>
    <t>Res'l</t>
  </si>
  <si>
    <t>MF</t>
  </si>
  <si>
    <t>Average</t>
  </si>
  <si>
    <t>Revenue/</t>
  </si>
  <si>
    <t>Credit/</t>
  </si>
  <si>
    <t>Credits</t>
  </si>
  <si>
    <t>lbs./</t>
  </si>
  <si>
    <t>Customers</t>
  </si>
  <si>
    <t>Rate/ton</t>
  </si>
  <si>
    <t>Customer</t>
  </si>
  <si>
    <t>Billed</t>
  </si>
  <si>
    <t>Unit</t>
  </si>
  <si>
    <t>Oct</t>
  </si>
  <si>
    <t>Nov</t>
  </si>
  <si>
    <t>Dec</t>
  </si>
  <si>
    <t>Feb</t>
  </si>
  <si>
    <t>Mar</t>
  </si>
  <si>
    <t>Apr</t>
  </si>
  <si>
    <t>Jun</t>
  </si>
  <si>
    <t>Jul</t>
  </si>
  <si>
    <t>Aug</t>
  </si>
  <si>
    <t>Prior 12 Months</t>
  </si>
  <si>
    <t>Jan</t>
  </si>
  <si>
    <t>Baled</t>
  </si>
  <si>
    <t>Steel Cans</t>
  </si>
  <si>
    <t>Mixed</t>
  </si>
  <si>
    <t>MP</t>
  </si>
  <si>
    <t>OCC</t>
  </si>
  <si>
    <t>Aluminum</t>
  </si>
  <si>
    <t>Tin</t>
  </si>
  <si>
    <t>Natural</t>
  </si>
  <si>
    <t>Colored</t>
  </si>
  <si>
    <t>Plastics</t>
  </si>
  <si>
    <t>SS Mix:</t>
  </si>
  <si>
    <t>Price/ton:</t>
  </si>
  <si>
    <t>Sep</t>
  </si>
  <si>
    <t>SS Tons</t>
  </si>
  <si>
    <t>Revenue:</t>
  </si>
  <si>
    <t>Brem-Air commodity adjustment</t>
  </si>
  <si>
    <t>Based on previous UTC Staff analyses</t>
  </si>
  <si>
    <t>Commodity</t>
  </si>
  <si>
    <t>Credit</t>
  </si>
  <si>
    <t>Sep - Oct projected value without adjustment factor</t>
  </si>
  <si>
    <t>Nov - Aug projected value without adjustment factor</t>
  </si>
  <si>
    <t>Actual Commodity Revenue (gross revenue from affiliated processor)</t>
  </si>
  <si>
    <t>Owe Customer (company)</t>
  </si>
  <si>
    <t>Total Customers</t>
  </si>
  <si>
    <t>Commodity Adjustment</t>
  </si>
  <si>
    <t>Projected Value</t>
  </si>
  <si>
    <t>Residential Commodity Adjustment</t>
  </si>
  <si>
    <t>Multi-family Commodity Adjustment</t>
  </si>
  <si>
    <t>Brem-Air Disposal</t>
  </si>
  <si>
    <t>WUTC Recycling Counts</t>
  </si>
  <si>
    <t>M/F</t>
  </si>
  <si>
    <t>Counts</t>
  </si>
  <si>
    <t>Units</t>
  </si>
  <si>
    <t>Average Count</t>
  </si>
  <si>
    <t>Projected Revenue Sep 2013-Aug 2014</t>
  </si>
  <si>
    <t>Month</t>
  </si>
  <si>
    <t>Passback Price/ton schedule</t>
  </si>
  <si>
    <t>ONP 6</t>
  </si>
  <si>
    <t>Mixed Paper</t>
  </si>
  <si>
    <t>Alum.</t>
  </si>
  <si>
    <t>Plastics 3-7</t>
  </si>
  <si>
    <t>Residue</t>
  </si>
  <si>
    <t>Summary of Single Stream Commodity Mix and Prices</t>
  </si>
  <si>
    <t>Residential Tonnage</t>
  </si>
  <si>
    <t>MF Tonnage</t>
  </si>
  <si>
    <t>WUTC</t>
  </si>
  <si>
    <t>Non -reg</t>
  </si>
  <si>
    <t>ONP</t>
  </si>
  <si>
    <t>%</t>
  </si>
  <si>
    <t>Reg.</t>
  </si>
  <si>
    <t>2014-2015</t>
  </si>
  <si>
    <t>Projected Revenue Sep 2014-Aug 2015</t>
  </si>
  <si>
    <t>2015-2016</t>
  </si>
  <si>
    <t>Newspaper</t>
  </si>
  <si>
    <t>Delivered</t>
  </si>
  <si>
    <t>Projected Revenue Sep 2015-Aug 2016</t>
  </si>
  <si>
    <t>Single</t>
  </si>
  <si>
    <t>Family</t>
  </si>
  <si>
    <t>Single Family</t>
  </si>
  <si>
    <t>Multi-Family</t>
  </si>
  <si>
    <t>Tonnage Delivered to JMK Recycling</t>
  </si>
  <si>
    <t>2016-2017</t>
  </si>
  <si>
    <t>Projected Revenue Sep 2016-Aug 2017</t>
  </si>
  <si>
    <t>2017-2018</t>
  </si>
  <si>
    <t>Projected Revenue Sep 2017-Aug 2018</t>
  </si>
  <si>
    <t>Weighted Average</t>
  </si>
  <si>
    <t>2018-2019</t>
  </si>
  <si>
    <t>Row Labels</t>
  </si>
  <si>
    <t>Rate</t>
  </si>
  <si>
    <t># of</t>
  </si>
  <si>
    <t>MF units</t>
  </si>
  <si>
    <t>Amounts</t>
  </si>
  <si>
    <t>45R</t>
  </si>
  <si>
    <t>BW1</t>
  </si>
  <si>
    <t>BW4</t>
  </si>
  <si>
    <t>BWM</t>
  </si>
  <si>
    <t>Projected Revenue Sep 2018-Aug 2019 (annualization of most recent six months)</t>
  </si>
  <si>
    <t>Billed Revenue</t>
  </si>
  <si>
    <t>Commodity Prices at JMK</t>
  </si>
  <si>
    <t>Calculation of the Number of MF Units</t>
  </si>
  <si>
    <t>Most Recent 6 months</t>
  </si>
  <si>
    <t>2019-2020</t>
  </si>
  <si>
    <t>Projected Revenue Sep 2018-Aug 2019</t>
  </si>
  <si>
    <t>Projected Revenue Sep 2019-Aug 2020 (annualization of most recent six months)</t>
  </si>
  <si>
    <t>Total Company</t>
  </si>
  <si>
    <t>Sold</t>
  </si>
  <si>
    <t>Sep., 2019</t>
  </si>
  <si>
    <t>Jan., 2020</t>
  </si>
  <si>
    <t>Sep; 2019</t>
  </si>
  <si>
    <t>Jan; 2020</t>
  </si>
  <si>
    <t>Bremerton</t>
  </si>
  <si>
    <t>Port</t>
  </si>
  <si>
    <t>Orchard</t>
  </si>
  <si>
    <t>Composition</t>
  </si>
  <si>
    <t>Mix Paper</t>
  </si>
  <si>
    <t>HDPE Natl</t>
  </si>
  <si>
    <t>HDPE Col</t>
  </si>
  <si>
    <t>#3 - 7</t>
  </si>
  <si>
    <t>Tin Cans</t>
  </si>
  <si>
    <t>E</t>
  </si>
  <si>
    <t>G</t>
  </si>
  <si>
    <t>I</t>
  </si>
  <si>
    <t>K</t>
  </si>
  <si>
    <t>M</t>
  </si>
  <si>
    <t>O</t>
  </si>
  <si>
    <t>Q</t>
  </si>
  <si>
    <t>S</t>
  </si>
  <si>
    <t>U</t>
  </si>
  <si>
    <t>W</t>
  </si>
  <si>
    <t>Y</t>
  </si>
  <si>
    <t>2020-2021</t>
  </si>
  <si>
    <t>Projected Revenue Sep 2019-Aug 2020</t>
  </si>
  <si>
    <t>Projected Revenue Sep 2020-Aug 2021 (annualization of most recent six months)</t>
  </si>
  <si>
    <t>Estimated cost of customer notice letters</t>
  </si>
  <si>
    <t>Residential Commodity Adjustment - as including cost of customer notices</t>
  </si>
  <si>
    <t xml:space="preserve">September 2019 - August 2020 </t>
  </si>
  <si>
    <t xml:space="preserve">Tonnage Delivered to JMK Recycling </t>
  </si>
  <si>
    <t>Residential Commodity Adjustment credit (charge)</t>
  </si>
  <si>
    <t>Multi-Family Commodity Adjustment credit (charge)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</si>
</sst>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</numFmts>
  <fonts count="4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Comic Sans MS"/>
      <family val="4"/>
    </font>
    <font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sz val="9"/>
      <color theme="1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1"/>
      <name val="Comic Sans MS"/>
      <family val="4"/>
    </font>
    <font>
      <b/>
      <u val="doubleAccounting"/>
      <sz val="10"/>
      <color theme="1"/>
      <name val="Arial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1" applyNumberFormat="0" applyFill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9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Protection="1"/>
    <xf numFmtId="164" fontId="1" fillId="0" borderId="0" xfId="2" applyNumberFormat="1" applyFont="1"/>
    <xf numFmtId="43" fontId="0" fillId="0" borderId="0" xfId="0" applyNumberFormat="1"/>
    <xf numFmtId="44" fontId="0" fillId="0" borderId="0" xfId="3" applyFont="1"/>
    <xf numFmtId="165" fontId="1" fillId="0" borderId="0" xfId="3" applyNumberFormat="1" applyFont="1" applyBorder="1" applyAlignment="1" applyProtection="1">
      <alignment horizontal="center"/>
    </xf>
    <xf numFmtId="165" fontId="0" fillId="0" borderId="0" xfId="3" applyNumberFormat="1" applyFont="1"/>
    <xf numFmtId="43" fontId="0" fillId="0" borderId="0" xfId="2" applyFont="1"/>
    <xf numFmtId="44" fontId="1" fillId="0" borderId="0" xfId="3" applyFont="1"/>
    <xf numFmtId="164" fontId="12" fillId="0" borderId="0" xfId="2" applyNumberFormat="1" applyFont="1"/>
    <xf numFmtId="43" fontId="12" fillId="0" borderId="0" xfId="0" applyNumberFormat="1" applyFont="1"/>
    <xf numFmtId="44" fontId="12" fillId="0" borderId="0" xfId="3" applyFont="1"/>
    <xf numFmtId="165" fontId="12" fillId="0" borderId="0" xfId="3" applyNumberFormat="1" applyFont="1" applyBorder="1" applyAlignment="1" applyProtection="1">
      <alignment horizontal="center"/>
    </xf>
    <xf numFmtId="165" fontId="12" fillId="0" borderId="0" xfId="3" applyNumberFormat="1" applyFont="1"/>
    <xf numFmtId="43" fontId="12" fillId="0" borderId="0" xfId="2" applyFont="1"/>
    <xf numFmtId="0" fontId="12" fillId="0" borderId="0" xfId="0" applyFont="1"/>
    <xf numFmtId="164" fontId="13" fillId="0" borderId="0" xfId="0" applyNumberFormat="1" applyFont="1"/>
    <xf numFmtId="43" fontId="13" fillId="0" borderId="0" xfId="0" applyNumberFormat="1" applyFont="1"/>
    <xf numFmtId="44" fontId="13" fillId="0" borderId="0" xfId="0" applyNumberFormat="1" applyFont="1" applyProtection="1"/>
    <xf numFmtId="165" fontId="13" fillId="0" borderId="0" xfId="3" applyNumberFormat="1" applyFont="1" applyProtection="1"/>
    <xf numFmtId="44" fontId="13" fillId="0" borderId="0" xfId="3" applyFont="1"/>
    <xf numFmtId="0" fontId="14" fillId="0" borderId="0" xfId="0" applyFont="1"/>
    <xf numFmtId="43" fontId="13" fillId="0" borderId="0" xfId="2" applyFont="1"/>
    <xf numFmtId="0" fontId="13" fillId="0" borderId="0" xfId="0" applyFont="1"/>
    <xf numFmtId="44" fontId="0" fillId="0" borderId="0" xfId="0" applyNumberFormat="1"/>
    <xf numFmtId="165" fontId="13" fillId="0" borderId="0" xfId="0" applyNumberFormat="1" applyFont="1"/>
    <xf numFmtId="0" fontId="1" fillId="0" borderId="0" xfId="4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0" fontId="0" fillId="0" borderId="0" xfId="0" applyNumberFormat="1"/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2" applyNumberFormat="1" applyFont="1"/>
    <xf numFmtId="164" fontId="24" fillId="0" borderId="0" xfId="2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center"/>
    </xf>
    <xf numFmtId="0" fontId="5" fillId="2" borderId="14" xfId="0" applyFont="1" applyFill="1" applyBorder="1"/>
    <xf numFmtId="0" fontId="0" fillId="2" borderId="14" xfId="0" applyFill="1" applyBorder="1"/>
    <xf numFmtId="0" fontId="5" fillId="2" borderId="14" xfId="0" applyFont="1" applyFill="1" applyBorder="1" applyAlignment="1">
      <alignment horizontal="center"/>
    </xf>
    <xf numFmtId="0" fontId="0" fillId="0" borderId="14" xfId="0" applyBorder="1"/>
    <xf numFmtId="0" fontId="5" fillId="2" borderId="14" xfId="0" applyFont="1" applyFill="1" applyBorder="1" applyAlignment="1" applyProtection="1">
      <alignment horizontal="center"/>
    </xf>
    <xf numFmtId="0" fontId="0" fillId="0" borderId="14" xfId="0" applyFill="1" applyBorder="1"/>
    <xf numFmtId="0" fontId="3" fillId="0" borderId="14" xfId="0" applyFont="1" applyFill="1" applyBorder="1"/>
    <xf numFmtId="10" fontId="0" fillId="0" borderId="0" xfId="5" applyNumberFormat="1" applyFont="1"/>
    <xf numFmtId="0" fontId="6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0" fontId="1" fillId="0" borderId="0" xfId="5" applyNumberFormat="1" applyFont="1" applyAlignment="1">
      <alignment horizontal="right"/>
    </xf>
    <xf numFmtId="10" fontId="1" fillId="0" borderId="0" xfId="4" applyNumberFormat="1" applyFont="1" applyAlignment="1">
      <alignment horizontal="right"/>
    </xf>
    <xf numFmtId="10" fontId="1" fillId="0" borderId="0" xfId="5" applyNumberFormat="1" applyFont="1"/>
    <xf numFmtId="44" fontId="5" fillId="0" borderId="14" xfId="0" applyNumberFormat="1" applyFont="1" applyBorder="1"/>
    <xf numFmtId="0" fontId="1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4" fontId="1" fillId="0" borderId="0" xfId="0" applyNumberFormat="1" applyFont="1"/>
    <xf numFmtId="2" fontId="0" fillId="0" borderId="0" xfId="0" applyNumberFormat="1"/>
    <xf numFmtId="9" fontId="0" fillId="0" borderId="0" xfId="5" applyFont="1"/>
    <xf numFmtId="10" fontId="1" fillId="0" borderId="0" xfId="0" applyNumberFormat="1" applyFont="1"/>
    <xf numFmtId="2" fontId="30" fillId="0" borderId="0" xfId="0" applyNumberFormat="1" applyFont="1"/>
    <xf numFmtId="0" fontId="15" fillId="3" borderId="4" xfId="0" applyFont="1" applyFill="1" applyBorder="1"/>
    <xf numFmtId="0" fontId="15" fillId="3" borderId="5" xfId="0" applyFont="1" applyFill="1" applyBorder="1"/>
    <xf numFmtId="0" fontId="0" fillId="3" borderId="5" xfId="0" applyFill="1" applyBorder="1"/>
    <xf numFmtId="0" fontId="5" fillId="3" borderId="7" xfId="0" applyFont="1" applyFill="1" applyBorder="1"/>
    <xf numFmtId="0" fontId="5" fillId="3" borderId="0" xfId="0" applyFont="1" applyFill="1" applyBorder="1"/>
    <xf numFmtId="0" fontId="16" fillId="3" borderId="0" xfId="0" applyFont="1" applyFill="1" applyBorder="1"/>
    <xf numFmtId="0" fontId="0" fillId="3" borderId="0" xfId="0" applyFill="1" applyBorder="1"/>
    <xf numFmtId="15" fontId="5" fillId="3" borderId="7" xfId="0" applyNumberFormat="1" applyFont="1" applyFill="1" applyBorder="1"/>
    <xf numFmtId="15" fontId="5" fillId="3" borderId="0" xfId="0" applyNumberFormat="1" applyFont="1" applyFill="1" applyBorder="1"/>
    <xf numFmtId="0" fontId="0" fillId="3" borderId="7" xfId="0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9" fillId="3" borderId="9" xfId="0" applyFont="1" applyFill="1" applyBorder="1"/>
    <xf numFmtId="0" fontId="19" fillId="3" borderId="0" xfId="0" applyFont="1" applyFill="1" applyBorder="1"/>
    <xf numFmtId="0" fontId="0" fillId="3" borderId="0" xfId="0" applyFill="1" applyBorder="1" applyAlignment="1">
      <alignment horizontal="center"/>
    </xf>
    <xf numFmtId="0" fontId="1" fillId="3" borderId="7" xfId="0" applyFont="1" applyFill="1" applyBorder="1"/>
    <xf numFmtId="41" fontId="0" fillId="3" borderId="0" xfId="0" applyNumberFormat="1" applyFill="1" applyBorder="1"/>
    <xf numFmtId="44" fontId="20" fillId="3" borderId="0" xfId="3" applyFont="1" applyFill="1" applyBorder="1"/>
    <xf numFmtId="0" fontId="21" fillId="3" borderId="0" xfId="0" applyFont="1" applyFill="1" applyBorder="1"/>
    <xf numFmtId="41" fontId="12" fillId="3" borderId="0" xfId="0" applyNumberFormat="1" applyFont="1" applyFill="1" applyBorder="1"/>
    <xf numFmtId="41" fontId="5" fillId="3" borderId="0" xfId="0" applyNumberFormat="1" applyFont="1" applyFill="1" applyBorder="1"/>
    <xf numFmtId="164" fontId="0" fillId="3" borderId="0" xfId="0" applyNumberFormat="1" applyFill="1" applyBorder="1"/>
    <xf numFmtId="0" fontId="1" fillId="3" borderId="7" xfId="0" applyFont="1" applyFill="1" applyBorder="1" applyAlignment="1">
      <alignment horizontal="right"/>
    </xf>
    <xf numFmtId="44" fontId="1" fillId="3" borderId="0" xfId="3" applyFont="1" applyFill="1" applyBorder="1"/>
    <xf numFmtId="44" fontId="12" fillId="3" borderId="0" xfId="3" applyNumberFormat="1" applyFont="1" applyFill="1" applyBorder="1"/>
    <xf numFmtId="44" fontId="22" fillId="3" borderId="3" xfId="3" applyNumberFormat="1" applyFont="1" applyFill="1" applyBorder="1"/>
    <xf numFmtId="44" fontId="22" fillId="3" borderId="0" xfId="3" applyNumberFormat="1" applyFont="1" applyFill="1" applyBorder="1"/>
    <xf numFmtId="0" fontId="5" fillId="3" borderId="2" xfId="0" applyFont="1" applyFill="1" applyBorder="1" applyAlignment="1">
      <alignment horizontal="center"/>
    </xf>
    <xf numFmtId="44" fontId="1" fillId="3" borderId="0" xfId="3" applyNumberFormat="1" applyFont="1" applyFill="1" applyBorder="1"/>
    <xf numFmtId="165" fontId="1" fillId="3" borderId="0" xfId="3" applyNumberFormat="1" applyFont="1" applyFill="1" applyBorder="1"/>
    <xf numFmtId="43" fontId="12" fillId="3" borderId="0" xfId="0" applyNumberFormat="1" applyFont="1" applyFill="1" applyBorder="1"/>
    <xf numFmtId="44" fontId="22" fillId="3" borderId="3" xfId="3" applyFont="1" applyFill="1" applyBorder="1"/>
    <xf numFmtId="44" fontId="22" fillId="3" borderId="0" xfId="3" applyFont="1" applyFill="1" applyBorder="1"/>
    <xf numFmtId="164" fontId="23" fillId="0" borderId="0" xfId="10" applyNumberFormat="1" applyFont="1"/>
    <xf numFmtId="0" fontId="2" fillId="0" borderId="0" xfId="0" applyFont="1" applyAlignment="1">
      <alignment horizontal="center"/>
    </xf>
    <xf numFmtId="0" fontId="15" fillId="4" borderId="4" xfId="0" applyFont="1" applyFill="1" applyBorder="1"/>
    <xf numFmtId="0" fontId="15" fillId="4" borderId="5" xfId="0" applyFont="1" applyFill="1" applyBorder="1"/>
    <xf numFmtId="0" fontId="0" fillId="4" borderId="5" xfId="0" applyFill="1" applyBorder="1"/>
    <xf numFmtId="0" fontId="5" fillId="4" borderId="7" xfId="0" applyFont="1" applyFill="1" applyBorder="1"/>
    <xf numFmtId="0" fontId="5" fillId="4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15" fontId="5" fillId="4" borderId="7" xfId="0" applyNumberFormat="1" applyFont="1" applyFill="1" applyBorder="1"/>
    <xf numFmtId="15" fontId="5" fillId="4" borderId="0" xfId="0" applyNumberFormat="1" applyFont="1" applyFill="1" applyBorder="1"/>
    <xf numFmtId="0" fontId="0" fillId="4" borderId="7" xfId="0" applyFill="1" applyBorder="1"/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9" fillId="4" borderId="0" xfId="0" applyFont="1" applyFill="1" applyBorder="1"/>
    <xf numFmtId="0" fontId="0" fillId="4" borderId="0" xfId="0" applyFill="1" applyBorder="1" applyAlignment="1">
      <alignment horizontal="center"/>
    </xf>
    <xf numFmtId="0" fontId="1" fillId="4" borderId="7" xfId="0" applyFont="1" applyFill="1" applyBorder="1"/>
    <xf numFmtId="41" fontId="0" fillId="4" borderId="0" xfId="0" applyNumberFormat="1" applyFill="1" applyBorder="1"/>
    <xf numFmtId="44" fontId="20" fillId="4" borderId="0" xfId="3" applyFont="1" applyFill="1" applyBorder="1"/>
    <xf numFmtId="0" fontId="21" fillId="4" borderId="0" xfId="0" applyFont="1" applyFill="1" applyBorder="1"/>
    <xf numFmtId="41" fontId="12" fillId="4" borderId="0" xfId="0" applyNumberFormat="1" applyFont="1" applyFill="1" applyBorder="1"/>
    <xf numFmtId="41" fontId="5" fillId="4" borderId="0" xfId="0" applyNumberFormat="1" applyFont="1" applyFill="1" applyBorder="1"/>
    <xf numFmtId="164" fontId="0" fillId="4" borderId="0" xfId="0" applyNumberFormat="1" applyFill="1" applyBorder="1"/>
    <xf numFmtId="0" fontId="1" fillId="4" borderId="7" xfId="0" applyFont="1" applyFill="1" applyBorder="1" applyAlignment="1">
      <alignment horizontal="right"/>
    </xf>
    <xf numFmtId="44" fontId="1" fillId="4" borderId="0" xfId="3" applyFont="1" applyFill="1" applyBorder="1"/>
    <xf numFmtId="44" fontId="12" fillId="4" borderId="0" xfId="3" applyNumberFormat="1" applyFont="1" applyFill="1" applyBorder="1"/>
    <xf numFmtId="44" fontId="22" fillId="4" borderId="3" xfId="3" applyNumberFormat="1" applyFont="1" applyFill="1" applyBorder="1"/>
    <xf numFmtId="44" fontId="22" fillId="4" borderId="0" xfId="3" applyNumberFormat="1" applyFont="1" applyFill="1" applyBorder="1"/>
    <xf numFmtId="0" fontId="5" fillId="4" borderId="2" xfId="0" applyFont="1" applyFill="1" applyBorder="1" applyAlignment="1">
      <alignment horizontal="center"/>
    </xf>
    <xf numFmtId="44" fontId="1" fillId="4" borderId="0" xfId="3" applyNumberFormat="1" applyFont="1" applyFill="1" applyBorder="1"/>
    <xf numFmtId="165" fontId="1" fillId="4" borderId="0" xfId="3" applyNumberFormat="1" applyFont="1" applyFill="1" applyBorder="1"/>
    <xf numFmtId="43" fontId="12" fillId="4" borderId="0" xfId="0" applyNumberFormat="1" applyFont="1" applyFill="1" applyBorder="1"/>
    <xf numFmtId="44" fontId="22" fillId="4" borderId="3" xfId="3" applyFont="1" applyFill="1" applyBorder="1"/>
    <xf numFmtId="44" fontId="22" fillId="4" borderId="0" xfId="3" applyFont="1" applyFill="1" applyBorder="1"/>
    <xf numFmtId="10" fontId="1" fillId="0" borderId="0" xfId="5" applyNumberFormat="1" applyFont="1" applyFill="1" applyAlignment="1"/>
    <xf numFmtId="166" fontId="23" fillId="0" borderId="0" xfId="5" applyNumberFormat="1" applyFont="1"/>
    <xf numFmtId="166" fontId="29" fillId="0" borderId="0" xfId="5" applyNumberFormat="1" applyFont="1"/>
    <xf numFmtId="167" fontId="20" fillId="4" borderId="0" xfId="3" applyNumberFormat="1" applyFont="1" applyFill="1" applyBorder="1"/>
    <xf numFmtId="44" fontId="20" fillId="4" borderId="0" xfId="3" applyNumberFormat="1" applyFont="1" applyFill="1" applyBorder="1"/>
    <xf numFmtId="44" fontId="21" fillId="0" borderId="14" xfId="3" applyFont="1" applyFill="1" applyBorder="1" applyProtection="1">
      <protection locked="0"/>
    </xf>
    <xf numFmtId="166" fontId="24" fillId="0" borderId="0" xfId="5" applyNumberFormat="1" applyFont="1"/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" fillId="0" borderId="0" xfId="0" quotePrefix="1" applyFont="1" applyAlignment="1"/>
    <xf numFmtId="43" fontId="0" fillId="0" borderId="0" xfId="0" applyNumberFormat="1" applyAlignment="1"/>
    <xf numFmtId="2" fontId="0" fillId="0" borderId="0" xfId="0" applyNumberFormat="1" applyAlignment="1"/>
    <xf numFmtId="2" fontId="30" fillId="0" borderId="0" xfId="0" applyNumberFormat="1" applyFont="1" applyAlignment="1"/>
    <xf numFmtId="43" fontId="13" fillId="0" borderId="0" xfId="0" applyNumberFormat="1" applyFont="1" applyAlignment="1"/>
    <xf numFmtId="2" fontId="32" fillId="0" borderId="0" xfId="0" applyNumberFormat="1" applyFont="1" applyAlignment="1"/>
    <xf numFmtId="10" fontId="32" fillId="0" borderId="0" xfId="5" applyNumberFormat="1" applyFont="1" applyAlignment="1"/>
    <xf numFmtId="0" fontId="31" fillId="0" borderId="0" xfId="0" applyFont="1" applyBorder="1" applyAlignment="1"/>
    <xf numFmtId="10" fontId="0" fillId="0" borderId="0" xfId="0" applyNumberFormat="1" applyAlignment="1"/>
    <xf numFmtId="43" fontId="0" fillId="0" borderId="0" xfId="2" applyFont="1" applyAlignment="1"/>
    <xf numFmtId="43" fontId="12" fillId="0" borderId="0" xfId="2" applyFont="1" applyAlignment="1"/>
    <xf numFmtId="0" fontId="15" fillId="5" borderId="4" xfId="0" applyFont="1" applyFill="1" applyBorder="1"/>
    <xf numFmtId="0" fontId="15" fillId="5" borderId="5" xfId="0" applyFont="1" applyFill="1" applyBorder="1"/>
    <xf numFmtId="0" fontId="0" fillId="5" borderId="5" xfId="0" applyFill="1" applyBorder="1"/>
    <xf numFmtId="0" fontId="5" fillId="5" borderId="7" xfId="0" applyFont="1" applyFill="1" applyBorder="1"/>
    <xf numFmtId="0" fontId="5" fillId="5" borderId="0" xfId="0" applyFont="1" applyFill="1" applyBorder="1"/>
    <xf numFmtId="0" fontId="16" fillId="5" borderId="0" xfId="0" applyFont="1" applyFill="1" applyBorder="1"/>
    <xf numFmtId="0" fontId="0" fillId="5" borderId="0" xfId="0" applyFill="1" applyBorder="1"/>
    <xf numFmtId="15" fontId="5" fillId="5" borderId="7" xfId="0" applyNumberFormat="1" applyFont="1" applyFill="1" applyBorder="1"/>
    <xf numFmtId="15" fontId="5" fillId="5" borderId="0" xfId="0" applyNumberFormat="1" applyFont="1" applyFill="1" applyBorder="1"/>
    <xf numFmtId="0" fontId="0" fillId="5" borderId="7" xfId="0" applyFill="1" applyBorder="1"/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9" fillId="5" borderId="9" xfId="0" applyFont="1" applyFill="1" applyBorder="1"/>
    <xf numFmtId="0" fontId="19" fillId="5" borderId="0" xfId="0" applyFont="1" applyFill="1" applyBorder="1"/>
    <xf numFmtId="0" fontId="0" fillId="5" borderId="0" xfId="0" applyFill="1" applyBorder="1" applyAlignment="1">
      <alignment horizontal="center"/>
    </xf>
    <xf numFmtId="0" fontId="1" fillId="5" borderId="7" xfId="0" applyFont="1" applyFill="1" applyBorder="1"/>
    <xf numFmtId="41" fontId="0" fillId="5" borderId="0" xfId="0" applyNumberFormat="1" applyFill="1" applyBorder="1"/>
    <xf numFmtId="44" fontId="20" fillId="5" borderId="0" xfId="3" applyNumberFormat="1" applyFont="1" applyFill="1" applyBorder="1"/>
    <xf numFmtId="167" fontId="20" fillId="5" borderId="0" xfId="3" applyNumberFormat="1" applyFont="1" applyFill="1" applyBorder="1"/>
    <xf numFmtId="0" fontId="21" fillId="5" borderId="0" xfId="0" applyFont="1" applyFill="1" applyBorder="1"/>
    <xf numFmtId="41" fontId="12" fillId="5" borderId="0" xfId="0" applyNumberFormat="1" applyFont="1" applyFill="1" applyBorder="1"/>
    <xf numFmtId="41" fontId="5" fillId="5" borderId="0" xfId="0" applyNumberFormat="1" applyFont="1" applyFill="1" applyBorder="1"/>
    <xf numFmtId="164" fontId="0" fillId="5" borderId="0" xfId="0" applyNumberFormat="1" applyFill="1" applyBorder="1"/>
    <xf numFmtId="0" fontId="1" fillId="5" borderId="7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center"/>
    </xf>
    <xf numFmtId="44" fontId="20" fillId="5" borderId="0" xfId="3" applyFont="1" applyFill="1" applyBorder="1"/>
    <xf numFmtId="165" fontId="1" fillId="5" borderId="0" xfId="3" applyNumberFormat="1" applyFont="1" applyFill="1" applyBorder="1"/>
    <xf numFmtId="0" fontId="0" fillId="5" borderId="12" xfId="0" applyFill="1" applyBorder="1"/>
    <xf numFmtId="2" fontId="0" fillId="0" borderId="0" xfId="0" applyNumberFormat="1" applyFill="1" applyAlignment="1"/>
    <xf numFmtId="43" fontId="12" fillId="0" borderId="0" xfId="0" applyNumberFormat="1" applyFont="1" applyFill="1" applyAlignment="1"/>
    <xf numFmtId="2" fontId="30" fillId="0" borderId="0" xfId="0" applyNumberFormat="1" applyFont="1" applyFill="1" applyAlignment="1"/>
    <xf numFmtId="10" fontId="30" fillId="0" borderId="0" xfId="5" applyNumberFormat="1" applyFont="1" applyFill="1" applyAlignment="1"/>
    <xf numFmtId="0" fontId="15" fillId="6" borderId="4" xfId="0" applyFont="1" applyFill="1" applyBorder="1"/>
    <xf numFmtId="0" fontId="15" fillId="6" borderId="5" xfId="0" applyFont="1" applyFill="1" applyBorder="1"/>
    <xf numFmtId="0" fontId="0" fillId="6" borderId="5" xfId="0" applyFill="1" applyBorder="1"/>
    <xf numFmtId="0" fontId="5" fillId="6" borderId="7" xfId="0" applyFont="1" applyFill="1" applyBorder="1"/>
    <xf numFmtId="0" fontId="5" fillId="6" borderId="0" xfId="0" applyFont="1" applyFill="1" applyBorder="1"/>
    <xf numFmtId="0" fontId="16" fillId="6" borderId="0" xfId="0" applyFont="1" applyFill="1" applyBorder="1"/>
    <xf numFmtId="0" fontId="0" fillId="6" borderId="0" xfId="0" applyFill="1" applyBorder="1"/>
    <xf numFmtId="15" fontId="5" fillId="6" borderId="7" xfId="0" applyNumberFormat="1" applyFont="1" applyFill="1" applyBorder="1"/>
    <xf numFmtId="15" fontId="5" fillId="6" borderId="0" xfId="0" applyNumberFormat="1" applyFont="1" applyFill="1" applyBorder="1"/>
    <xf numFmtId="0" fontId="0" fillId="6" borderId="7" xfId="0" applyFill="1" applyBorder="1"/>
    <xf numFmtId="0" fontId="5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19" fillId="6" borderId="9" xfId="0" applyFont="1" applyFill="1" applyBorder="1"/>
    <xf numFmtId="0" fontId="19" fillId="6" borderId="0" xfId="0" applyFont="1" applyFill="1" applyBorder="1"/>
    <xf numFmtId="0" fontId="0" fillId="6" borderId="0" xfId="0" applyFill="1" applyBorder="1" applyAlignment="1">
      <alignment horizontal="center"/>
    </xf>
    <xf numFmtId="0" fontId="1" fillId="6" borderId="7" xfId="0" applyFont="1" applyFill="1" applyBorder="1"/>
    <xf numFmtId="41" fontId="0" fillId="6" borderId="0" xfId="0" applyNumberFormat="1" applyFill="1" applyBorder="1"/>
    <xf numFmtId="44" fontId="20" fillId="6" borderId="0" xfId="3" applyNumberFormat="1" applyFont="1" applyFill="1" applyBorder="1"/>
    <xf numFmtId="167" fontId="20" fillId="6" borderId="0" xfId="3" applyNumberFormat="1" applyFont="1" applyFill="1" applyBorder="1"/>
    <xf numFmtId="0" fontId="21" fillId="6" borderId="0" xfId="0" applyFont="1" applyFill="1" applyBorder="1"/>
    <xf numFmtId="41" fontId="12" fillId="6" borderId="0" xfId="0" applyNumberFormat="1" applyFont="1" applyFill="1" applyBorder="1"/>
    <xf numFmtId="41" fontId="5" fillId="6" borderId="0" xfId="0" applyNumberFormat="1" applyFont="1" applyFill="1" applyBorder="1"/>
    <xf numFmtId="164" fontId="0" fillId="6" borderId="0" xfId="0" applyNumberFormat="1" applyFill="1" applyBorder="1"/>
    <xf numFmtId="0" fontId="1" fillId="6" borderId="7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center"/>
    </xf>
    <xf numFmtId="44" fontId="20" fillId="6" borderId="0" xfId="3" applyFont="1" applyFill="1" applyBorder="1"/>
    <xf numFmtId="165" fontId="1" fillId="6" borderId="0" xfId="3" applyNumberFormat="1" applyFont="1" applyFill="1" applyBorder="1"/>
    <xf numFmtId="0" fontId="0" fillId="6" borderId="12" xfId="0" applyFill="1" applyBorder="1"/>
    <xf numFmtId="10" fontId="0" fillId="0" borderId="0" xfId="5" applyNumberFormat="1" applyFont="1" applyAlignment="1"/>
    <xf numFmtId="165" fontId="0" fillId="0" borderId="0" xfId="0" applyNumberFormat="1"/>
    <xf numFmtId="44" fontId="21" fillId="0" borderId="0" xfId="3" applyFont="1" applyFill="1" applyBorder="1" applyProtection="1">
      <protection locked="0"/>
    </xf>
    <xf numFmtId="44" fontId="21" fillId="0" borderId="0" xfId="3" applyFont="1" applyBorder="1"/>
    <xf numFmtId="43" fontId="1" fillId="0" borderId="0" xfId="0" applyNumberFormat="1" applyFont="1" applyAlignment="1"/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43" fontId="12" fillId="0" borderId="0" xfId="0" applyNumberFormat="1" applyFont="1" applyAlignment="1"/>
    <xf numFmtId="17" fontId="33" fillId="0" borderId="14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6" borderId="6" xfId="0" applyFill="1" applyBorder="1"/>
    <xf numFmtId="0" fontId="0" fillId="6" borderId="8" xfId="0" applyFill="1" applyBorder="1"/>
    <xf numFmtId="0" fontId="5" fillId="6" borderId="8" xfId="0" applyFont="1" applyFill="1" applyBorder="1"/>
    <xf numFmtId="44" fontId="1" fillId="6" borderId="8" xfId="3" applyFont="1" applyFill="1" applyBorder="1"/>
    <xf numFmtId="44" fontId="12" fillId="6" borderId="8" xfId="3" applyNumberFormat="1" applyFont="1" applyFill="1" applyBorder="1"/>
    <xf numFmtId="44" fontId="22" fillId="6" borderId="10" xfId="3" applyNumberFormat="1" applyFont="1" applyFill="1" applyBorder="1"/>
    <xf numFmtId="44" fontId="22" fillId="6" borderId="8" xfId="3" applyNumberFormat="1" applyFont="1" applyFill="1" applyBorder="1"/>
    <xf numFmtId="44" fontId="1" fillId="6" borderId="8" xfId="3" applyNumberFormat="1" applyFont="1" applyFill="1" applyBorder="1"/>
    <xf numFmtId="44" fontId="22" fillId="6" borderId="10" xfId="3" applyFont="1" applyFill="1" applyBorder="1"/>
    <xf numFmtId="0" fontId="5" fillId="6" borderId="11" xfId="0" applyFont="1" applyFill="1" applyBorder="1"/>
    <xf numFmtId="0" fontId="5" fillId="6" borderId="12" xfId="0" applyFont="1" applyFill="1" applyBorder="1"/>
    <xf numFmtId="44" fontId="22" fillId="6" borderId="13" xfId="3" applyFont="1" applyFill="1" applyBorder="1"/>
    <xf numFmtId="0" fontId="0" fillId="5" borderId="6" xfId="0" applyFill="1" applyBorder="1"/>
    <xf numFmtId="0" fontId="0" fillId="5" borderId="8" xfId="0" applyFill="1" applyBorder="1"/>
    <xf numFmtId="0" fontId="5" fillId="5" borderId="8" xfId="0" applyFont="1" applyFill="1" applyBorder="1"/>
    <xf numFmtId="44" fontId="1" fillId="5" borderId="8" xfId="3" applyFont="1" applyFill="1" applyBorder="1"/>
    <xf numFmtId="44" fontId="12" fillId="5" borderId="8" xfId="3" applyNumberFormat="1" applyFont="1" applyFill="1" applyBorder="1"/>
    <xf numFmtId="44" fontId="22" fillId="5" borderId="10" xfId="3" applyNumberFormat="1" applyFont="1" applyFill="1" applyBorder="1"/>
    <xf numFmtId="44" fontId="22" fillId="5" borderId="8" xfId="3" applyNumberFormat="1" applyFont="1" applyFill="1" applyBorder="1"/>
    <xf numFmtId="0" fontId="18" fillId="5" borderId="8" xfId="0" applyFont="1" applyFill="1" applyBorder="1" applyAlignment="1">
      <alignment horizontal="center"/>
    </xf>
    <xf numFmtId="44" fontId="1" fillId="5" borderId="8" xfId="3" applyNumberFormat="1" applyFont="1" applyFill="1" applyBorder="1"/>
    <xf numFmtId="43" fontId="12" fillId="5" borderId="8" xfId="0" applyNumberFormat="1" applyFont="1" applyFill="1" applyBorder="1"/>
    <xf numFmtId="44" fontId="22" fillId="5" borderId="10" xfId="3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44" fontId="22" fillId="5" borderId="13" xfId="3" applyFont="1" applyFill="1" applyBorder="1"/>
    <xf numFmtId="44" fontId="5" fillId="0" borderId="0" xfId="3" applyFont="1"/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164" fontId="0" fillId="0" borderId="0" xfId="2" applyNumberFormat="1" applyFont="1"/>
    <xf numFmtId="44" fontId="6" fillId="0" borderId="0" xfId="3" applyFont="1" applyAlignment="1">
      <alignment horizontal="center"/>
    </xf>
    <xf numFmtId="44" fontId="12" fillId="6" borderId="8" xfId="3" applyFont="1" applyFill="1" applyBorder="1"/>
    <xf numFmtId="43" fontId="34" fillId="0" borderId="0" xfId="0" applyNumberFormat="1" applyFont="1" applyAlignment="1"/>
    <xf numFmtId="10" fontId="34" fillId="0" borderId="0" xfId="5" applyNumberFormat="1" applyFont="1" applyFill="1" applyAlignment="1"/>
    <xf numFmtId="0" fontId="5" fillId="0" borderId="0" xfId="4" applyFont="1" applyFill="1" applyAlignment="1">
      <alignment horizontal="center"/>
    </xf>
    <xf numFmtId="164" fontId="24" fillId="0" borderId="0" xfId="10" applyNumberFormat="1" applyFont="1"/>
    <xf numFmtId="165" fontId="13" fillId="0" borderId="0" xfId="3" applyNumberFormat="1" applyFont="1"/>
    <xf numFmtId="0" fontId="15" fillId="7" borderId="4" xfId="0" applyFont="1" applyFill="1" applyBorder="1"/>
    <xf numFmtId="0" fontId="15" fillId="7" borderId="5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5" fillId="7" borderId="7" xfId="0" applyFont="1" applyFill="1" applyBorder="1"/>
    <xf numFmtId="0" fontId="5" fillId="7" borderId="0" xfId="0" applyFont="1" applyFill="1" applyBorder="1"/>
    <xf numFmtId="0" fontId="16" fillId="7" borderId="0" xfId="0" applyFont="1" applyFill="1" applyBorder="1"/>
    <xf numFmtId="0" fontId="0" fillId="7" borderId="0" xfId="0" applyFill="1" applyBorder="1"/>
    <xf numFmtId="0" fontId="0" fillId="7" borderId="8" xfId="0" applyFill="1" applyBorder="1"/>
    <xf numFmtId="15" fontId="5" fillId="7" borderId="7" xfId="0" applyNumberFormat="1" applyFont="1" applyFill="1" applyBorder="1"/>
    <xf numFmtId="15" fontId="5" fillId="7" borderId="0" xfId="0" applyNumberFormat="1" applyFont="1" applyFill="1" applyBorder="1"/>
    <xf numFmtId="0" fontId="0" fillId="7" borderId="7" xfId="0" applyFill="1" applyBorder="1"/>
    <xf numFmtId="0" fontId="5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9" fillId="7" borderId="9" xfId="0" applyFont="1" applyFill="1" applyBorder="1"/>
    <xf numFmtId="0" fontId="19" fillId="7" borderId="0" xfId="0" applyFont="1" applyFill="1" applyBorder="1"/>
    <xf numFmtId="0" fontId="0" fillId="7" borderId="0" xfId="0" applyFill="1" applyBorder="1" applyAlignment="1">
      <alignment horizontal="center"/>
    </xf>
    <xf numFmtId="0" fontId="1" fillId="7" borderId="7" xfId="0" applyFont="1" applyFill="1" applyBorder="1"/>
    <xf numFmtId="41" fontId="0" fillId="7" borderId="0" xfId="0" applyNumberFormat="1" applyFill="1" applyBorder="1"/>
    <xf numFmtId="44" fontId="20" fillId="7" borderId="0" xfId="3" applyNumberFormat="1" applyFont="1" applyFill="1" applyBorder="1"/>
    <xf numFmtId="167" fontId="20" fillId="7" borderId="0" xfId="3" applyNumberFormat="1" applyFont="1" applyFill="1" applyBorder="1"/>
    <xf numFmtId="0" fontId="21" fillId="7" borderId="0" xfId="0" applyFont="1" applyFill="1" applyBorder="1"/>
    <xf numFmtId="41" fontId="12" fillId="7" borderId="0" xfId="0" applyNumberFormat="1" applyFont="1" applyFill="1" applyBorder="1"/>
    <xf numFmtId="41" fontId="5" fillId="7" borderId="0" xfId="0" applyNumberFormat="1" applyFont="1" applyFill="1" applyBorder="1"/>
    <xf numFmtId="0" fontId="5" fillId="7" borderId="8" xfId="0" applyFont="1" applyFill="1" applyBorder="1"/>
    <xf numFmtId="164" fontId="0" fillId="7" borderId="0" xfId="0" applyNumberFormat="1" applyFill="1" applyBorder="1"/>
    <xf numFmtId="0" fontId="1" fillId="7" borderId="7" xfId="0" applyFont="1" applyFill="1" applyBorder="1" applyAlignment="1">
      <alignment horizontal="right"/>
    </xf>
    <xf numFmtId="44" fontId="1" fillId="7" borderId="8" xfId="3" applyFont="1" applyFill="1" applyBorder="1"/>
    <xf numFmtId="44" fontId="12" fillId="7" borderId="8" xfId="3" applyNumberFormat="1" applyFont="1" applyFill="1" applyBorder="1"/>
    <xf numFmtId="44" fontId="22" fillId="7" borderId="10" xfId="3" applyNumberFormat="1" applyFont="1" applyFill="1" applyBorder="1"/>
    <xf numFmtId="44" fontId="22" fillId="7" borderId="8" xfId="3" applyNumberFormat="1" applyFont="1" applyFill="1" applyBorder="1"/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44" fontId="20" fillId="7" borderId="0" xfId="3" applyFont="1" applyFill="1" applyBorder="1"/>
    <xf numFmtId="44" fontId="1" fillId="7" borderId="8" xfId="3" applyNumberFormat="1" applyFont="1" applyFill="1" applyBorder="1"/>
    <xf numFmtId="165" fontId="1" fillId="7" borderId="0" xfId="3" applyNumberFormat="1" applyFont="1" applyFill="1" applyBorder="1"/>
    <xf numFmtId="43" fontId="12" fillId="7" borderId="8" xfId="0" applyNumberFormat="1" applyFont="1" applyFill="1" applyBorder="1"/>
    <xf numFmtId="44" fontId="22" fillId="7" borderId="10" xfId="3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0" fillId="7" borderId="12" xfId="0" applyFill="1" applyBorder="1"/>
    <xf numFmtId="44" fontId="22" fillId="7" borderId="13" xfId="3" applyFont="1" applyFill="1" applyBorder="1"/>
    <xf numFmtId="0" fontId="15" fillId="8" borderId="5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5" fillId="8" borderId="7" xfId="0" applyFont="1" applyFill="1" applyBorder="1"/>
    <xf numFmtId="0" fontId="5" fillId="8" borderId="0" xfId="0" applyFont="1" applyFill="1" applyBorder="1"/>
    <xf numFmtId="0" fontId="16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15" fontId="5" fillId="8" borderId="0" xfId="0" applyNumberFormat="1" applyFont="1" applyFill="1" applyBorder="1"/>
    <xf numFmtId="0" fontId="0" fillId="8" borderId="7" xfId="0" applyFill="1" applyBorder="1"/>
    <xf numFmtId="0" fontId="5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19" fillId="8" borderId="9" xfId="0" applyFont="1" applyFill="1" applyBorder="1"/>
    <xf numFmtId="0" fontId="19" fillId="8" borderId="0" xfId="0" applyFont="1" applyFill="1" applyBorder="1"/>
    <xf numFmtId="0" fontId="0" fillId="8" borderId="0" xfId="0" applyFill="1" applyBorder="1" applyAlignment="1">
      <alignment horizontal="center"/>
    </xf>
    <xf numFmtId="0" fontId="1" fillId="8" borderId="7" xfId="0" applyFont="1" applyFill="1" applyBorder="1"/>
    <xf numFmtId="41" fontId="0" fillId="8" borderId="0" xfId="0" applyNumberFormat="1" applyFill="1" applyBorder="1"/>
    <xf numFmtId="44" fontId="20" fillId="8" borderId="0" xfId="3" applyNumberFormat="1" applyFont="1" applyFill="1" applyBorder="1"/>
    <xf numFmtId="167" fontId="20" fillId="8" borderId="0" xfId="3" applyNumberFormat="1" applyFont="1" applyFill="1" applyBorder="1"/>
    <xf numFmtId="0" fontId="21" fillId="8" borderId="0" xfId="0" applyFont="1" applyFill="1" applyBorder="1"/>
    <xf numFmtId="41" fontId="12" fillId="8" borderId="0" xfId="0" applyNumberFormat="1" applyFont="1" applyFill="1" applyBorder="1"/>
    <xf numFmtId="41" fontId="5" fillId="8" borderId="0" xfId="0" applyNumberFormat="1" applyFont="1" applyFill="1" applyBorder="1"/>
    <xf numFmtId="0" fontId="5" fillId="8" borderId="8" xfId="0" applyFont="1" applyFill="1" applyBorder="1"/>
    <xf numFmtId="164" fontId="0" fillId="8" borderId="0" xfId="0" applyNumberFormat="1" applyFill="1" applyBorder="1"/>
    <xf numFmtId="0" fontId="1" fillId="8" borderId="7" xfId="0" applyFont="1" applyFill="1" applyBorder="1" applyAlignment="1">
      <alignment horizontal="right"/>
    </xf>
    <xf numFmtId="44" fontId="1" fillId="8" borderId="8" xfId="3" applyFont="1" applyFill="1" applyBorder="1"/>
    <xf numFmtId="44" fontId="12" fillId="8" borderId="8" xfId="3" applyNumberFormat="1" applyFont="1" applyFill="1" applyBorder="1"/>
    <xf numFmtId="44" fontId="22" fillId="8" borderId="10" xfId="3" applyNumberFormat="1" applyFont="1" applyFill="1" applyBorder="1"/>
    <xf numFmtId="44" fontId="22" fillId="8" borderId="8" xfId="3" applyNumberFormat="1" applyFont="1" applyFill="1" applyBorder="1"/>
    <xf numFmtId="0" fontId="18" fillId="8" borderId="7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44" fontId="20" fillId="8" borderId="0" xfId="3" applyFont="1" applyFill="1" applyBorder="1"/>
    <xf numFmtId="44" fontId="1" fillId="8" borderId="8" xfId="3" applyNumberFormat="1" applyFont="1" applyFill="1" applyBorder="1"/>
    <xf numFmtId="165" fontId="1" fillId="8" borderId="0" xfId="3" applyNumberFormat="1" applyFont="1" applyFill="1" applyBorder="1"/>
    <xf numFmtId="44" fontId="12" fillId="8" borderId="8" xfId="3" applyFont="1" applyFill="1" applyBorder="1"/>
    <xf numFmtId="44" fontId="22" fillId="8" borderId="10" xfId="3" applyFont="1" applyFill="1" applyBorder="1"/>
    <xf numFmtId="0" fontId="5" fillId="8" borderId="11" xfId="0" applyFont="1" applyFill="1" applyBorder="1"/>
    <xf numFmtId="0" fontId="5" fillId="8" borderId="12" xfId="0" applyFont="1" applyFill="1" applyBorder="1"/>
    <xf numFmtId="0" fontId="0" fillId="8" borderId="12" xfId="0" applyFill="1" applyBorder="1"/>
    <xf numFmtId="44" fontId="22" fillId="8" borderId="13" xfId="3" applyFont="1" applyFill="1" applyBorder="1"/>
    <xf numFmtId="164" fontId="23" fillId="0" borderId="0" xfId="10" applyNumberFormat="1" applyFont="1" applyFill="1"/>
    <xf numFmtId="166" fontId="0" fillId="0" borderId="0" xfId="5" applyNumberFormat="1" applyFont="1" applyAlignment="1"/>
    <xf numFmtId="164" fontId="35" fillId="0" borderId="0" xfId="10" applyNumberFormat="1" applyFont="1"/>
    <xf numFmtId="44" fontId="36" fillId="0" borderId="14" xfId="3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1" fillId="0" borderId="0" xfId="2" applyFont="1"/>
    <xf numFmtId="10" fontId="1" fillId="0" borderId="0" xfId="5" applyNumberFormat="1" applyFont="1" applyAlignment="1"/>
    <xf numFmtId="10" fontId="30" fillId="0" borderId="0" xfId="5" applyNumberFormat="1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32" fillId="0" borderId="0" xfId="2" applyFont="1" applyAlignment="1"/>
    <xf numFmtId="0" fontId="36" fillId="0" borderId="0" xfId="0" applyFont="1" applyBorder="1"/>
    <xf numFmtId="0" fontId="1" fillId="0" borderId="0" xfId="0" applyFont="1" applyAlignment="1"/>
    <xf numFmtId="0" fontId="15" fillId="10" borderId="4" xfId="0" applyFont="1" applyFill="1" applyBorder="1"/>
    <xf numFmtId="0" fontId="15" fillId="10" borderId="5" xfId="0" applyFont="1" applyFill="1" applyBorder="1"/>
    <xf numFmtId="0" fontId="0" fillId="10" borderId="5" xfId="0" applyFill="1" applyBorder="1"/>
    <xf numFmtId="0" fontId="0" fillId="10" borderId="6" xfId="0" applyFill="1" applyBorder="1"/>
    <xf numFmtId="0" fontId="5" fillId="10" borderId="7" xfId="0" applyFont="1" applyFill="1" applyBorder="1"/>
    <xf numFmtId="0" fontId="5" fillId="10" borderId="0" xfId="0" applyFont="1" applyFill="1" applyBorder="1"/>
    <xf numFmtId="0" fontId="16" fillId="10" borderId="0" xfId="0" applyFont="1" applyFill="1" applyBorder="1"/>
    <xf numFmtId="0" fontId="0" fillId="10" borderId="0" xfId="0" applyFill="1" applyBorder="1"/>
    <xf numFmtId="0" fontId="0" fillId="10" borderId="8" xfId="0" applyFill="1" applyBorder="1"/>
    <xf numFmtId="15" fontId="5" fillId="10" borderId="7" xfId="0" applyNumberFormat="1" applyFont="1" applyFill="1" applyBorder="1"/>
    <xf numFmtId="15" fontId="5" fillId="10" borderId="0" xfId="0" applyNumberFormat="1" applyFont="1" applyFill="1" applyBorder="1"/>
    <xf numFmtId="0" fontId="0" fillId="10" borderId="7" xfId="0" applyFill="1" applyBorder="1"/>
    <xf numFmtId="0" fontId="5" fillId="10" borderId="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19" fillId="10" borderId="9" xfId="0" applyFont="1" applyFill="1" applyBorder="1"/>
    <xf numFmtId="0" fontId="19" fillId="10" borderId="0" xfId="0" applyFont="1" applyFill="1" applyBorder="1"/>
    <xf numFmtId="0" fontId="0" fillId="10" borderId="0" xfId="0" applyFill="1" applyBorder="1" applyAlignment="1">
      <alignment horizontal="center"/>
    </xf>
    <xf numFmtId="0" fontId="1" fillId="10" borderId="7" xfId="0" applyFont="1" applyFill="1" applyBorder="1"/>
    <xf numFmtId="41" fontId="0" fillId="10" borderId="0" xfId="0" applyNumberFormat="1" applyFill="1" applyBorder="1"/>
    <xf numFmtId="44" fontId="20" fillId="10" borderId="0" xfId="3" applyNumberFormat="1" applyFont="1" applyFill="1" applyBorder="1"/>
    <xf numFmtId="167" fontId="20" fillId="10" borderId="0" xfId="3" applyNumberFormat="1" applyFont="1" applyFill="1" applyBorder="1"/>
    <xf numFmtId="0" fontId="21" fillId="10" borderId="0" xfId="0" applyFont="1" applyFill="1" applyBorder="1"/>
    <xf numFmtId="41" fontId="12" fillId="10" borderId="0" xfId="0" applyNumberFormat="1" applyFont="1" applyFill="1" applyBorder="1"/>
    <xf numFmtId="41" fontId="5" fillId="10" borderId="0" xfId="0" applyNumberFormat="1" applyFont="1" applyFill="1" applyBorder="1"/>
    <xf numFmtId="0" fontId="5" fillId="10" borderId="8" xfId="0" applyFont="1" applyFill="1" applyBorder="1"/>
    <xf numFmtId="164" fontId="0" fillId="10" borderId="0" xfId="0" applyNumberFormat="1" applyFill="1" applyBorder="1"/>
    <xf numFmtId="0" fontId="1" fillId="10" borderId="7" xfId="0" applyFont="1" applyFill="1" applyBorder="1" applyAlignment="1">
      <alignment horizontal="right"/>
    </xf>
    <xf numFmtId="44" fontId="1" fillId="10" borderId="8" xfId="3" applyFont="1" applyFill="1" applyBorder="1"/>
    <xf numFmtId="44" fontId="12" fillId="10" borderId="8" xfId="3" applyNumberFormat="1" applyFont="1" applyFill="1" applyBorder="1"/>
    <xf numFmtId="44" fontId="22" fillId="10" borderId="10" xfId="3" applyNumberFormat="1" applyFont="1" applyFill="1" applyBorder="1"/>
    <xf numFmtId="44" fontId="22" fillId="10" borderId="8" xfId="3" applyNumberFormat="1" applyFont="1" applyFill="1" applyBorder="1"/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44" fontId="1" fillId="10" borderId="8" xfId="3" applyNumberFormat="1" applyFont="1" applyFill="1" applyBorder="1"/>
    <xf numFmtId="165" fontId="1" fillId="10" borderId="0" xfId="3" applyNumberFormat="1" applyFont="1" applyFill="1" applyBorder="1"/>
    <xf numFmtId="44" fontId="12" fillId="10" borderId="8" xfId="3" applyFont="1" applyFill="1" applyBorder="1"/>
    <xf numFmtId="44" fontId="22" fillId="10" borderId="10" xfId="3" applyFont="1" applyFill="1" applyBorder="1"/>
    <xf numFmtId="0" fontId="5" fillId="10" borderId="11" xfId="0" applyFont="1" applyFill="1" applyBorder="1"/>
    <xf numFmtId="0" fontId="5" fillId="10" borderId="12" xfId="0" applyFont="1" applyFill="1" applyBorder="1"/>
    <xf numFmtId="0" fontId="0" fillId="10" borderId="12" xfId="0" applyFill="1" applyBorder="1"/>
    <xf numFmtId="44" fontId="22" fillId="10" borderId="13" xfId="3" applyFont="1" applyFill="1" applyBorder="1"/>
    <xf numFmtId="8" fontId="0" fillId="10" borderId="0" xfId="0" applyNumberFormat="1" applyFill="1" applyBorder="1"/>
    <xf numFmtId="165" fontId="0" fillId="10" borderId="0" xfId="3" applyNumberFormat="1" applyFont="1" applyFill="1" applyBorder="1"/>
    <xf numFmtId="44" fontId="38" fillId="10" borderId="8" xfId="3" applyNumberFormat="1" applyFont="1" applyFill="1" applyBorder="1"/>
    <xf numFmtId="0" fontId="2" fillId="10" borderId="7" xfId="0" applyFont="1" applyFill="1" applyBorder="1"/>
    <xf numFmtId="44" fontId="22" fillId="8" borderId="13" xfId="3" applyNumberFormat="1" applyFont="1" applyFill="1" applyBorder="1"/>
    <xf numFmtId="44" fontId="22" fillId="6" borderId="13" xfId="3" applyNumberFormat="1" applyFont="1" applyFill="1" applyBorder="1"/>
    <xf numFmtId="44" fontId="22" fillId="7" borderId="13" xfId="3" applyNumberFormat="1" applyFont="1" applyFill="1" applyBorder="1"/>
    <xf numFmtId="44" fontId="22" fillId="5" borderId="13" xfId="3" applyNumberFormat="1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0" fillId="4" borderId="12" xfId="0" applyFill="1" applyBorder="1"/>
    <xf numFmtId="44" fontId="22" fillId="4" borderId="12" xfId="3" applyNumberFormat="1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0" fillId="3" borderId="12" xfId="0" applyFill="1" applyBorder="1"/>
    <xf numFmtId="44" fontId="22" fillId="3" borderId="12" xfId="3" applyNumberFormat="1" applyFont="1" applyFill="1" applyBorder="1"/>
    <xf numFmtId="0" fontId="0" fillId="10" borderId="13" xfId="0" applyFill="1" applyBorder="1"/>
    <xf numFmtId="0" fontId="19" fillId="8" borderId="2" xfId="0" applyFont="1" applyFill="1" applyBorder="1"/>
    <xf numFmtId="0" fontId="1" fillId="8" borderId="0" xfId="0" applyFont="1" applyFill="1" applyBorder="1"/>
    <xf numFmtId="0" fontId="1" fillId="8" borderId="0" xfId="0" applyFont="1" applyFill="1" applyBorder="1" applyAlignment="1">
      <alignment horizontal="right"/>
    </xf>
    <xf numFmtId="44" fontId="37" fillId="10" borderId="8" xfId="3" applyFont="1" applyFill="1" applyBorder="1"/>
    <xf numFmtId="0" fontId="0" fillId="10" borderId="11" xfId="0" applyFill="1" applyBorder="1"/>
    <xf numFmtId="0" fontId="34" fillId="0" borderId="0" xfId="0" applyFont="1" applyBorder="1"/>
    <xf numFmtId="10" fontId="1" fillId="0" borderId="0" xfId="5" applyNumberFormat="1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43" fontId="1" fillId="0" borderId="0" xfId="2" applyFont="1" applyBorder="1" applyAlignment="1" applyProtection="1">
      <alignment horizontal="right"/>
      <protection locked="0"/>
    </xf>
    <xf numFmtId="43" fontId="1" fillId="0" borderId="0" xfId="0" applyNumberFormat="1" applyFont="1" applyBorder="1" applyAlignment="1">
      <alignment horizontal="right"/>
    </xf>
    <xf numFmtId="0" fontId="0" fillId="0" borderId="0" xfId="0" applyBorder="1"/>
    <xf numFmtId="43" fontId="1" fillId="0" borderId="0" xfId="2" applyFont="1" applyBorder="1" applyProtection="1">
      <protection locked="0"/>
    </xf>
    <xf numFmtId="43" fontId="1" fillId="0" borderId="0" xfId="0" applyNumberFormat="1" applyFont="1" applyBorder="1"/>
    <xf numFmtId="43" fontId="12" fillId="0" borderId="0" xfId="2" applyFont="1" applyBorder="1" applyProtection="1">
      <protection locked="0"/>
    </xf>
    <xf numFmtId="43" fontId="12" fillId="0" borderId="0" xfId="2" applyFont="1" applyBorder="1" applyAlignment="1" applyProtection="1">
      <alignment horizontal="right"/>
      <protection locked="0"/>
    </xf>
    <xf numFmtId="0" fontId="5" fillId="0" borderId="0" xfId="0" applyFont="1" applyBorder="1"/>
    <xf numFmtId="10" fontId="12" fillId="0" borderId="0" xfId="5" applyNumberFormat="1" applyFont="1" applyBorder="1" applyAlignment="1">
      <alignment horizontal="right"/>
    </xf>
    <xf numFmtId="43" fontId="12" fillId="0" borderId="0" xfId="0" applyNumberFormat="1" applyFont="1" applyBorder="1"/>
    <xf numFmtId="43" fontId="39" fillId="0" borderId="0" xfId="2" applyFont="1" applyBorder="1"/>
    <xf numFmtId="166" fontId="13" fillId="0" borderId="0" xfId="5" applyNumberFormat="1" applyFont="1" applyBorder="1" applyAlignment="1">
      <alignment horizontal="right"/>
    </xf>
    <xf numFmtId="43" fontId="13" fillId="0" borderId="0" xfId="10" applyFont="1" applyBorder="1"/>
    <xf numFmtId="43" fontId="13" fillId="0" borderId="0" xfId="2" applyFont="1" applyBorder="1" applyAlignment="1">
      <alignment horizontal="right"/>
    </xf>
    <xf numFmtId="0" fontId="40" fillId="0" borderId="0" xfId="0" applyFont="1" applyFill="1"/>
    <xf numFmtId="0" fontId="17" fillId="10" borderId="7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7" fillId="10" borderId="8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17" fontId="33" fillId="9" borderId="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1">
    <cellStyle name="Comma" xfId="2" builtinId="3"/>
    <cellStyle name="Comma 2" xfId="10" xr:uid="{00000000-0005-0000-0000-000001000000}"/>
    <cellStyle name="Currency" xfId="3" builtinId="4"/>
    <cellStyle name="Currency 2" xfId="6" xr:uid="{00000000-0005-0000-0000-000003000000}"/>
    <cellStyle name="Currency 5" xfId="7" xr:uid="{00000000-0005-0000-0000-000004000000}"/>
    <cellStyle name="Currency 6" xfId="8" xr:uid="{00000000-0005-0000-0000-000005000000}"/>
    <cellStyle name="Normal" xfId="0" builtinId="0"/>
    <cellStyle name="Normal 3" xfId="4" xr:uid="{00000000-0005-0000-0000-000007000000}"/>
    <cellStyle name="Percent" xfId="5" builtinId="5"/>
    <cellStyle name="Percent 4" xfId="9" xr:uid="{00000000-0005-0000-0000-000009000000}"/>
    <cellStyle name="Total" xfId="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7"/>
  <sheetViews>
    <sheetView tabSelected="1" topLeftCell="A19" workbookViewId="0">
      <selection activeCell="A36" sqref="A36"/>
    </sheetView>
  </sheetViews>
  <sheetFormatPr defaultRowHeight="12.75" x14ac:dyDescent="0.2"/>
  <cols>
    <col min="1" max="1" width="57.28515625" customWidth="1"/>
    <col min="3" max="3" width="11.28515625" customWidth="1"/>
    <col min="4" max="4" width="12.28515625" bestFit="1" customWidth="1"/>
    <col min="5" max="5" width="15.5703125" bestFit="1" customWidth="1"/>
    <col min="6" max="6" width="15.140625" bestFit="1" customWidth="1"/>
    <col min="7" max="7" width="58.85546875" bestFit="1" customWidth="1"/>
    <col min="9" max="9" width="10.42578125" bestFit="1" customWidth="1"/>
    <col min="10" max="10" width="11.28515625" bestFit="1" customWidth="1"/>
    <col min="11" max="11" width="10.28515625" bestFit="1" customWidth="1"/>
    <col min="12" max="12" width="9.28515625" bestFit="1" customWidth="1"/>
    <col min="13" max="13" width="58.85546875" bestFit="1" customWidth="1"/>
    <col min="15" max="15" width="10.42578125" bestFit="1" customWidth="1"/>
    <col min="16" max="16" width="11.28515625" bestFit="1" customWidth="1"/>
    <col min="17" max="17" width="10.28515625" bestFit="1" customWidth="1"/>
    <col min="18" max="18" width="9.28515625" bestFit="1" customWidth="1"/>
    <col min="19" max="19" width="58.85546875" bestFit="1" customWidth="1"/>
    <col min="21" max="21" width="10.42578125" bestFit="1" customWidth="1"/>
    <col min="22" max="22" width="11.28515625" bestFit="1" customWidth="1"/>
    <col min="23" max="24" width="10.28515625" bestFit="1" customWidth="1"/>
    <col min="25" max="25" width="58.85546875" bestFit="1" customWidth="1"/>
    <col min="27" max="27" width="10.42578125" bestFit="1" customWidth="1"/>
    <col min="28" max="28" width="11.28515625" bestFit="1" customWidth="1"/>
    <col min="29" max="29" width="10.28515625" bestFit="1" customWidth="1"/>
    <col min="30" max="30" width="9.28515625" bestFit="1" customWidth="1"/>
    <col min="31" max="31" width="58.85546875" bestFit="1" customWidth="1"/>
    <col min="33" max="33" width="10.42578125" bestFit="1" customWidth="1"/>
    <col min="34" max="34" width="11.28515625" bestFit="1" customWidth="1"/>
    <col min="35" max="35" width="10.28515625" bestFit="1" customWidth="1"/>
    <col min="36" max="36" width="9.7109375" bestFit="1" customWidth="1"/>
    <col min="37" max="37" width="58.85546875" bestFit="1" customWidth="1"/>
    <col min="39" max="39" width="10.42578125" bestFit="1" customWidth="1"/>
    <col min="40" max="40" width="11.28515625" bestFit="1" customWidth="1"/>
    <col min="41" max="41" width="10.28515625" bestFit="1" customWidth="1"/>
    <col min="42" max="42" width="9.28515625" bestFit="1" customWidth="1"/>
  </cols>
  <sheetData>
    <row r="1" spans="1:42" ht="19.5" customHeight="1" x14ac:dyDescent="0.4">
      <c r="A1" s="374" t="s">
        <v>61</v>
      </c>
      <c r="B1" s="375"/>
      <c r="C1" s="376"/>
      <c r="D1" s="376"/>
      <c r="E1" s="376"/>
      <c r="F1" s="377"/>
      <c r="G1" s="317" t="s">
        <v>61</v>
      </c>
      <c r="H1" s="317"/>
      <c r="I1" s="318"/>
      <c r="J1" s="318"/>
      <c r="K1" s="318"/>
      <c r="L1" s="319"/>
      <c r="M1" s="193" t="s">
        <v>61</v>
      </c>
      <c r="N1" s="194"/>
      <c r="O1" s="195"/>
      <c r="P1" s="195"/>
      <c r="Q1" s="195"/>
      <c r="R1" s="235"/>
      <c r="S1" s="273" t="s">
        <v>61</v>
      </c>
      <c r="T1" s="274"/>
      <c r="U1" s="275"/>
      <c r="V1" s="275"/>
      <c r="W1" s="275"/>
      <c r="X1" s="276"/>
      <c r="Y1" s="161" t="s">
        <v>61</v>
      </c>
      <c r="Z1" s="162"/>
      <c r="AA1" s="163"/>
      <c r="AB1" s="163"/>
      <c r="AC1" s="163"/>
      <c r="AD1" s="247"/>
      <c r="AE1" s="107" t="s">
        <v>61</v>
      </c>
      <c r="AF1" s="108"/>
      <c r="AG1" s="109"/>
      <c r="AH1" s="109"/>
      <c r="AI1" s="109"/>
      <c r="AJ1" s="109"/>
      <c r="AK1" s="72" t="s">
        <v>61</v>
      </c>
      <c r="AL1" s="73"/>
      <c r="AM1" s="74"/>
      <c r="AN1" s="74"/>
      <c r="AO1" s="74"/>
      <c r="AP1" s="74"/>
    </row>
    <row r="2" spans="1:42" ht="18" x14ac:dyDescent="0.35">
      <c r="A2" s="378"/>
      <c r="B2" s="379"/>
      <c r="C2" s="380"/>
      <c r="D2" s="381"/>
      <c r="E2" s="381"/>
      <c r="F2" s="382"/>
      <c r="G2" s="321"/>
      <c r="H2" s="321"/>
      <c r="I2" s="322"/>
      <c r="J2" s="323"/>
      <c r="K2" s="323"/>
      <c r="L2" s="324"/>
      <c r="M2" s="196"/>
      <c r="N2" s="197"/>
      <c r="O2" s="198"/>
      <c r="P2" s="199"/>
      <c r="Q2" s="199"/>
      <c r="R2" s="236"/>
      <c r="S2" s="277"/>
      <c r="T2" s="278"/>
      <c r="U2" s="279"/>
      <c r="V2" s="280"/>
      <c r="W2" s="280"/>
      <c r="X2" s="281"/>
      <c r="Y2" s="164"/>
      <c r="Z2" s="165"/>
      <c r="AA2" s="166"/>
      <c r="AB2" s="167"/>
      <c r="AC2" s="167"/>
      <c r="AD2" s="248"/>
      <c r="AE2" s="110" t="s">
        <v>62</v>
      </c>
      <c r="AF2" s="111"/>
      <c r="AG2" s="112"/>
      <c r="AH2" s="113"/>
      <c r="AI2" s="113"/>
      <c r="AJ2" s="113"/>
      <c r="AK2" s="75" t="s">
        <v>62</v>
      </c>
      <c r="AL2" s="76"/>
      <c r="AM2" s="77"/>
      <c r="AN2" s="78"/>
      <c r="AO2" s="78"/>
      <c r="AP2" s="78"/>
    </row>
    <row r="3" spans="1:42" x14ac:dyDescent="0.2">
      <c r="A3" s="383"/>
      <c r="B3" s="384"/>
      <c r="C3" s="381"/>
      <c r="D3" s="381"/>
      <c r="E3" s="381"/>
      <c r="F3" s="382"/>
      <c r="G3" s="325"/>
      <c r="H3" s="325"/>
      <c r="I3" s="323"/>
      <c r="J3" s="323"/>
      <c r="K3" s="323"/>
      <c r="L3" s="324"/>
      <c r="M3" s="200"/>
      <c r="N3" s="201"/>
      <c r="O3" s="199"/>
      <c r="P3" s="199"/>
      <c r="Q3" s="199"/>
      <c r="R3" s="236"/>
      <c r="S3" s="282"/>
      <c r="T3" s="283"/>
      <c r="U3" s="280"/>
      <c r="V3" s="280"/>
      <c r="W3" s="280"/>
      <c r="X3" s="281"/>
      <c r="Y3" s="168"/>
      <c r="Z3" s="169"/>
      <c r="AA3" s="167"/>
      <c r="AB3" s="167"/>
      <c r="AC3" s="167"/>
      <c r="AD3" s="248"/>
      <c r="AE3" s="114"/>
      <c r="AF3" s="115"/>
      <c r="AG3" s="113"/>
      <c r="AH3" s="113"/>
      <c r="AI3" s="113"/>
      <c r="AJ3" s="113"/>
      <c r="AK3" s="79"/>
      <c r="AL3" s="80"/>
      <c r="AM3" s="78"/>
      <c r="AN3" s="78"/>
      <c r="AO3" s="78"/>
      <c r="AP3" s="78"/>
    </row>
    <row r="4" spans="1:42" ht="20.25" x14ac:dyDescent="0.3">
      <c r="A4" s="457" t="s">
        <v>156</v>
      </c>
      <c r="B4" s="458"/>
      <c r="C4" s="458"/>
      <c r="D4" s="458"/>
      <c r="E4" s="458"/>
      <c r="F4" s="459"/>
      <c r="G4" s="463" t="s">
        <v>127</v>
      </c>
      <c r="H4" s="463"/>
      <c r="I4" s="463"/>
      <c r="J4" s="463"/>
      <c r="K4" s="463"/>
      <c r="L4" s="464"/>
      <c r="M4" s="471" t="s">
        <v>112</v>
      </c>
      <c r="N4" s="472"/>
      <c r="O4" s="472"/>
      <c r="P4" s="472"/>
      <c r="Q4" s="472"/>
      <c r="R4" s="473"/>
      <c r="S4" s="477" t="s">
        <v>109</v>
      </c>
      <c r="T4" s="478"/>
      <c r="U4" s="478"/>
      <c r="V4" s="478"/>
      <c r="W4" s="478"/>
      <c r="X4" s="479"/>
      <c r="Y4" s="487" t="s">
        <v>107</v>
      </c>
      <c r="Z4" s="488"/>
      <c r="AA4" s="488"/>
      <c r="AB4" s="488"/>
      <c r="AC4" s="488"/>
      <c r="AD4" s="489"/>
      <c r="AE4" s="483" t="s">
        <v>98</v>
      </c>
      <c r="AF4" s="484"/>
      <c r="AG4" s="484"/>
      <c r="AH4" s="484"/>
      <c r="AI4" s="484"/>
      <c r="AJ4" s="484"/>
      <c r="AK4" s="467" t="s">
        <v>96</v>
      </c>
      <c r="AL4" s="468"/>
      <c r="AM4" s="468"/>
      <c r="AN4" s="468"/>
      <c r="AO4" s="468"/>
      <c r="AP4" s="468"/>
    </row>
    <row r="5" spans="1:42" x14ac:dyDescent="0.2">
      <c r="A5" s="385"/>
      <c r="B5" s="381"/>
      <c r="C5" s="381"/>
      <c r="D5" s="381"/>
      <c r="E5" s="381"/>
      <c r="F5" s="382"/>
      <c r="G5" s="323"/>
      <c r="H5" s="323"/>
      <c r="I5" s="323"/>
      <c r="J5" s="323"/>
      <c r="K5" s="323"/>
      <c r="L5" s="324"/>
      <c r="M5" s="202"/>
      <c r="N5" s="199"/>
      <c r="O5" s="199"/>
      <c r="P5" s="199"/>
      <c r="Q5" s="199"/>
      <c r="R5" s="236"/>
      <c r="S5" s="284"/>
      <c r="T5" s="280"/>
      <c r="U5" s="280"/>
      <c r="V5" s="280"/>
      <c r="W5" s="280"/>
      <c r="X5" s="281"/>
      <c r="Y5" s="170"/>
      <c r="Z5" s="167"/>
      <c r="AA5" s="167"/>
      <c r="AB5" s="167"/>
      <c r="AC5" s="167"/>
      <c r="AD5" s="248"/>
      <c r="AE5" s="116"/>
      <c r="AF5" s="113"/>
      <c r="AG5" s="113"/>
      <c r="AH5" s="113"/>
      <c r="AI5" s="113"/>
      <c r="AJ5" s="113"/>
      <c r="AK5" s="81"/>
      <c r="AL5" s="78"/>
      <c r="AM5" s="78"/>
      <c r="AN5" s="78"/>
      <c r="AO5" s="78"/>
      <c r="AP5" s="78"/>
    </row>
    <row r="6" spans="1:42" ht="19.5" x14ac:dyDescent="0.4">
      <c r="A6" s="460" t="s">
        <v>19</v>
      </c>
      <c r="B6" s="461"/>
      <c r="C6" s="461"/>
      <c r="D6" s="461"/>
      <c r="E6" s="461"/>
      <c r="F6" s="462"/>
      <c r="G6" s="465" t="s">
        <v>19</v>
      </c>
      <c r="H6" s="465"/>
      <c r="I6" s="465"/>
      <c r="J6" s="465"/>
      <c r="K6" s="465"/>
      <c r="L6" s="466"/>
      <c r="M6" s="474" t="s">
        <v>19</v>
      </c>
      <c r="N6" s="475"/>
      <c r="O6" s="475"/>
      <c r="P6" s="475"/>
      <c r="Q6" s="475"/>
      <c r="R6" s="476"/>
      <c r="S6" s="480" t="s">
        <v>19</v>
      </c>
      <c r="T6" s="481"/>
      <c r="U6" s="481"/>
      <c r="V6" s="481"/>
      <c r="W6" s="481"/>
      <c r="X6" s="482"/>
      <c r="Y6" s="490" t="s">
        <v>19</v>
      </c>
      <c r="Z6" s="491"/>
      <c r="AA6" s="491"/>
      <c r="AB6" s="491"/>
      <c r="AC6" s="491"/>
      <c r="AD6" s="492"/>
      <c r="AE6" s="485" t="s">
        <v>19</v>
      </c>
      <c r="AF6" s="486"/>
      <c r="AG6" s="486"/>
      <c r="AH6" s="486"/>
      <c r="AI6" s="486"/>
      <c r="AJ6" s="486"/>
      <c r="AK6" s="469" t="s">
        <v>19</v>
      </c>
      <c r="AL6" s="470"/>
      <c r="AM6" s="470"/>
      <c r="AN6" s="470"/>
      <c r="AO6" s="470"/>
      <c r="AP6" s="470"/>
    </row>
    <row r="7" spans="1:42" x14ac:dyDescent="0.2">
      <c r="A7" s="385"/>
      <c r="B7" s="381"/>
      <c r="C7" s="381"/>
      <c r="D7" s="381"/>
      <c r="E7" s="381"/>
      <c r="F7" s="382"/>
      <c r="G7" s="323"/>
      <c r="H7" s="323"/>
      <c r="I7" s="323"/>
      <c r="J7" s="323"/>
      <c r="K7" s="323"/>
      <c r="L7" s="324"/>
      <c r="M7" s="202"/>
      <c r="N7" s="199"/>
      <c r="O7" s="199"/>
      <c r="P7" s="199"/>
      <c r="Q7" s="199"/>
      <c r="R7" s="236"/>
      <c r="S7" s="284"/>
      <c r="T7" s="280"/>
      <c r="U7" s="280"/>
      <c r="V7" s="280"/>
      <c r="W7" s="280"/>
      <c r="X7" s="281"/>
      <c r="Y7" s="170"/>
      <c r="Z7" s="167"/>
      <c r="AA7" s="167"/>
      <c r="AB7" s="167"/>
      <c r="AC7" s="167"/>
      <c r="AD7" s="248"/>
      <c r="AE7" s="116"/>
      <c r="AF7" s="113"/>
      <c r="AG7" s="113"/>
      <c r="AH7" s="113"/>
      <c r="AI7" s="113"/>
      <c r="AJ7" s="113"/>
      <c r="AK7" s="81"/>
      <c r="AL7" s="78"/>
      <c r="AM7" s="78"/>
      <c r="AN7" s="78"/>
      <c r="AO7" s="78"/>
      <c r="AP7" s="78"/>
    </row>
    <row r="8" spans="1:42" x14ac:dyDescent="0.2">
      <c r="A8" s="385"/>
      <c r="B8" s="381"/>
      <c r="C8" s="386"/>
      <c r="D8" s="386" t="s">
        <v>63</v>
      </c>
      <c r="E8" s="386" t="s">
        <v>22</v>
      </c>
      <c r="F8" s="382"/>
      <c r="G8" s="323"/>
      <c r="H8" s="323"/>
      <c r="I8" s="327"/>
      <c r="J8" s="327" t="s">
        <v>63</v>
      </c>
      <c r="K8" s="327" t="s">
        <v>22</v>
      </c>
      <c r="L8" s="324"/>
      <c r="M8" s="202"/>
      <c r="N8" s="199"/>
      <c r="O8" s="203"/>
      <c r="P8" s="203" t="s">
        <v>63</v>
      </c>
      <c r="Q8" s="203" t="s">
        <v>22</v>
      </c>
      <c r="R8" s="236"/>
      <c r="S8" s="284"/>
      <c r="T8" s="280"/>
      <c r="U8" s="285"/>
      <c r="V8" s="285" t="s">
        <v>63</v>
      </c>
      <c r="W8" s="285" t="s">
        <v>22</v>
      </c>
      <c r="X8" s="281"/>
      <c r="Y8" s="170"/>
      <c r="Z8" s="167"/>
      <c r="AA8" s="171"/>
      <c r="AB8" s="171" t="s">
        <v>63</v>
      </c>
      <c r="AC8" s="171" t="s">
        <v>22</v>
      </c>
      <c r="AD8" s="248"/>
      <c r="AE8" s="116"/>
      <c r="AF8" s="113"/>
      <c r="AG8" s="117"/>
      <c r="AH8" s="117" t="s">
        <v>63</v>
      </c>
      <c r="AI8" s="117" t="s">
        <v>22</v>
      </c>
      <c r="AJ8" s="113"/>
      <c r="AK8" s="81"/>
      <c r="AL8" s="78"/>
      <c r="AM8" s="82"/>
      <c r="AN8" s="82" t="s">
        <v>63</v>
      </c>
      <c r="AO8" s="82" t="s">
        <v>22</v>
      </c>
      <c r="AP8" s="78"/>
    </row>
    <row r="9" spans="1:42" x14ac:dyDescent="0.2">
      <c r="A9" s="385"/>
      <c r="B9" s="381"/>
      <c r="C9" s="387" t="s">
        <v>30</v>
      </c>
      <c r="D9" s="387" t="s">
        <v>64</v>
      </c>
      <c r="E9" s="387" t="s">
        <v>28</v>
      </c>
      <c r="F9" s="382"/>
      <c r="G9" s="323"/>
      <c r="H9" s="323"/>
      <c r="I9" s="328" t="s">
        <v>30</v>
      </c>
      <c r="J9" s="328" t="s">
        <v>64</v>
      </c>
      <c r="K9" s="328" t="s">
        <v>28</v>
      </c>
      <c r="L9" s="324"/>
      <c r="M9" s="202"/>
      <c r="N9" s="199"/>
      <c r="O9" s="204" t="s">
        <v>30</v>
      </c>
      <c r="P9" s="204" t="s">
        <v>64</v>
      </c>
      <c r="Q9" s="204" t="s">
        <v>28</v>
      </c>
      <c r="R9" s="236"/>
      <c r="S9" s="284"/>
      <c r="T9" s="280"/>
      <c r="U9" s="286" t="s">
        <v>30</v>
      </c>
      <c r="V9" s="286" t="s">
        <v>64</v>
      </c>
      <c r="W9" s="286" t="s">
        <v>28</v>
      </c>
      <c r="X9" s="281"/>
      <c r="Y9" s="170"/>
      <c r="Z9" s="167"/>
      <c r="AA9" s="172" t="s">
        <v>30</v>
      </c>
      <c r="AB9" s="172" t="s">
        <v>64</v>
      </c>
      <c r="AC9" s="172" t="s">
        <v>28</v>
      </c>
      <c r="AD9" s="248"/>
      <c r="AE9" s="116"/>
      <c r="AF9" s="113"/>
      <c r="AG9" s="118" t="s">
        <v>30</v>
      </c>
      <c r="AH9" s="118" t="s">
        <v>64</v>
      </c>
      <c r="AI9" s="118" t="s">
        <v>28</v>
      </c>
      <c r="AJ9" s="113"/>
      <c r="AK9" s="81"/>
      <c r="AL9" s="78"/>
      <c r="AM9" s="83" t="s">
        <v>30</v>
      </c>
      <c r="AN9" s="83" t="s">
        <v>64</v>
      </c>
      <c r="AO9" s="83" t="s">
        <v>28</v>
      </c>
      <c r="AP9" s="78"/>
    </row>
    <row r="10" spans="1:42" ht="16.5" x14ac:dyDescent="0.35">
      <c r="A10" s="388" t="s">
        <v>157</v>
      </c>
      <c r="B10" s="389"/>
      <c r="C10" s="390"/>
      <c r="D10" s="390"/>
      <c r="E10" s="390"/>
      <c r="F10" s="382"/>
      <c r="G10" s="434" t="s">
        <v>128</v>
      </c>
      <c r="H10" s="330"/>
      <c r="I10" s="331"/>
      <c r="J10" s="331"/>
      <c r="K10" s="331"/>
      <c r="L10" s="324"/>
      <c r="M10" s="205" t="s">
        <v>110</v>
      </c>
      <c r="N10" s="206"/>
      <c r="O10" s="207"/>
      <c r="P10" s="207"/>
      <c r="Q10" s="207"/>
      <c r="R10" s="236"/>
      <c r="S10" s="287" t="s">
        <v>108</v>
      </c>
      <c r="T10" s="288"/>
      <c r="U10" s="289"/>
      <c r="V10" s="289"/>
      <c r="W10" s="289"/>
      <c r="X10" s="281"/>
      <c r="Y10" s="173" t="s">
        <v>101</v>
      </c>
      <c r="Z10" s="174"/>
      <c r="AA10" s="175"/>
      <c r="AB10" s="175"/>
      <c r="AC10" s="175"/>
      <c r="AD10" s="248"/>
      <c r="AE10" s="119" t="s">
        <v>97</v>
      </c>
      <c r="AF10" s="120"/>
      <c r="AG10" s="121"/>
      <c r="AH10" s="121"/>
      <c r="AI10" s="121"/>
      <c r="AJ10" s="113"/>
      <c r="AK10" s="84" t="s">
        <v>80</v>
      </c>
      <c r="AL10" s="85"/>
      <c r="AM10" s="86"/>
      <c r="AN10" s="86"/>
      <c r="AO10" s="86"/>
      <c r="AP10" s="78"/>
    </row>
    <row r="11" spans="1:42" x14ac:dyDescent="0.2">
      <c r="A11" s="391" t="s">
        <v>65</v>
      </c>
      <c r="B11" s="381"/>
      <c r="C11" s="392">
        <f>+'Customer Counts'!B9+'Customer Counts'!B10</f>
        <v>94401</v>
      </c>
      <c r="D11" s="393">
        <f>+J13</f>
        <v>0.99</v>
      </c>
      <c r="E11" s="392">
        <f>C11*D11</f>
        <v>93456.99</v>
      </c>
      <c r="F11" s="382"/>
      <c r="G11" s="435" t="s">
        <v>65</v>
      </c>
      <c r="H11" s="323"/>
      <c r="I11" s="333">
        <v>92643</v>
      </c>
      <c r="J11" s="334">
        <f>+P13</f>
        <v>2.13</v>
      </c>
      <c r="K11" s="333">
        <f>I11*J11</f>
        <v>197329.59</v>
      </c>
      <c r="L11" s="324"/>
      <c r="M11" s="208" t="s">
        <v>65</v>
      </c>
      <c r="N11" s="199"/>
      <c r="O11" s="209">
        <v>91041</v>
      </c>
      <c r="P11" s="210">
        <v>1.63</v>
      </c>
      <c r="Q11" s="209">
        <f>O11*P11</f>
        <v>148396.82999999999</v>
      </c>
      <c r="R11" s="236"/>
      <c r="S11" s="290" t="s">
        <v>65</v>
      </c>
      <c r="T11" s="280"/>
      <c r="U11" s="291">
        <v>86283</v>
      </c>
      <c r="V11" s="292">
        <f>+AB13</f>
        <v>2.12</v>
      </c>
      <c r="W11" s="291">
        <f>U11*V11</f>
        <v>182919.96000000002</v>
      </c>
      <c r="X11" s="281"/>
      <c r="Y11" s="176" t="s">
        <v>65</v>
      </c>
      <c r="Z11" s="167"/>
      <c r="AA11" s="177">
        <v>84503</v>
      </c>
      <c r="AB11" s="178">
        <v>2.25</v>
      </c>
      <c r="AC11" s="177">
        <f>AA11*AB11</f>
        <v>190131.75</v>
      </c>
      <c r="AD11" s="248"/>
      <c r="AE11" s="122" t="s">
        <v>65</v>
      </c>
      <c r="AF11" s="113"/>
      <c r="AG11" s="123">
        <v>81939</v>
      </c>
      <c r="AH11" s="144">
        <f>+AN13</f>
        <v>2.0699999999999998</v>
      </c>
      <c r="AI11" s="123">
        <f>AG11*AH11</f>
        <v>169613.72999999998</v>
      </c>
      <c r="AJ11" s="113"/>
      <c r="AK11" s="87" t="s">
        <v>65</v>
      </c>
      <c r="AL11" s="78"/>
      <c r="AM11" s="88">
        <v>80957</v>
      </c>
      <c r="AN11" s="89">
        <v>3.24</v>
      </c>
      <c r="AO11" s="88">
        <f>AM11*AN11</f>
        <v>262300.68</v>
      </c>
      <c r="AP11" s="78"/>
    </row>
    <row r="12" spans="1:42" x14ac:dyDescent="0.2">
      <c r="A12" s="391"/>
      <c r="B12" s="381"/>
      <c r="C12" s="392"/>
      <c r="D12" s="394"/>
      <c r="E12" s="392"/>
      <c r="F12" s="382"/>
      <c r="G12" s="435"/>
      <c r="H12" s="323"/>
      <c r="I12" s="333"/>
      <c r="J12" s="335"/>
      <c r="K12" s="333"/>
      <c r="L12" s="324"/>
      <c r="M12" s="208"/>
      <c r="N12" s="199"/>
      <c r="O12" s="209"/>
      <c r="P12" s="211"/>
      <c r="Q12" s="209"/>
      <c r="R12" s="236"/>
      <c r="S12" s="290"/>
      <c r="T12" s="280"/>
      <c r="U12" s="291"/>
      <c r="V12" s="293"/>
      <c r="W12" s="291"/>
      <c r="X12" s="281"/>
      <c r="Y12" s="176"/>
      <c r="Z12" s="167"/>
      <c r="AA12" s="177"/>
      <c r="AB12" s="179"/>
      <c r="AC12" s="177"/>
      <c r="AD12" s="248"/>
      <c r="AE12" s="122"/>
      <c r="AF12" s="113"/>
      <c r="AG12" s="123"/>
      <c r="AH12" s="143"/>
      <c r="AI12" s="123"/>
      <c r="AJ12" s="113"/>
      <c r="AK12" s="87"/>
      <c r="AL12" s="78"/>
      <c r="AM12" s="88"/>
      <c r="AN12" s="89"/>
      <c r="AO12" s="88"/>
      <c r="AP12" s="78"/>
    </row>
    <row r="13" spans="1:42" ht="15" x14ac:dyDescent="0.35">
      <c r="A13" s="391" t="s">
        <v>66</v>
      </c>
      <c r="B13" s="395"/>
      <c r="C13" s="396">
        <f>SUM('Customer Counts'!B11:B20)</f>
        <v>478239</v>
      </c>
      <c r="D13" s="393">
        <f>+L30</f>
        <v>0.61</v>
      </c>
      <c r="E13" s="396">
        <f>C13*D13</f>
        <v>291725.78999999998</v>
      </c>
      <c r="F13" s="382"/>
      <c r="G13" s="435" t="s">
        <v>66</v>
      </c>
      <c r="H13" s="336"/>
      <c r="I13" s="337">
        <v>466374</v>
      </c>
      <c r="J13" s="334">
        <f>+R30</f>
        <v>0.99</v>
      </c>
      <c r="K13" s="337">
        <f>I13*J13</f>
        <v>461710.26</v>
      </c>
      <c r="L13" s="324"/>
      <c r="M13" s="208" t="s">
        <v>66</v>
      </c>
      <c r="N13" s="212"/>
      <c r="O13" s="213">
        <v>459532</v>
      </c>
      <c r="P13" s="210">
        <v>2.13</v>
      </c>
      <c r="Q13" s="213">
        <f>O13*P13</f>
        <v>978803.15999999992</v>
      </c>
      <c r="R13" s="236"/>
      <c r="S13" s="290" t="s">
        <v>66</v>
      </c>
      <c r="T13" s="294"/>
      <c r="U13" s="295">
        <v>440676</v>
      </c>
      <c r="V13" s="292">
        <f>+AD30</f>
        <v>1.63</v>
      </c>
      <c r="W13" s="295">
        <f>U13*V13</f>
        <v>718301.88</v>
      </c>
      <c r="X13" s="281"/>
      <c r="Y13" s="176" t="s">
        <v>66</v>
      </c>
      <c r="Z13" s="180"/>
      <c r="AA13" s="181">
        <v>426476</v>
      </c>
      <c r="AB13" s="178">
        <v>2.12</v>
      </c>
      <c r="AC13" s="181">
        <f>AA13*AB13</f>
        <v>904129.12</v>
      </c>
      <c r="AD13" s="248"/>
      <c r="AE13" s="122" t="s">
        <v>66</v>
      </c>
      <c r="AF13" s="125"/>
      <c r="AG13" s="126">
        <v>415851</v>
      </c>
      <c r="AH13" s="144">
        <f>+AP30</f>
        <v>2.2486813724127002</v>
      </c>
      <c r="AI13" s="126">
        <f>AG13*AH13</f>
        <v>935116.39739919372</v>
      </c>
      <c r="AJ13" s="113"/>
      <c r="AK13" s="87" t="s">
        <v>66</v>
      </c>
      <c r="AL13" s="90"/>
      <c r="AM13" s="91">
        <v>407475</v>
      </c>
      <c r="AN13" s="89">
        <v>2.0699999999999998</v>
      </c>
      <c r="AO13" s="91">
        <f>AM13*AN13</f>
        <v>843473.24999999988</v>
      </c>
      <c r="AP13" s="78"/>
    </row>
    <row r="14" spans="1:42" x14ac:dyDescent="0.2">
      <c r="A14" s="378" t="s">
        <v>22</v>
      </c>
      <c r="B14" s="379"/>
      <c r="C14" s="397">
        <f>SUM(C11:C13)</f>
        <v>572640</v>
      </c>
      <c r="D14" s="379"/>
      <c r="E14" s="397">
        <f>SUM(E11:E13)</f>
        <v>385182.77999999997</v>
      </c>
      <c r="F14" s="398"/>
      <c r="G14" s="321" t="s">
        <v>22</v>
      </c>
      <c r="H14" s="321"/>
      <c r="I14" s="338">
        <f>SUM(I11:I13)</f>
        <v>559017</v>
      </c>
      <c r="J14" s="321"/>
      <c r="K14" s="338">
        <f>SUM(K11:K13)</f>
        <v>659039.85</v>
      </c>
      <c r="L14" s="339"/>
      <c r="M14" s="196" t="s">
        <v>22</v>
      </c>
      <c r="N14" s="197"/>
      <c r="O14" s="214">
        <f>SUM(O11:O13)</f>
        <v>550573</v>
      </c>
      <c r="P14" s="197"/>
      <c r="Q14" s="214">
        <f>SUM(Q11:Q13)</f>
        <v>1127199.99</v>
      </c>
      <c r="R14" s="237"/>
      <c r="S14" s="277" t="s">
        <v>22</v>
      </c>
      <c r="T14" s="278"/>
      <c r="U14" s="296">
        <f>SUM(U11:U13)</f>
        <v>526959</v>
      </c>
      <c r="V14" s="278"/>
      <c r="W14" s="296">
        <f>SUM(W11:W13)</f>
        <v>901221.84000000008</v>
      </c>
      <c r="X14" s="297"/>
      <c r="Y14" s="164" t="s">
        <v>22</v>
      </c>
      <c r="Z14" s="165"/>
      <c r="AA14" s="182">
        <f>SUM(AA11:AA13)</f>
        <v>510979</v>
      </c>
      <c r="AB14" s="165"/>
      <c r="AC14" s="182">
        <f>SUM(AC11:AC13)</f>
        <v>1094260.8700000001</v>
      </c>
      <c r="AD14" s="249"/>
      <c r="AE14" s="110" t="s">
        <v>22</v>
      </c>
      <c r="AF14" s="111"/>
      <c r="AG14" s="127">
        <f>SUM(AG11:AG13)</f>
        <v>497790</v>
      </c>
      <c r="AH14" s="111"/>
      <c r="AI14" s="127">
        <f>SUM(AI11:AI13)</f>
        <v>1104730.1273991936</v>
      </c>
      <c r="AJ14" s="111"/>
      <c r="AK14" s="75" t="s">
        <v>22</v>
      </c>
      <c r="AL14" s="76"/>
      <c r="AM14" s="92">
        <f>SUM(AM11:AM13)</f>
        <v>488432</v>
      </c>
      <c r="AN14" s="76"/>
      <c r="AO14" s="92">
        <f>SUM(AO11:AO13)</f>
        <v>1105773.93</v>
      </c>
      <c r="AP14" s="76"/>
    </row>
    <row r="15" spans="1:42" x14ac:dyDescent="0.2">
      <c r="A15" s="385"/>
      <c r="B15" s="381"/>
      <c r="C15" s="381"/>
      <c r="D15" s="381"/>
      <c r="E15" s="381"/>
      <c r="F15" s="382"/>
      <c r="G15" s="323"/>
      <c r="H15" s="323"/>
      <c r="I15" s="323"/>
      <c r="J15" s="323"/>
      <c r="K15" s="323"/>
      <c r="L15" s="324"/>
      <c r="M15" s="202"/>
      <c r="N15" s="199"/>
      <c r="O15" s="199"/>
      <c r="P15" s="199"/>
      <c r="Q15" s="199"/>
      <c r="R15" s="236"/>
      <c r="S15" s="284"/>
      <c r="T15" s="280"/>
      <c r="U15" s="280"/>
      <c r="V15" s="280"/>
      <c r="W15" s="280"/>
      <c r="X15" s="281"/>
      <c r="Y15" s="170"/>
      <c r="Z15" s="167"/>
      <c r="AA15" s="167"/>
      <c r="AB15" s="167"/>
      <c r="AC15" s="167"/>
      <c r="AD15" s="248"/>
      <c r="AE15" s="116"/>
      <c r="AF15" s="113"/>
      <c r="AG15" s="113"/>
      <c r="AH15" s="113"/>
      <c r="AI15" s="113"/>
      <c r="AJ15" s="113"/>
      <c r="AK15" s="81"/>
      <c r="AL15" s="78"/>
      <c r="AM15" s="78"/>
      <c r="AN15" s="78"/>
      <c r="AO15" s="78"/>
      <c r="AP15" s="78"/>
    </row>
    <row r="16" spans="1:42" x14ac:dyDescent="0.2">
      <c r="A16" s="391" t="s">
        <v>67</v>
      </c>
      <c r="B16" s="381"/>
      <c r="C16" s="381"/>
      <c r="D16" s="381"/>
      <c r="E16" s="392">
        <f>+'Calculation of Revenue'!F23</f>
        <v>149498.84907231436</v>
      </c>
      <c r="F16" s="382"/>
      <c r="G16" s="435" t="s">
        <v>67</v>
      </c>
      <c r="H16" s="323"/>
      <c r="I16" s="323"/>
      <c r="J16" s="323"/>
      <c r="K16" s="333">
        <v>392835.57488468004</v>
      </c>
      <c r="L16" s="324"/>
      <c r="M16" s="208" t="s">
        <v>67</v>
      </c>
      <c r="N16" s="199"/>
      <c r="O16" s="199"/>
      <c r="P16" s="199"/>
      <c r="Q16" s="209">
        <v>637707.255490168</v>
      </c>
      <c r="R16" s="236"/>
      <c r="S16" s="290" t="s">
        <v>67</v>
      </c>
      <c r="T16" s="280"/>
      <c r="U16" s="280"/>
      <c r="V16" s="280"/>
      <c r="W16" s="291">
        <v>1122741</v>
      </c>
      <c r="X16" s="281"/>
      <c r="Y16" s="176" t="s">
        <v>67</v>
      </c>
      <c r="Z16" s="167"/>
      <c r="AA16" s="167"/>
      <c r="AB16" s="167"/>
      <c r="AC16" s="177">
        <v>832361</v>
      </c>
      <c r="AD16" s="248"/>
      <c r="AE16" s="122" t="s">
        <v>67</v>
      </c>
      <c r="AF16" s="113"/>
      <c r="AG16" s="113"/>
      <c r="AH16" s="113"/>
      <c r="AI16" s="123">
        <v>1057229.1646778199</v>
      </c>
      <c r="AJ16" s="113"/>
      <c r="AK16" s="87" t="s">
        <v>67</v>
      </c>
      <c r="AL16" s="78"/>
      <c r="AM16" s="78"/>
      <c r="AN16" s="78"/>
      <c r="AO16" s="88">
        <v>1098327.94009028</v>
      </c>
      <c r="AP16" s="78"/>
    </row>
    <row r="17" spans="1:42" x14ac:dyDescent="0.2">
      <c r="A17" s="391"/>
      <c r="B17" s="381"/>
      <c r="C17" s="381"/>
      <c r="D17" s="399"/>
      <c r="E17" s="392"/>
      <c r="F17" s="382"/>
      <c r="G17" s="435"/>
      <c r="H17" s="323"/>
      <c r="I17" s="323"/>
      <c r="J17" s="340"/>
      <c r="K17" s="333"/>
      <c r="L17" s="324"/>
      <c r="M17" s="208"/>
      <c r="N17" s="199"/>
      <c r="O17" s="199"/>
      <c r="P17" s="215"/>
      <c r="Q17" s="209"/>
      <c r="R17" s="236"/>
      <c r="S17" s="290"/>
      <c r="T17" s="280"/>
      <c r="U17" s="280"/>
      <c r="V17" s="298"/>
      <c r="W17" s="291"/>
      <c r="X17" s="281"/>
      <c r="Y17" s="176"/>
      <c r="Z17" s="167"/>
      <c r="AA17" s="167"/>
      <c r="AB17" s="183"/>
      <c r="AC17" s="177"/>
      <c r="AD17" s="248"/>
      <c r="AE17" s="122"/>
      <c r="AF17" s="113"/>
      <c r="AG17" s="113"/>
      <c r="AH17" s="128"/>
      <c r="AI17" s="123"/>
      <c r="AJ17" s="113"/>
      <c r="AK17" s="87"/>
      <c r="AL17" s="78"/>
      <c r="AM17" s="78"/>
      <c r="AN17" s="93"/>
      <c r="AO17" s="88"/>
      <c r="AP17" s="78"/>
    </row>
    <row r="18" spans="1:42" ht="15" x14ac:dyDescent="0.35">
      <c r="A18" s="391"/>
      <c r="B18" s="381"/>
      <c r="C18" s="381"/>
      <c r="D18" s="396"/>
      <c r="E18" s="392"/>
      <c r="F18" s="382"/>
      <c r="G18" s="435"/>
      <c r="H18" s="323"/>
      <c r="I18" s="323"/>
      <c r="J18" s="337"/>
      <c r="K18" s="333"/>
      <c r="L18" s="324"/>
      <c r="M18" s="208"/>
      <c r="N18" s="199"/>
      <c r="O18" s="199"/>
      <c r="P18" s="213"/>
      <c r="Q18" s="209"/>
      <c r="R18" s="236"/>
      <c r="S18" s="290"/>
      <c r="T18" s="280"/>
      <c r="U18" s="280"/>
      <c r="V18" s="295"/>
      <c r="W18" s="291"/>
      <c r="X18" s="281"/>
      <c r="Y18" s="176"/>
      <c r="Z18" s="167"/>
      <c r="AA18" s="167"/>
      <c r="AB18" s="181"/>
      <c r="AC18" s="177"/>
      <c r="AD18" s="248"/>
      <c r="AE18" s="122"/>
      <c r="AF18" s="113"/>
      <c r="AG18" s="113"/>
      <c r="AH18" s="126"/>
      <c r="AI18" s="123"/>
      <c r="AJ18" s="113"/>
      <c r="AK18" s="87"/>
      <c r="AL18" s="78"/>
      <c r="AM18" s="78"/>
      <c r="AN18" s="91"/>
      <c r="AO18" s="88"/>
      <c r="AP18" s="78"/>
    </row>
    <row r="19" spans="1:42" ht="15" x14ac:dyDescent="0.35">
      <c r="A19" s="391"/>
      <c r="B19" s="381"/>
      <c r="C19" s="381"/>
      <c r="D19" s="381"/>
      <c r="E19" s="396"/>
      <c r="F19" s="382"/>
      <c r="G19" s="435"/>
      <c r="H19" s="323"/>
      <c r="I19" s="323"/>
      <c r="J19" s="323"/>
      <c r="K19" s="337"/>
      <c r="L19" s="324"/>
      <c r="M19" s="208"/>
      <c r="N19" s="199"/>
      <c r="O19" s="199"/>
      <c r="P19" s="199"/>
      <c r="Q19" s="213"/>
      <c r="R19" s="236"/>
      <c r="S19" s="290"/>
      <c r="T19" s="280"/>
      <c r="U19" s="280"/>
      <c r="V19" s="280"/>
      <c r="W19" s="295"/>
      <c r="X19" s="281"/>
      <c r="Y19" s="176"/>
      <c r="Z19" s="167"/>
      <c r="AA19" s="167"/>
      <c r="AB19" s="167"/>
      <c r="AC19" s="181"/>
      <c r="AD19" s="248"/>
      <c r="AE19" s="122"/>
      <c r="AF19" s="113"/>
      <c r="AG19" s="113"/>
      <c r="AH19" s="113"/>
      <c r="AI19" s="126"/>
      <c r="AJ19" s="113"/>
      <c r="AK19" s="87"/>
      <c r="AL19" s="78"/>
      <c r="AM19" s="78"/>
      <c r="AN19" s="78"/>
      <c r="AO19" s="91"/>
      <c r="AP19" s="78"/>
    </row>
    <row r="20" spans="1:42" x14ac:dyDescent="0.2">
      <c r="A20" s="400"/>
      <c r="B20" s="381"/>
      <c r="C20" s="381"/>
      <c r="D20" s="381"/>
      <c r="E20" s="392"/>
      <c r="F20" s="382"/>
      <c r="G20" s="436"/>
      <c r="H20" s="323"/>
      <c r="I20" s="323"/>
      <c r="J20" s="323"/>
      <c r="K20" s="333"/>
      <c r="L20" s="324"/>
      <c r="M20" s="216"/>
      <c r="N20" s="199"/>
      <c r="O20" s="199"/>
      <c r="P20" s="199"/>
      <c r="Q20" s="209"/>
      <c r="R20" s="236"/>
      <c r="S20" s="299"/>
      <c r="T20" s="280"/>
      <c r="U20" s="280"/>
      <c r="V20" s="280"/>
      <c r="W20" s="291"/>
      <c r="X20" s="281"/>
      <c r="Y20" s="184"/>
      <c r="Z20" s="167"/>
      <c r="AA20" s="167"/>
      <c r="AB20" s="167"/>
      <c r="AC20" s="177"/>
      <c r="AD20" s="248"/>
      <c r="AE20" s="129"/>
      <c r="AF20" s="113"/>
      <c r="AG20" s="113"/>
      <c r="AH20" s="113"/>
      <c r="AI20" s="123"/>
      <c r="AJ20" s="113"/>
      <c r="AK20" s="94"/>
      <c r="AL20" s="78"/>
      <c r="AM20" s="78"/>
      <c r="AN20" s="78"/>
      <c r="AO20" s="88"/>
      <c r="AP20" s="78"/>
    </row>
    <row r="21" spans="1:42" x14ac:dyDescent="0.2">
      <c r="A21" s="385"/>
      <c r="B21" s="381"/>
      <c r="C21" s="381"/>
      <c r="D21" s="381"/>
      <c r="E21" s="381"/>
      <c r="F21" s="382"/>
      <c r="G21" s="323"/>
      <c r="H21" s="323"/>
      <c r="I21" s="323"/>
      <c r="J21" s="323"/>
      <c r="K21" s="323"/>
      <c r="L21" s="324"/>
      <c r="M21" s="202"/>
      <c r="N21" s="199"/>
      <c r="O21" s="199"/>
      <c r="P21" s="199"/>
      <c r="Q21" s="199"/>
      <c r="R21" s="236"/>
      <c r="S21" s="284"/>
      <c r="T21" s="280"/>
      <c r="U21" s="280"/>
      <c r="V21" s="280"/>
      <c r="W21" s="280"/>
      <c r="X21" s="281"/>
      <c r="Y21" s="170"/>
      <c r="Z21" s="167"/>
      <c r="AA21" s="167"/>
      <c r="AB21" s="167"/>
      <c r="AC21" s="167"/>
      <c r="AD21" s="248"/>
      <c r="AE21" s="116"/>
      <c r="AF21" s="113"/>
      <c r="AG21" s="113"/>
      <c r="AH21" s="113"/>
      <c r="AI21" s="113"/>
      <c r="AJ21" s="113"/>
      <c r="AK21" s="81"/>
      <c r="AL21" s="78"/>
      <c r="AM21" s="78"/>
      <c r="AN21" s="78"/>
      <c r="AO21" s="78"/>
      <c r="AP21" s="78"/>
    </row>
    <row r="22" spans="1:42" x14ac:dyDescent="0.2">
      <c r="A22" s="385" t="s">
        <v>68</v>
      </c>
      <c r="B22" s="381"/>
      <c r="C22" s="381"/>
      <c r="D22" s="381"/>
      <c r="E22" s="392">
        <f>E16-E14</f>
        <v>-235683.93092768561</v>
      </c>
      <c r="F22" s="382"/>
      <c r="G22" s="323" t="s">
        <v>68</v>
      </c>
      <c r="H22" s="323"/>
      <c r="I22" s="323"/>
      <c r="J22" s="323"/>
      <c r="K22" s="333">
        <f>K16-K14</f>
        <v>-266204.27511531994</v>
      </c>
      <c r="L22" s="324"/>
      <c r="M22" s="202" t="s">
        <v>68</v>
      </c>
      <c r="N22" s="199"/>
      <c r="O22" s="199"/>
      <c r="P22" s="199"/>
      <c r="Q22" s="209">
        <f>Q16-Q14</f>
        <v>-489492.73450983199</v>
      </c>
      <c r="R22" s="236"/>
      <c r="S22" s="284" t="s">
        <v>68</v>
      </c>
      <c r="T22" s="280"/>
      <c r="U22" s="280"/>
      <c r="V22" s="280"/>
      <c r="W22" s="291">
        <f>W16-W14</f>
        <v>221519.15999999992</v>
      </c>
      <c r="X22" s="281"/>
      <c r="Y22" s="170" t="s">
        <v>68</v>
      </c>
      <c r="Z22" s="167"/>
      <c r="AA22" s="167"/>
      <c r="AB22" s="167"/>
      <c r="AC22" s="177">
        <f>AC16-AC14</f>
        <v>-261899.87000000011</v>
      </c>
      <c r="AD22" s="248"/>
      <c r="AE22" s="116" t="s">
        <v>68</v>
      </c>
      <c r="AF22" s="113"/>
      <c r="AG22" s="113"/>
      <c r="AH22" s="113"/>
      <c r="AI22" s="123">
        <f>AI16-AI14</f>
        <v>-47500.962721373653</v>
      </c>
      <c r="AJ22" s="113"/>
      <c r="AK22" s="81" t="s">
        <v>68</v>
      </c>
      <c r="AL22" s="78"/>
      <c r="AM22" s="78"/>
      <c r="AN22" s="78"/>
      <c r="AO22" s="88">
        <f>AO16-AO14</f>
        <v>-7445.9899097199086</v>
      </c>
      <c r="AP22" s="78"/>
    </row>
    <row r="23" spans="1:42" x14ac:dyDescent="0.2">
      <c r="A23" s="385"/>
      <c r="B23" s="381"/>
      <c r="C23" s="381"/>
      <c r="D23" s="381"/>
      <c r="E23" s="381"/>
      <c r="F23" s="382"/>
      <c r="G23" s="323"/>
      <c r="H23" s="323"/>
      <c r="I23" s="323"/>
      <c r="J23" s="323"/>
      <c r="K23" s="323"/>
      <c r="L23" s="324"/>
      <c r="M23" s="202"/>
      <c r="N23" s="199"/>
      <c r="O23" s="199"/>
      <c r="P23" s="199"/>
      <c r="Q23" s="199"/>
      <c r="R23" s="236"/>
      <c r="S23" s="284"/>
      <c r="T23" s="280"/>
      <c r="U23" s="280"/>
      <c r="V23" s="280"/>
      <c r="W23" s="280"/>
      <c r="X23" s="281"/>
      <c r="Y23" s="170"/>
      <c r="Z23" s="167"/>
      <c r="AA23" s="167"/>
      <c r="AB23" s="167"/>
      <c r="AC23" s="167"/>
      <c r="AD23" s="248"/>
      <c r="AE23" s="116"/>
      <c r="AF23" s="113"/>
      <c r="AG23" s="113"/>
      <c r="AH23" s="113"/>
      <c r="AI23" s="113"/>
      <c r="AJ23" s="113"/>
      <c r="AK23" s="81"/>
      <c r="AL23" s="78"/>
      <c r="AM23" s="78"/>
      <c r="AN23" s="78"/>
      <c r="AO23" s="78"/>
      <c r="AP23" s="78"/>
    </row>
    <row r="24" spans="1:42" x14ac:dyDescent="0.2">
      <c r="A24" s="385" t="s">
        <v>69</v>
      </c>
      <c r="B24" s="381"/>
      <c r="C24" s="381"/>
      <c r="D24" s="381"/>
      <c r="E24" s="392">
        <f>+C14</f>
        <v>572640</v>
      </c>
      <c r="F24" s="382"/>
      <c r="G24" s="323" t="s">
        <v>69</v>
      </c>
      <c r="H24" s="323"/>
      <c r="I24" s="323"/>
      <c r="J24" s="323"/>
      <c r="K24" s="333">
        <f>+I14</f>
        <v>559017</v>
      </c>
      <c r="L24" s="324"/>
      <c r="M24" s="202" t="s">
        <v>69</v>
      </c>
      <c r="N24" s="199"/>
      <c r="O24" s="199"/>
      <c r="P24" s="199"/>
      <c r="Q24" s="209">
        <f>+O14</f>
        <v>550573</v>
      </c>
      <c r="R24" s="236"/>
      <c r="S24" s="284" t="s">
        <v>69</v>
      </c>
      <c r="T24" s="280"/>
      <c r="U24" s="280"/>
      <c r="V24" s="280"/>
      <c r="W24" s="291">
        <f>+U14</f>
        <v>526959</v>
      </c>
      <c r="X24" s="281"/>
      <c r="Y24" s="170" t="s">
        <v>69</v>
      </c>
      <c r="Z24" s="167"/>
      <c r="AA24" s="167"/>
      <c r="AB24" s="167"/>
      <c r="AC24" s="177">
        <f>+AA14</f>
        <v>510979</v>
      </c>
      <c r="AD24" s="248"/>
      <c r="AE24" s="116" t="s">
        <v>69</v>
      </c>
      <c r="AF24" s="113"/>
      <c r="AG24" s="113"/>
      <c r="AH24" s="113"/>
      <c r="AI24" s="123">
        <f>+AG14</f>
        <v>497790</v>
      </c>
      <c r="AJ24" s="113"/>
      <c r="AK24" s="81" t="s">
        <v>69</v>
      </c>
      <c r="AL24" s="78"/>
      <c r="AM24" s="78"/>
      <c r="AN24" s="78"/>
      <c r="AO24" s="88">
        <f>+AM14</f>
        <v>488432</v>
      </c>
      <c r="AP24" s="78"/>
    </row>
    <row r="25" spans="1:42" x14ac:dyDescent="0.2">
      <c r="A25" s="385"/>
      <c r="B25" s="381"/>
      <c r="C25" s="381"/>
      <c r="D25" s="381"/>
      <c r="E25" s="381"/>
      <c r="F25" s="382"/>
      <c r="G25" s="323"/>
      <c r="H25" s="323"/>
      <c r="I25" s="323"/>
      <c r="J25" s="323"/>
      <c r="K25" s="323"/>
      <c r="L25" s="324"/>
      <c r="M25" s="202"/>
      <c r="N25" s="199"/>
      <c r="O25" s="199"/>
      <c r="P25" s="199"/>
      <c r="Q25" s="199"/>
      <c r="R25" s="236"/>
      <c r="S25" s="284"/>
      <c r="T25" s="280"/>
      <c r="U25" s="280"/>
      <c r="V25" s="280"/>
      <c r="W25" s="280"/>
      <c r="X25" s="281"/>
      <c r="Y25" s="170"/>
      <c r="Z25" s="167"/>
      <c r="AA25" s="167"/>
      <c r="AB25" s="167"/>
      <c r="AC25" s="167"/>
      <c r="AD25" s="248"/>
      <c r="AE25" s="116"/>
      <c r="AF25" s="113"/>
      <c r="AG25" s="113"/>
      <c r="AH25" s="113"/>
      <c r="AI25" s="113"/>
      <c r="AJ25" s="113"/>
      <c r="AK25" s="81"/>
      <c r="AL25" s="78"/>
      <c r="AM25" s="78"/>
      <c r="AN25" s="78"/>
      <c r="AO25" s="78"/>
      <c r="AP25" s="78"/>
    </row>
    <row r="26" spans="1:42" x14ac:dyDescent="0.2">
      <c r="A26" s="385" t="s">
        <v>70</v>
      </c>
      <c r="B26" s="381"/>
      <c r="C26" s="381"/>
      <c r="D26" s="381"/>
      <c r="E26" s="381"/>
      <c r="F26" s="401">
        <f>ROUND(E22/E24,2)</f>
        <v>-0.41</v>
      </c>
      <c r="G26" s="323" t="s">
        <v>70</v>
      </c>
      <c r="H26" s="323"/>
      <c r="I26" s="323"/>
      <c r="J26" s="323"/>
      <c r="K26" s="323"/>
      <c r="L26" s="342">
        <f>ROUND(K22/K24,2)</f>
        <v>-0.48</v>
      </c>
      <c r="M26" s="202" t="s">
        <v>70</v>
      </c>
      <c r="N26" s="199"/>
      <c r="O26" s="199"/>
      <c r="P26" s="199"/>
      <c r="Q26" s="199"/>
      <c r="R26" s="238">
        <f>ROUND(Q22/Q24,2)</f>
        <v>-0.89</v>
      </c>
      <c r="S26" s="284" t="s">
        <v>70</v>
      </c>
      <c r="T26" s="280"/>
      <c r="U26" s="280"/>
      <c r="V26" s="280"/>
      <c r="W26" s="280"/>
      <c r="X26" s="300">
        <f>ROUND(W22/W24,2)</f>
        <v>0.42</v>
      </c>
      <c r="Y26" s="170" t="s">
        <v>70</v>
      </c>
      <c r="Z26" s="167"/>
      <c r="AA26" s="167"/>
      <c r="AB26" s="167"/>
      <c r="AC26" s="167"/>
      <c r="AD26" s="250">
        <f>ROUND(AC22/AC24,2)</f>
        <v>-0.51</v>
      </c>
      <c r="AE26" s="116" t="s">
        <v>70</v>
      </c>
      <c r="AF26" s="113"/>
      <c r="AG26" s="113"/>
      <c r="AH26" s="113"/>
      <c r="AI26" s="113"/>
      <c r="AJ26" s="130">
        <f>ROUND(AI22/AI24,2)</f>
        <v>-0.1</v>
      </c>
      <c r="AK26" s="81" t="s">
        <v>70</v>
      </c>
      <c r="AL26" s="78"/>
      <c r="AM26" s="78"/>
      <c r="AN26" s="78"/>
      <c r="AO26" s="78"/>
      <c r="AP26" s="95">
        <f>ROUND(AO22/AO24,2)</f>
        <v>-0.02</v>
      </c>
    </row>
    <row r="27" spans="1:42" x14ac:dyDescent="0.2">
      <c r="A27" s="385"/>
      <c r="B27" s="381"/>
      <c r="C27" s="381"/>
      <c r="D27" s="381"/>
      <c r="E27" s="381"/>
      <c r="F27" s="401"/>
      <c r="G27" s="323"/>
      <c r="H27" s="323"/>
      <c r="I27" s="323"/>
      <c r="J27" s="323"/>
      <c r="K27" s="323"/>
      <c r="L27" s="342"/>
      <c r="M27" s="202"/>
      <c r="N27" s="199"/>
      <c r="O27" s="199"/>
      <c r="P27" s="199"/>
      <c r="Q27" s="199"/>
      <c r="R27" s="238"/>
      <c r="S27" s="284"/>
      <c r="T27" s="280"/>
      <c r="U27" s="280"/>
      <c r="V27" s="280"/>
      <c r="W27" s="280"/>
      <c r="X27" s="300"/>
      <c r="Y27" s="170"/>
      <c r="Z27" s="167"/>
      <c r="AA27" s="167"/>
      <c r="AB27" s="167"/>
      <c r="AC27" s="167"/>
      <c r="AD27" s="250"/>
      <c r="AE27" s="116"/>
      <c r="AF27" s="113"/>
      <c r="AG27" s="113"/>
      <c r="AH27" s="113"/>
      <c r="AI27" s="113"/>
      <c r="AJ27" s="130"/>
      <c r="AK27" s="81"/>
      <c r="AL27" s="78"/>
      <c r="AM27" s="78"/>
      <c r="AN27" s="78"/>
      <c r="AO27" s="78"/>
      <c r="AP27" s="95"/>
    </row>
    <row r="28" spans="1:42" ht="17.25" customHeight="1" x14ac:dyDescent="0.35">
      <c r="A28" s="388" t="s">
        <v>158</v>
      </c>
      <c r="B28" s="389"/>
      <c r="C28" s="381"/>
      <c r="D28" s="381"/>
      <c r="E28" s="392">
        <f>+'Calculation of Revenue'!F25/6*12</f>
        <v>130380.44681306157</v>
      </c>
      <c r="F28" s="401"/>
      <c r="G28" s="434" t="s">
        <v>129</v>
      </c>
      <c r="H28" s="330"/>
      <c r="I28" s="323"/>
      <c r="J28" s="323"/>
      <c r="K28" s="333">
        <v>341570.34487279999</v>
      </c>
      <c r="L28" s="342"/>
      <c r="M28" s="205" t="s">
        <v>122</v>
      </c>
      <c r="N28" s="206"/>
      <c r="O28" s="199"/>
      <c r="P28" s="199"/>
      <c r="Q28" s="209">
        <v>546247.85422163608</v>
      </c>
      <c r="R28" s="238"/>
      <c r="S28" s="287" t="s">
        <v>110</v>
      </c>
      <c r="T28" s="288"/>
      <c r="U28" s="280"/>
      <c r="V28" s="280"/>
      <c r="W28" s="291">
        <f>+W16</f>
        <v>1122741</v>
      </c>
      <c r="X28" s="300"/>
      <c r="Y28" s="173" t="s">
        <v>108</v>
      </c>
      <c r="Z28" s="174"/>
      <c r="AA28" s="167"/>
      <c r="AB28" s="167"/>
      <c r="AC28" s="177">
        <f>+AC16</f>
        <v>832361</v>
      </c>
      <c r="AD28" s="250"/>
      <c r="AE28" s="119" t="s">
        <v>101</v>
      </c>
      <c r="AF28" s="120"/>
      <c r="AG28" s="113"/>
      <c r="AH28" s="113"/>
      <c r="AI28" s="123">
        <f>+AI16</f>
        <v>1057229.1646778199</v>
      </c>
      <c r="AJ28" s="130"/>
      <c r="AK28" s="84" t="s">
        <v>97</v>
      </c>
      <c r="AL28" s="85"/>
      <c r="AM28" s="78"/>
      <c r="AN28" s="78"/>
      <c r="AO28" s="88">
        <f>+AO16</f>
        <v>1098327.94009028</v>
      </c>
      <c r="AP28" s="95"/>
    </row>
    <row r="29" spans="1:42" x14ac:dyDescent="0.2">
      <c r="A29" s="385" t="s">
        <v>69</v>
      </c>
      <c r="B29" s="381"/>
      <c r="C29" s="381"/>
      <c r="D29" s="381"/>
      <c r="E29" s="392">
        <f>+C14</f>
        <v>572640</v>
      </c>
      <c r="F29" s="401"/>
      <c r="G29" s="323" t="s">
        <v>69</v>
      </c>
      <c r="H29" s="323"/>
      <c r="I29" s="323"/>
      <c r="J29" s="323"/>
      <c r="K29" s="333">
        <f>+I14</f>
        <v>559017</v>
      </c>
      <c r="L29" s="342"/>
      <c r="M29" s="202" t="s">
        <v>69</v>
      </c>
      <c r="N29" s="199"/>
      <c r="O29" s="199"/>
      <c r="P29" s="199"/>
      <c r="Q29" s="209">
        <f>+O14</f>
        <v>550573</v>
      </c>
      <c r="R29" s="238"/>
      <c r="S29" s="284" t="s">
        <v>69</v>
      </c>
      <c r="T29" s="280"/>
      <c r="U29" s="280"/>
      <c r="V29" s="280"/>
      <c r="W29" s="291">
        <f>+U14</f>
        <v>526959</v>
      </c>
      <c r="X29" s="300"/>
      <c r="Y29" s="170" t="s">
        <v>69</v>
      </c>
      <c r="Z29" s="167"/>
      <c r="AA29" s="167"/>
      <c r="AB29" s="167"/>
      <c r="AC29" s="177">
        <f>+AA14</f>
        <v>510979</v>
      </c>
      <c r="AD29" s="250"/>
      <c r="AE29" s="116" t="s">
        <v>69</v>
      </c>
      <c r="AF29" s="113"/>
      <c r="AG29" s="113"/>
      <c r="AH29" s="113"/>
      <c r="AI29" s="123">
        <f>+AG14</f>
        <v>497790</v>
      </c>
      <c r="AJ29" s="130"/>
      <c r="AK29" s="81" t="s">
        <v>69</v>
      </c>
      <c r="AL29" s="78"/>
      <c r="AM29" s="78"/>
      <c r="AN29" s="78"/>
      <c r="AO29" s="88">
        <f>+AM14</f>
        <v>488432</v>
      </c>
      <c r="AP29" s="95"/>
    </row>
    <row r="30" spans="1:42" ht="15" x14ac:dyDescent="0.35">
      <c r="A30" s="385" t="s">
        <v>71</v>
      </c>
      <c r="B30" s="381"/>
      <c r="C30" s="381"/>
      <c r="D30" s="381"/>
      <c r="E30" s="381"/>
      <c r="F30" s="402">
        <f>ROUND(+E28/E29,2)</f>
        <v>0.23</v>
      </c>
      <c r="G30" s="323" t="s">
        <v>71</v>
      </c>
      <c r="H30" s="323"/>
      <c r="I30" s="323"/>
      <c r="J30" s="323"/>
      <c r="K30" s="323"/>
      <c r="L30" s="343">
        <f>ROUND(+K28/K29,2)</f>
        <v>0.61</v>
      </c>
      <c r="M30" s="202" t="s">
        <v>71</v>
      </c>
      <c r="N30" s="199"/>
      <c r="O30" s="199"/>
      <c r="P30" s="199"/>
      <c r="Q30" s="199"/>
      <c r="R30" s="239">
        <f>ROUND(+Q28/Q29,2)</f>
        <v>0.99</v>
      </c>
      <c r="S30" s="284" t="s">
        <v>71</v>
      </c>
      <c r="T30" s="280"/>
      <c r="U30" s="280"/>
      <c r="V30" s="280"/>
      <c r="W30" s="280"/>
      <c r="X30" s="301">
        <f>ROUND(+W28/W29,2)</f>
        <v>2.13</v>
      </c>
      <c r="Y30" s="170" t="s">
        <v>71</v>
      </c>
      <c r="Z30" s="167"/>
      <c r="AA30" s="167"/>
      <c r="AB30" s="167"/>
      <c r="AC30" s="167"/>
      <c r="AD30" s="251">
        <f>ROUND(+AC28/AC29,2)</f>
        <v>1.63</v>
      </c>
      <c r="AE30" s="116" t="s">
        <v>71</v>
      </c>
      <c r="AF30" s="113"/>
      <c r="AG30" s="113"/>
      <c r="AH30" s="113"/>
      <c r="AI30" s="113"/>
      <c r="AJ30" s="131">
        <f>ROUND(+AI28/AI29,2)</f>
        <v>2.12</v>
      </c>
      <c r="AK30" s="81" t="s">
        <v>71</v>
      </c>
      <c r="AL30" s="78"/>
      <c r="AM30" s="78"/>
      <c r="AN30" s="78"/>
      <c r="AO30" s="78"/>
      <c r="AP30" s="96">
        <f>+AO28/AO29</f>
        <v>2.2486813724127002</v>
      </c>
    </row>
    <row r="31" spans="1:42" x14ac:dyDescent="0.2">
      <c r="A31" s="385"/>
      <c r="B31" s="381"/>
      <c r="C31" s="381"/>
      <c r="D31" s="381"/>
      <c r="E31" s="381"/>
      <c r="F31" s="401"/>
      <c r="G31" s="323"/>
      <c r="H31" s="323"/>
      <c r="I31" s="323"/>
      <c r="J31" s="323"/>
      <c r="K31" s="323"/>
      <c r="L31" s="342"/>
      <c r="M31" s="202"/>
      <c r="N31" s="199"/>
      <c r="O31" s="199"/>
      <c r="P31" s="199"/>
      <c r="Q31" s="199"/>
      <c r="R31" s="238"/>
      <c r="S31" s="284"/>
      <c r="T31" s="280"/>
      <c r="U31" s="280"/>
      <c r="V31" s="280"/>
      <c r="W31" s="280"/>
      <c r="X31" s="300"/>
      <c r="Y31" s="170"/>
      <c r="Z31" s="167"/>
      <c r="AA31" s="167"/>
      <c r="AB31" s="167"/>
      <c r="AC31" s="167"/>
      <c r="AD31" s="250"/>
      <c r="AE31" s="116"/>
      <c r="AF31" s="113"/>
      <c r="AG31" s="113"/>
      <c r="AH31" s="113"/>
      <c r="AI31" s="113"/>
      <c r="AJ31" s="130"/>
      <c r="AK31" s="81"/>
      <c r="AL31" s="78"/>
      <c r="AM31" s="78"/>
      <c r="AN31" s="78"/>
      <c r="AO31" s="78"/>
      <c r="AP31" s="95"/>
    </row>
    <row r="32" spans="1:42" ht="18.75" thickBot="1" x14ac:dyDescent="0.4">
      <c r="A32" s="378" t="s">
        <v>163</v>
      </c>
      <c r="B32" s="379"/>
      <c r="C32" s="381"/>
      <c r="D32" s="381"/>
      <c r="E32" s="381"/>
      <c r="F32" s="403">
        <f>+F26+F30</f>
        <v>-0.17999999999999997</v>
      </c>
      <c r="G32" s="321" t="s">
        <v>72</v>
      </c>
      <c r="H32" s="321"/>
      <c r="I32" s="323"/>
      <c r="J32" s="323"/>
      <c r="K32" s="323"/>
      <c r="L32" s="344">
        <f>+L26+L30</f>
        <v>0.13</v>
      </c>
      <c r="M32" s="196" t="s">
        <v>72</v>
      </c>
      <c r="N32" s="197"/>
      <c r="O32" s="199"/>
      <c r="P32" s="199"/>
      <c r="Q32" s="199"/>
      <c r="R32" s="240">
        <f>+R26+R30</f>
        <v>9.9999999999999978E-2</v>
      </c>
      <c r="S32" s="277" t="s">
        <v>72</v>
      </c>
      <c r="T32" s="278"/>
      <c r="U32" s="280"/>
      <c r="V32" s="280"/>
      <c r="W32" s="280"/>
      <c r="X32" s="302">
        <f>+X26+X30</f>
        <v>2.5499999999999998</v>
      </c>
      <c r="Y32" s="164" t="s">
        <v>72</v>
      </c>
      <c r="Z32" s="165"/>
      <c r="AA32" s="167"/>
      <c r="AB32" s="167"/>
      <c r="AC32" s="167"/>
      <c r="AD32" s="252">
        <f>+AD26+AD30</f>
        <v>1.1199999999999999</v>
      </c>
      <c r="AE32" s="110" t="s">
        <v>72</v>
      </c>
      <c r="AF32" s="111"/>
      <c r="AG32" s="113"/>
      <c r="AH32" s="113"/>
      <c r="AI32" s="113"/>
      <c r="AJ32" s="132">
        <f>+AJ26+AJ30</f>
        <v>2.02</v>
      </c>
      <c r="AK32" s="75" t="s">
        <v>72</v>
      </c>
      <c r="AL32" s="76"/>
      <c r="AM32" s="78"/>
      <c r="AN32" s="78"/>
      <c r="AO32" s="78"/>
      <c r="AP32" s="97">
        <f>+AP26+AP30</f>
        <v>2.2286813724127001</v>
      </c>
    </row>
    <row r="33" spans="1:42" ht="18.75" thickTop="1" x14ac:dyDescent="0.35">
      <c r="A33" s="378"/>
      <c r="B33" s="379"/>
      <c r="C33" s="381"/>
      <c r="D33" s="381"/>
      <c r="E33" s="381"/>
      <c r="F33" s="404"/>
      <c r="G33" s="321"/>
      <c r="H33" s="321"/>
      <c r="I33" s="323"/>
      <c r="J33" s="323"/>
      <c r="K33" s="323"/>
      <c r="L33" s="345"/>
      <c r="M33" s="196"/>
      <c r="N33" s="197"/>
      <c r="O33" s="199"/>
      <c r="P33" s="199"/>
      <c r="Q33" s="199"/>
      <c r="R33" s="241"/>
      <c r="S33" s="277"/>
      <c r="T33" s="278"/>
      <c r="U33" s="280"/>
      <c r="V33" s="280"/>
      <c r="W33" s="280"/>
      <c r="X33" s="303"/>
      <c r="Y33" s="164"/>
      <c r="Z33" s="165"/>
      <c r="AA33" s="167"/>
      <c r="AB33" s="167"/>
      <c r="AC33" s="167"/>
      <c r="AD33" s="253"/>
      <c r="AE33" s="110"/>
      <c r="AF33" s="111"/>
      <c r="AG33" s="113"/>
      <c r="AH33" s="113"/>
      <c r="AI33" s="113"/>
      <c r="AJ33" s="133"/>
      <c r="AK33" s="75"/>
      <c r="AL33" s="76"/>
      <c r="AM33" s="78"/>
      <c r="AN33" s="78"/>
      <c r="AO33" s="78"/>
      <c r="AP33" s="98"/>
    </row>
    <row r="34" spans="1:42" ht="21" x14ac:dyDescent="0.55000000000000004">
      <c r="A34" s="378" t="s">
        <v>159</v>
      </c>
      <c r="B34" s="379"/>
      <c r="C34" s="381"/>
      <c r="D34" s="418">
        <v>29475</v>
      </c>
      <c r="E34" s="381"/>
      <c r="F34" s="437">
        <f>ROUND(-D34/50000/12,2)</f>
        <v>-0.05</v>
      </c>
      <c r="G34" s="321"/>
      <c r="H34" s="321"/>
      <c r="I34" s="323"/>
      <c r="J34" s="323"/>
      <c r="K34" s="323"/>
      <c r="L34" s="345"/>
      <c r="M34" s="196"/>
      <c r="N34" s="197"/>
      <c r="O34" s="199"/>
      <c r="P34" s="199"/>
      <c r="Q34" s="199"/>
      <c r="R34" s="241"/>
      <c r="S34" s="277"/>
      <c r="T34" s="278"/>
      <c r="U34" s="280"/>
      <c r="V34" s="280"/>
      <c r="W34" s="280"/>
      <c r="X34" s="303"/>
      <c r="Y34" s="164"/>
      <c r="Z34" s="165"/>
      <c r="AA34" s="167"/>
      <c r="AB34" s="167"/>
      <c r="AC34" s="167"/>
      <c r="AD34" s="253"/>
      <c r="AE34" s="110"/>
      <c r="AF34" s="111"/>
      <c r="AG34" s="113"/>
      <c r="AH34" s="113"/>
      <c r="AI34" s="113"/>
      <c r="AJ34" s="133"/>
      <c r="AK34" s="75"/>
      <c r="AL34" s="76"/>
      <c r="AM34" s="78"/>
      <c r="AN34" s="78"/>
      <c r="AO34" s="78"/>
      <c r="AP34" s="98"/>
    </row>
    <row r="35" spans="1:42" ht="18" x14ac:dyDescent="0.35">
      <c r="A35" s="378"/>
      <c r="B35" s="379"/>
      <c r="C35" s="381"/>
      <c r="D35" s="417"/>
      <c r="E35" s="381"/>
      <c r="F35" s="404"/>
      <c r="G35" s="321"/>
      <c r="H35" s="321"/>
      <c r="I35" s="323"/>
      <c r="J35" s="323"/>
      <c r="K35" s="323"/>
      <c r="L35" s="345"/>
      <c r="M35" s="196"/>
      <c r="N35" s="197"/>
      <c r="O35" s="199"/>
      <c r="P35" s="199"/>
      <c r="Q35" s="199"/>
      <c r="R35" s="241"/>
      <c r="S35" s="277"/>
      <c r="T35" s="278"/>
      <c r="U35" s="280"/>
      <c r="V35" s="280"/>
      <c r="W35" s="280"/>
      <c r="X35" s="303"/>
      <c r="Y35" s="164"/>
      <c r="Z35" s="165"/>
      <c r="AA35" s="167"/>
      <c r="AB35" s="167"/>
      <c r="AC35" s="167"/>
      <c r="AD35" s="253"/>
      <c r="AE35" s="110"/>
      <c r="AF35" s="111"/>
      <c r="AG35" s="113"/>
      <c r="AH35" s="113"/>
      <c r="AI35" s="113"/>
      <c r="AJ35" s="133"/>
      <c r="AK35" s="75"/>
      <c r="AL35" s="76"/>
      <c r="AM35" s="78"/>
      <c r="AN35" s="78"/>
      <c r="AO35" s="78"/>
      <c r="AP35" s="98"/>
    </row>
    <row r="36" spans="1:42" ht="20.25" x14ac:dyDescent="0.5">
      <c r="A36" s="420" t="s">
        <v>160</v>
      </c>
      <c r="B36" s="379"/>
      <c r="C36" s="381"/>
      <c r="D36" s="417"/>
      <c r="E36" s="381"/>
      <c r="F36" s="419">
        <f>+F34+F32</f>
        <v>-0.22999999999999998</v>
      </c>
      <c r="G36" s="321"/>
      <c r="H36" s="321"/>
      <c r="I36" s="323"/>
      <c r="J36" s="323"/>
      <c r="K36" s="323"/>
      <c r="L36" s="345"/>
      <c r="M36" s="196"/>
      <c r="N36" s="197"/>
      <c r="O36" s="199"/>
      <c r="P36" s="199"/>
      <c r="Q36" s="199"/>
      <c r="R36" s="241"/>
      <c r="S36" s="277"/>
      <c r="T36" s="278"/>
      <c r="U36" s="280"/>
      <c r="V36" s="280"/>
      <c r="W36" s="280"/>
      <c r="X36" s="303"/>
      <c r="Y36" s="164"/>
      <c r="Z36" s="165"/>
      <c r="AA36" s="167"/>
      <c r="AB36" s="167"/>
      <c r="AC36" s="167"/>
      <c r="AD36" s="253"/>
      <c r="AE36" s="110"/>
      <c r="AF36" s="111"/>
      <c r="AG36" s="113"/>
      <c r="AH36" s="113"/>
      <c r="AI36" s="113"/>
      <c r="AJ36" s="133"/>
      <c r="AK36" s="75"/>
      <c r="AL36" s="76"/>
      <c r="AM36" s="78"/>
      <c r="AN36" s="78"/>
      <c r="AO36" s="78"/>
      <c r="AP36" s="98"/>
    </row>
    <row r="37" spans="1:42" ht="18.75" thickBot="1" x14ac:dyDescent="0.4">
      <c r="A37" s="438"/>
      <c r="B37" s="415"/>
      <c r="C37" s="415"/>
      <c r="D37" s="415"/>
      <c r="E37" s="415"/>
      <c r="F37" s="433"/>
      <c r="G37" s="356"/>
      <c r="H37" s="356"/>
      <c r="I37" s="357"/>
      <c r="J37" s="357"/>
      <c r="K37" s="357"/>
      <c r="L37" s="421"/>
      <c r="M37" s="244"/>
      <c r="N37" s="245"/>
      <c r="O37" s="220"/>
      <c r="P37" s="220"/>
      <c r="Q37" s="220"/>
      <c r="R37" s="422"/>
      <c r="S37" s="313"/>
      <c r="T37" s="314"/>
      <c r="U37" s="315"/>
      <c r="V37" s="315"/>
      <c r="W37" s="315"/>
      <c r="X37" s="423"/>
      <c r="Y37" s="258"/>
      <c r="Z37" s="259"/>
      <c r="AA37" s="188"/>
      <c r="AB37" s="188"/>
      <c r="AC37" s="188"/>
      <c r="AD37" s="424"/>
      <c r="AE37" s="425"/>
      <c r="AF37" s="426"/>
      <c r="AG37" s="427"/>
      <c r="AH37" s="427"/>
      <c r="AI37" s="427"/>
      <c r="AJ37" s="428"/>
      <c r="AK37" s="429"/>
      <c r="AL37" s="430"/>
      <c r="AM37" s="431"/>
      <c r="AN37" s="431"/>
      <c r="AO37" s="431"/>
      <c r="AP37" s="432"/>
    </row>
    <row r="38" spans="1:42" ht="20.25" x14ac:dyDescent="0.5">
      <c r="A38" s="420"/>
      <c r="B38" s="379"/>
      <c r="C38" s="381"/>
      <c r="D38" s="417"/>
      <c r="E38" s="381"/>
      <c r="F38" s="419"/>
      <c r="G38" s="320"/>
      <c r="H38" s="321"/>
      <c r="I38" s="323"/>
      <c r="J38" s="323"/>
      <c r="K38" s="323"/>
      <c r="L38" s="345"/>
      <c r="M38" s="196"/>
      <c r="N38" s="197"/>
      <c r="O38" s="199"/>
      <c r="P38" s="199"/>
      <c r="Q38" s="199"/>
      <c r="R38" s="241"/>
      <c r="S38" s="277"/>
      <c r="T38" s="278"/>
      <c r="U38" s="280"/>
      <c r="V38" s="280"/>
      <c r="W38" s="280"/>
      <c r="X38" s="303"/>
      <c r="Y38" s="164"/>
      <c r="Z38" s="165"/>
      <c r="AA38" s="167"/>
      <c r="AB38" s="167"/>
      <c r="AC38" s="167"/>
      <c r="AD38" s="253"/>
      <c r="AE38" s="110"/>
      <c r="AF38" s="111"/>
      <c r="AG38" s="113"/>
      <c r="AH38" s="113"/>
      <c r="AI38" s="113"/>
      <c r="AJ38" s="133"/>
      <c r="AK38" s="75"/>
      <c r="AL38" s="76"/>
      <c r="AM38" s="78"/>
      <c r="AN38" s="78"/>
      <c r="AO38" s="78"/>
      <c r="AP38" s="98"/>
    </row>
    <row r="39" spans="1:42" ht="18" x14ac:dyDescent="0.35">
      <c r="A39" s="378"/>
      <c r="B39" s="379"/>
      <c r="C39" s="381"/>
      <c r="D39" s="381"/>
      <c r="E39" s="381"/>
      <c r="F39" s="404"/>
      <c r="G39" s="320"/>
      <c r="H39" s="321"/>
      <c r="I39" s="323"/>
      <c r="J39" s="323"/>
      <c r="K39" s="323"/>
      <c r="L39" s="345"/>
      <c r="M39" s="196"/>
      <c r="N39" s="197"/>
      <c r="O39" s="199"/>
      <c r="P39" s="199"/>
      <c r="Q39" s="199"/>
      <c r="R39" s="241"/>
      <c r="S39" s="277"/>
      <c r="T39" s="278"/>
      <c r="U39" s="280"/>
      <c r="V39" s="280"/>
      <c r="W39" s="280"/>
      <c r="X39" s="303"/>
      <c r="Y39" s="164"/>
      <c r="Z39" s="165"/>
      <c r="AA39" s="167"/>
      <c r="AB39" s="167"/>
      <c r="AC39" s="167"/>
      <c r="AD39" s="253"/>
      <c r="AE39" s="110"/>
      <c r="AF39" s="111"/>
      <c r="AG39" s="113"/>
      <c r="AH39" s="113"/>
      <c r="AI39" s="113"/>
      <c r="AJ39" s="133"/>
      <c r="AK39" s="75"/>
      <c r="AL39" s="76"/>
      <c r="AM39" s="78"/>
      <c r="AN39" s="78"/>
      <c r="AO39" s="78"/>
      <c r="AP39" s="98"/>
    </row>
    <row r="40" spans="1:42" ht="19.5" x14ac:dyDescent="0.4">
      <c r="A40" s="405" t="s">
        <v>20</v>
      </c>
      <c r="B40" s="406"/>
      <c r="C40" s="406"/>
      <c r="D40" s="406"/>
      <c r="E40" s="406"/>
      <c r="F40" s="407"/>
      <c r="G40" s="346" t="s">
        <v>20</v>
      </c>
      <c r="H40" s="347"/>
      <c r="I40" s="347"/>
      <c r="J40" s="347"/>
      <c r="K40" s="347"/>
      <c r="L40" s="348"/>
      <c r="M40" s="262" t="s">
        <v>20</v>
      </c>
      <c r="N40" s="263"/>
      <c r="O40" s="263"/>
      <c r="P40" s="263"/>
      <c r="Q40" s="263"/>
      <c r="R40" s="264"/>
      <c r="S40" s="304" t="s">
        <v>20</v>
      </c>
      <c r="T40" s="305"/>
      <c r="U40" s="305"/>
      <c r="V40" s="305"/>
      <c r="W40" s="305"/>
      <c r="X40" s="306"/>
      <c r="Y40" s="228" t="s">
        <v>20</v>
      </c>
      <c r="Z40" s="229"/>
      <c r="AA40" s="229"/>
      <c r="AB40" s="229"/>
      <c r="AC40" s="229"/>
      <c r="AD40" s="254"/>
      <c r="AE40" s="226" t="s">
        <v>20</v>
      </c>
      <c r="AF40" s="227"/>
      <c r="AG40" s="227"/>
      <c r="AH40" s="227"/>
      <c r="AI40" s="227"/>
      <c r="AJ40" s="227"/>
      <c r="AK40" s="230" t="s">
        <v>20</v>
      </c>
      <c r="AL40" s="231"/>
      <c r="AM40" s="231"/>
      <c r="AN40" s="231"/>
      <c r="AO40" s="231"/>
      <c r="AP40" s="231"/>
    </row>
    <row r="41" spans="1:42" x14ac:dyDescent="0.2">
      <c r="A41" s="385"/>
      <c r="B41" s="381"/>
      <c r="C41" s="381"/>
      <c r="D41" s="381"/>
      <c r="E41" s="381"/>
      <c r="F41" s="382"/>
      <c r="G41" s="326"/>
      <c r="H41" s="323"/>
      <c r="I41" s="323"/>
      <c r="J41" s="323"/>
      <c r="K41" s="323"/>
      <c r="L41" s="324"/>
      <c r="M41" s="202"/>
      <c r="N41" s="199"/>
      <c r="O41" s="199"/>
      <c r="P41" s="199"/>
      <c r="Q41" s="199"/>
      <c r="R41" s="236"/>
      <c r="S41" s="284"/>
      <c r="T41" s="280"/>
      <c r="U41" s="280"/>
      <c r="V41" s="280"/>
      <c r="W41" s="280"/>
      <c r="X41" s="281"/>
      <c r="Y41" s="170"/>
      <c r="Z41" s="167"/>
      <c r="AA41" s="167"/>
      <c r="AB41" s="167"/>
      <c r="AC41" s="167"/>
      <c r="AD41" s="248"/>
      <c r="AE41" s="116"/>
      <c r="AF41" s="113"/>
      <c r="AG41" s="113"/>
      <c r="AH41" s="113"/>
      <c r="AI41" s="113"/>
      <c r="AJ41" s="113"/>
      <c r="AK41" s="81"/>
      <c r="AL41" s="78"/>
      <c r="AM41" s="78"/>
      <c r="AN41" s="78"/>
      <c r="AO41" s="78"/>
      <c r="AP41" s="78"/>
    </row>
    <row r="42" spans="1:42" x14ac:dyDescent="0.2">
      <c r="A42" s="385"/>
      <c r="B42" s="381"/>
      <c r="C42" s="386"/>
      <c r="D42" s="386" t="s">
        <v>63</v>
      </c>
      <c r="E42" s="386" t="s">
        <v>22</v>
      </c>
      <c r="F42" s="382"/>
      <c r="G42" s="326"/>
      <c r="H42" s="323"/>
      <c r="I42" s="327"/>
      <c r="J42" s="327" t="s">
        <v>63</v>
      </c>
      <c r="K42" s="327" t="s">
        <v>22</v>
      </c>
      <c r="L42" s="324"/>
      <c r="M42" s="202"/>
      <c r="N42" s="199"/>
      <c r="O42" s="203"/>
      <c r="P42" s="203" t="s">
        <v>63</v>
      </c>
      <c r="Q42" s="203" t="s">
        <v>22</v>
      </c>
      <c r="R42" s="236"/>
      <c r="S42" s="284"/>
      <c r="T42" s="280"/>
      <c r="U42" s="285"/>
      <c r="V42" s="285" t="s">
        <v>63</v>
      </c>
      <c r="W42" s="285" t="s">
        <v>22</v>
      </c>
      <c r="X42" s="281"/>
      <c r="Y42" s="170"/>
      <c r="Z42" s="167"/>
      <c r="AA42" s="171"/>
      <c r="AB42" s="171" t="s">
        <v>63</v>
      </c>
      <c r="AC42" s="171" t="s">
        <v>22</v>
      </c>
      <c r="AD42" s="248"/>
      <c r="AE42" s="116"/>
      <c r="AF42" s="113"/>
      <c r="AG42" s="117"/>
      <c r="AH42" s="117" t="s">
        <v>63</v>
      </c>
      <c r="AI42" s="117" t="s">
        <v>22</v>
      </c>
      <c r="AJ42" s="113"/>
      <c r="AK42" s="81"/>
      <c r="AL42" s="78"/>
      <c r="AM42" s="82"/>
      <c r="AN42" s="82" t="s">
        <v>63</v>
      </c>
      <c r="AO42" s="82" t="s">
        <v>22</v>
      </c>
      <c r="AP42" s="78"/>
    </row>
    <row r="43" spans="1:42" x14ac:dyDescent="0.2">
      <c r="A43" s="385"/>
      <c r="B43" s="381"/>
      <c r="C43" s="408" t="s">
        <v>30</v>
      </c>
      <c r="D43" s="408" t="s">
        <v>64</v>
      </c>
      <c r="E43" s="408" t="s">
        <v>28</v>
      </c>
      <c r="F43" s="382"/>
      <c r="G43" s="326"/>
      <c r="H43" s="323"/>
      <c r="I43" s="349" t="s">
        <v>30</v>
      </c>
      <c r="J43" s="349" t="s">
        <v>64</v>
      </c>
      <c r="K43" s="349" t="s">
        <v>28</v>
      </c>
      <c r="L43" s="324"/>
      <c r="M43" s="202"/>
      <c r="N43" s="199"/>
      <c r="O43" s="217" t="s">
        <v>30</v>
      </c>
      <c r="P43" s="217" t="s">
        <v>64</v>
      </c>
      <c r="Q43" s="217" t="s">
        <v>28</v>
      </c>
      <c r="R43" s="236"/>
      <c r="S43" s="284"/>
      <c r="T43" s="280"/>
      <c r="U43" s="307" t="s">
        <v>30</v>
      </c>
      <c r="V43" s="307" t="s">
        <v>64</v>
      </c>
      <c r="W43" s="307" t="s">
        <v>28</v>
      </c>
      <c r="X43" s="281"/>
      <c r="Y43" s="170"/>
      <c r="Z43" s="167"/>
      <c r="AA43" s="185" t="s">
        <v>30</v>
      </c>
      <c r="AB43" s="185" t="s">
        <v>64</v>
      </c>
      <c r="AC43" s="185" t="s">
        <v>28</v>
      </c>
      <c r="AD43" s="248"/>
      <c r="AE43" s="116"/>
      <c r="AF43" s="113"/>
      <c r="AG43" s="134" t="s">
        <v>30</v>
      </c>
      <c r="AH43" s="134" t="s">
        <v>64</v>
      </c>
      <c r="AI43" s="134" t="s">
        <v>28</v>
      </c>
      <c r="AJ43" s="113"/>
      <c r="AK43" s="81"/>
      <c r="AL43" s="78"/>
      <c r="AM43" s="99" t="s">
        <v>30</v>
      </c>
      <c r="AN43" s="99" t="s">
        <v>64</v>
      </c>
      <c r="AO43" s="99" t="s">
        <v>28</v>
      </c>
      <c r="AP43" s="78"/>
    </row>
    <row r="44" spans="1:42" ht="16.5" x14ac:dyDescent="0.35">
      <c r="A44" s="388" t="str">
        <f>A10</f>
        <v>Projected Revenue Sep 2019-Aug 2020</v>
      </c>
      <c r="B44" s="389"/>
      <c r="C44" s="390"/>
      <c r="D44" s="390"/>
      <c r="E44" s="390"/>
      <c r="F44" s="382"/>
      <c r="G44" s="329" t="str">
        <f>G10</f>
        <v>Projected Revenue Sep 2018-Aug 2019</v>
      </c>
      <c r="H44" s="330"/>
      <c r="I44" s="331"/>
      <c r="J44" s="331"/>
      <c r="K44" s="331"/>
      <c r="L44" s="324"/>
      <c r="M44" s="205" t="str">
        <f>M10</f>
        <v>Projected Revenue Sep 2017-Aug 2018</v>
      </c>
      <c r="N44" s="206"/>
      <c r="O44" s="207"/>
      <c r="P44" s="207"/>
      <c r="Q44" s="207"/>
      <c r="R44" s="236"/>
      <c r="S44" s="287" t="str">
        <f>S10</f>
        <v>Projected Revenue Sep 2016-Aug 2017</v>
      </c>
      <c r="T44" s="288"/>
      <c r="U44" s="289"/>
      <c r="V44" s="289"/>
      <c r="W44" s="289"/>
      <c r="X44" s="281"/>
      <c r="Y44" s="173" t="str">
        <f>Y10</f>
        <v>Projected Revenue Sep 2015-Aug 2016</v>
      </c>
      <c r="Z44" s="174"/>
      <c r="AA44" s="175"/>
      <c r="AB44" s="175"/>
      <c r="AC44" s="175"/>
      <c r="AD44" s="248"/>
      <c r="AE44" s="119" t="str">
        <f>AE10</f>
        <v>Projected Revenue Sep 2014-Aug 2015</v>
      </c>
      <c r="AF44" s="120"/>
      <c r="AG44" s="121"/>
      <c r="AH44" s="121"/>
      <c r="AI44" s="121"/>
      <c r="AJ44" s="113"/>
      <c r="AK44" s="84" t="str">
        <f>AK10</f>
        <v>Projected Revenue Sep 2013-Aug 2014</v>
      </c>
      <c r="AL44" s="85"/>
      <c r="AM44" s="86"/>
      <c r="AN44" s="86"/>
      <c r="AO44" s="86"/>
      <c r="AP44" s="78"/>
    </row>
    <row r="45" spans="1:42" x14ac:dyDescent="0.2">
      <c r="A45" s="391" t="s">
        <v>65</v>
      </c>
      <c r="B45" s="395"/>
      <c r="C45" s="392">
        <f>+'MF Units'!C9+'MF Units'!C10</f>
        <v>11910.031818181811</v>
      </c>
      <c r="D45" s="393">
        <f>+J47</f>
        <v>0.28999999999999998</v>
      </c>
      <c r="E45" s="392">
        <f>C45*D45</f>
        <v>3453.9092272727248</v>
      </c>
      <c r="F45" s="382"/>
      <c r="G45" s="332" t="s">
        <v>65</v>
      </c>
      <c r="H45" s="336"/>
      <c r="I45" s="333">
        <v>11761.868181818176</v>
      </c>
      <c r="J45" s="350">
        <f>+P47</f>
        <v>0.47</v>
      </c>
      <c r="K45" s="333">
        <f>I45*J45</f>
        <v>5528.078045454542</v>
      </c>
      <c r="L45" s="324"/>
      <c r="M45" s="208" t="s">
        <v>65</v>
      </c>
      <c r="N45" s="212"/>
      <c r="O45" s="209">
        <v>11389.822727272722</v>
      </c>
      <c r="P45" s="218">
        <v>0.34</v>
      </c>
      <c r="Q45" s="209">
        <f>O45*P45</f>
        <v>3872.5397272727255</v>
      </c>
      <c r="R45" s="236"/>
      <c r="S45" s="290" t="s">
        <v>65</v>
      </c>
      <c r="T45" s="294"/>
      <c r="U45" s="291">
        <v>12789</v>
      </c>
      <c r="V45" s="308">
        <f>+AB47</f>
        <v>0.39</v>
      </c>
      <c r="W45" s="291">
        <f>U45*V45</f>
        <v>4987.71</v>
      </c>
      <c r="X45" s="281"/>
      <c r="Y45" s="176" t="s">
        <v>65</v>
      </c>
      <c r="Z45" s="180"/>
      <c r="AA45" s="177">
        <v>12789</v>
      </c>
      <c r="AB45" s="186">
        <v>0.39</v>
      </c>
      <c r="AC45" s="177">
        <f>AA45*AB45</f>
        <v>4987.71</v>
      </c>
      <c r="AD45" s="248"/>
      <c r="AE45" s="122" t="s">
        <v>65</v>
      </c>
      <c r="AF45" s="125"/>
      <c r="AG45" s="123">
        <v>12902</v>
      </c>
      <c r="AH45" s="124">
        <f>+AN47</f>
        <v>0.35</v>
      </c>
      <c r="AI45" s="123">
        <f>AG45*AH45</f>
        <v>4515.7</v>
      </c>
      <c r="AJ45" s="113"/>
      <c r="AK45" s="87" t="s">
        <v>65</v>
      </c>
      <c r="AL45" s="90"/>
      <c r="AM45" s="88">
        <v>12916</v>
      </c>
      <c r="AN45" s="89">
        <v>0.5</v>
      </c>
      <c r="AO45" s="88">
        <f>AM45*AN45</f>
        <v>6458</v>
      </c>
      <c r="AP45" s="78"/>
    </row>
    <row r="46" spans="1:42" x14ac:dyDescent="0.2">
      <c r="A46" s="391"/>
      <c r="B46" s="395"/>
      <c r="C46" s="392"/>
      <c r="D46" s="393"/>
      <c r="E46" s="392"/>
      <c r="F46" s="382"/>
      <c r="G46" s="332"/>
      <c r="H46" s="336"/>
      <c r="I46" s="333"/>
      <c r="J46" s="350"/>
      <c r="K46" s="333"/>
      <c r="L46" s="324"/>
      <c r="M46" s="208"/>
      <c r="N46" s="212"/>
      <c r="O46" s="209"/>
      <c r="P46" s="218"/>
      <c r="Q46" s="209"/>
      <c r="R46" s="236"/>
      <c r="S46" s="290"/>
      <c r="T46" s="294"/>
      <c r="U46" s="291"/>
      <c r="V46" s="308"/>
      <c r="W46" s="291"/>
      <c r="X46" s="281"/>
      <c r="Y46" s="176"/>
      <c r="Z46" s="180"/>
      <c r="AA46" s="177"/>
      <c r="AB46" s="186"/>
      <c r="AC46" s="177"/>
      <c r="AD46" s="248"/>
      <c r="AE46" s="122"/>
      <c r="AF46" s="125"/>
      <c r="AG46" s="123"/>
      <c r="AH46" s="124"/>
      <c r="AI46" s="123"/>
      <c r="AJ46" s="113"/>
      <c r="AK46" s="87"/>
      <c r="AL46" s="90"/>
      <c r="AM46" s="88"/>
      <c r="AN46" s="89"/>
      <c r="AO46" s="88"/>
      <c r="AP46" s="78"/>
    </row>
    <row r="47" spans="1:42" ht="15" x14ac:dyDescent="0.35">
      <c r="A47" s="391" t="s">
        <v>66</v>
      </c>
      <c r="B47" s="395"/>
      <c r="C47" s="396">
        <f>SUM('MF Units'!C11:C20)</f>
        <v>60810.861363636337</v>
      </c>
      <c r="D47" s="393">
        <f>+L64</f>
        <v>0.28999999999999998</v>
      </c>
      <c r="E47" s="396">
        <f>C47*D47</f>
        <v>17635.149795454538</v>
      </c>
      <c r="F47" s="382"/>
      <c r="G47" s="332" t="s">
        <v>66</v>
      </c>
      <c r="H47" s="336"/>
      <c r="I47" s="337">
        <v>59929.054545454521</v>
      </c>
      <c r="J47" s="350">
        <f>+R64</f>
        <v>0.28999999999999998</v>
      </c>
      <c r="K47" s="337">
        <f>I47*J47</f>
        <v>17379.425818181811</v>
      </c>
      <c r="L47" s="324"/>
      <c r="M47" s="208" t="s">
        <v>66</v>
      </c>
      <c r="N47" s="212"/>
      <c r="O47" s="213">
        <v>56963.338636363609</v>
      </c>
      <c r="P47" s="218">
        <v>0.47</v>
      </c>
      <c r="Q47" s="213">
        <f>O47*P47</f>
        <v>26772.769159090894</v>
      </c>
      <c r="R47" s="236"/>
      <c r="S47" s="290" t="s">
        <v>66</v>
      </c>
      <c r="T47" s="294"/>
      <c r="U47" s="295">
        <v>62797</v>
      </c>
      <c r="V47" s="308">
        <f>+AD64</f>
        <v>0.34</v>
      </c>
      <c r="W47" s="295">
        <f>U47*V47</f>
        <v>21350.980000000003</v>
      </c>
      <c r="X47" s="281"/>
      <c r="Y47" s="176" t="s">
        <v>66</v>
      </c>
      <c r="Z47" s="180"/>
      <c r="AA47" s="181">
        <v>62774</v>
      </c>
      <c r="AB47" s="186">
        <v>0.39</v>
      </c>
      <c r="AC47" s="181">
        <f>AA47*AB47</f>
        <v>24481.86</v>
      </c>
      <c r="AD47" s="248"/>
      <c r="AE47" s="122" t="s">
        <v>66</v>
      </c>
      <c r="AF47" s="125"/>
      <c r="AG47" s="126">
        <v>64538</v>
      </c>
      <c r="AH47" s="124">
        <f>+AP64</f>
        <v>0.39292263980369369</v>
      </c>
      <c r="AI47" s="126">
        <f>AG47*AH47</f>
        <v>25358.441327650784</v>
      </c>
      <c r="AJ47" s="113"/>
      <c r="AK47" s="87" t="s">
        <v>66</v>
      </c>
      <c r="AL47" s="90"/>
      <c r="AM47" s="91">
        <v>64514</v>
      </c>
      <c r="AN47" s="89">
        <v>0.35</v>
      </c>
      <c r="AO47" s="91">
        <f>AM47*AN47</f>
        <v>22579.899999999998</v>
      </c>
      <c r="AP47" s="78"/>
    </row>
    <row r="48" spans="1:42" x14ac:dyDescent="0.2">
      <c r="A48" s="385" t="s">
        <v>22</v>
      </c>
      <c r="B48" s="381"/>
      <c r="C48" s="392">
        <f>SUM(C45:C47)</f>
        <v>72720.893181818145</v>
      </c>
      <c r="D48" s="381"/>
      <c r="E48" s="392">
        <f>SUM(E45:E47)</f>
        <v>21089.059022727262</v>
      </c>
      <c r="F48" s="382"/>
      <c r="G48" s="326" t="s">
        <v>22</v>
      </c>
      <c r="H48" s="323"/>
      <c r="I48" s="333">
        <f>SUM(I45:I47)</f>
        <v>71690.9227272727</v>
      </c>
      <c r="J48" s="323"/>
      <c r="K48" s="333">
        <f>SUM(K45:K47)</f>
        <v>22907.503863636353</v>
      </c>
      <c r="L48" s="324"/>
      <c r="M48" s="202" t="s">
        <v>22</v>
      </c>
      <c r="N48" s="199"/>
      <c r="O48" s="209">
        <f>SUM(O45:O47)</f>
        <v>68353.161363636333</v>
      </c>
      <c r="P48" s="199"/>
      <c r="Q48" s="209">
        <f>SUM(Q45:Q47)</f>
        <v>30645.308886363619</v>
      </c>
      <c r="R48" s="236"/>
      <c r="S48" s="284" t="s">
        <v>22</v>
      </c>
      <c r="T48" s="280"/>
      <c r="U48" s="291">
        <f>SUM(U45:U47)</f>
        <v>75586</v>
      </c>
      <c r="V48" s="280"/>
      <c r="W48" s="291">
        <f>SUM(W45:W47)</f>
        <v>26338.690000000002</v>
      </c>
      <c r="X48" s="281"/>
      <c r="Y48" s="170" t="s">
        <v>22</v>
      </c>
      <c r="Z48" s="167"/>
      <c r="AA48" s="177">
        <f>SUM(AA45:AA47)</f>
        <v>75563</v>
      </c>
      <c r="AB48" s="167"/>
      <c r="AC48" s="177">
        <f>SUM(AC45:AC47)</f>
        <v>29469.57</v>
      </c>
      <c r="AD48" s="248"/>
      <c r="AE48" s="116" t="s">
        <v>22</v>
      </c>
      <c r="AF48" s="113"/>
      <c r="AG48" s="123">
        <f>SUM(AG45:AG47)</f>
        <v>77440</v>
      </c>
      <c r="AH48" s="113"/>
      <c r="AI48" s="123">
        <f>SUM(AI45:AI47)</f>
        <v>29874.141327650785</v>
      </c>
      <c r="AJ48" s="113"/>
      <c r="AK48" s="81" t="s">
        <v>22</v>
      </c>
      <c r="AL48" s="78"/>
      <c r="AM48" s="88">
        <f>SUM(AM45:AM47)</f>
        <v>77430</v>
      </c>
      <c r="AN48" s="78"/>
      <c r="AO48" s="88">
        <f>SUM(AO45:AO47)</f>
        <v>29037.899999999998</v>
      </c>
      <c r="AP48" s="78"/>
    </row>
    <row r="49" spans="1:42" x14ac:dyDescent="0.2">
      <c r="A49" s="385"/>
      <c r="B49" s="381"/>
      <c r="C49" s="381"/>
      <c r="D49" s="381"/>
      <c r="E49" s="381"/>
      <c r="F49" s="382"/>
      <c r="G49" s="326"/>
      <c r="H49" s="323"/>
      <c r="I49" s="323"/>
      <c r="J49" s="323"/>
      <c r="K49" s="323"/>
      <c r="L49" s="324"/>
      <c r="M49" s="202"/>
      <c r="N49" s="199"/>
      <c r="O49" s="199"/>
      <c r="P49" s="199"/>
      <c r="Q49" s="199"/>
      <c r="R49" s="236"/>
      <c r="S49" s="284"/>
      <c r="T49" s="280"/>
      <c r="U49" s="280"/>
      <c r="V49" s="280"/>
      <c r="W49" s="280"/>
      <c r="X49" s="281"/>
      <c r="Y49" s="170"/>
      <c r="Z49" s="167"/>
      <c r="AA49" s="167"/>
      <c r="AB49" s="167"/>
      <c r="AC49" s="167"/>
      <c r="AD49" s="248"/>
      <c r="AE49" s="116"/>
      <c r="AF49" s="113"/>
      <c r="AG49" s="113"/>
      <c r="AH49" s="113"/>
      <c r="AI49" s="113"/>
      <c r="AJ49" s="113"/>
      <c r="AK49" s="81"/>
      <c r="AL49" s="78"/>
      <c r="AM49" s="78"/>
      <c r="AN49" s="78"/>
      <c r="AO49" s="78"/>
      <c r="AP49" s="78"/>
    </row>
    <row r="50" spans="1:42" x14ac:dyDescent="0.2">
      <c r="A50" s="391" t="s">
        <v>67</v>
      </c>
      <c r="B50" s="381"/>
      <c r="C50" s="381"/>
      <c r="D50" s="381"/>
      <c r="E50" s="392">
        <f>+'Calculation of Revenue'!F45</f>
        <v>9166.5804997431969</v>
      </c>
      <c r="F50" s="382"/>
      <c r="G50" s="332" t="s">
        <v>67</v>
      </c>
      <c r="H50" s="323"/>
      <c r="I50" s="323"/>
      <c r="J50" s="323"/>
      <c r="K50" s="333">
        <v>24111.722634559996</v>
      </c>
      <c r="L50" s="324"/>
      <c r="M50" s="208" t="s">
        <v>67</v>
      </c>
      <c r="N50" s="199"/>
      <c r="O50" s="199"/>
      <c r="P50" s="199"/>
      <c r="Q50" s="209">
        <v>23808.617180365382</v>
      </c>
      <c r="R50" s="236"/>
      <c r="S50" s="290" t="s">
        <v>67</v>
      </c>
      <c r="T50" s="280"/>
      <c r="U50" s="280"/>
      <c r="V50" s="280"/>
      <c r="W50" s="291">
        <v>35869</v>
      </c>
      <c r="X50" s="281"/>
      <c r="Y50" s="176" t="s">
        <v>67</v>
      </c>
      <c r="Z50" s="167"/>
      <c r="AA50" s="167"/>
      <c r="AB50" s="167"/>
      <c r="AC50" s="177">
        <v>25821</v>
      </c>
      <c r="AD50" s="248"/>
      <c r="AE50" s="122" t="s">
        <v>67</v>
      </c>
      <c r="AF50" s="113"/>
      <c r="AG50" s="113"/>
      <c r="AH50" s="113"/>
      <c r="AI50" s="123">
        <v>30075.481689875349</v>
      </c>
      <c r="AJ50" s="113"/>
      <c r="AK50" s="87" t="s">
        <v>67</v>
      </c>
      <c r="AL50" s="78"/>
      <c r="AM50" s="78"/>
      <c r="AN50" s="78"/>
      <c r="AO50" s="88">
        <v>30424</v>
      </c>
      <c r="AP50" s="78"/>
    </row>
    <row r="51" spans="1:42" x14ac:dyDescent="0.2">
      <c r="A51" s="391"/>
      <c r="B51" s="381"/>
      <c r="C51" s="381"/>
      <c r="D51" s="399"/>
      <c r="E51" s="392"/>
      <c r="F51" s="382"/>
      <c r="G51" s="332"/>
      <c r="H51" s="323"/>
      <c r="I51" s="323"/>
      <c r="J51" s="340"/>
      <c r="K51" s="333"/>
      <c r="L51" s="324"/>
      <c r="M51" s="208"/>
      <c r="N51" s="199"/>
      <c r="O51" s="199"/>
      <c r="P51" s="215"/>
      <c r="Q51" s="209"/>
      <c r="R51" s="236"/>
      <c r="S51" s="290"/>
      <c r="T51" s="280"/>
      <c r="U51" s="280"/>
      <c r="V51" s="298"/>
      <c r="W51" s="291"/>
      <c r="X51" s="281"/>
      <c r="Y51" s="176"/>
      <c r="Z51" s="167"/>
      <c r="AA51" s="167"/>
      <c r="AB51" s="183"/>
      <c r="AC51" s="177"/>
      <c r="AD51" s="248"/>
      <c r="AE51" s="122"/>
      <c r="AF51" s="113"/>
      <c r="AG51" s="113"/>
      <c r="AH51" s="128"/>
      <c r="AI51" s="123"/>
      <c r="AJ51" s="113"/>
      <c r="AK51" s="87"/>
      <c r="AL51" s="78"/>
      <c r="AM51" s="78"/>
      <c r="AN51" s="93"/>
      <c r="AO51" s="88"/>
      <c r="AP51" s="78"/>
    </row>
    <row r="52" spans="1:42" ht="15" x14ac:dyDescent="0.35">
      <c r="A52" s="391"/>
      <c r="B52" s="381"/>
      <c r="C52" s="381"/>
      <c r="D52" s="396"/>
      <c r="E52" s="392"/>
      <c r="F52" s="382"/>
      <c r="G52" s="332"/>
      <c r="H52" s="323"/>
      <c r="I52" s="323"/>
      <c r="J52" s="337"/>
      <c r="K52" s="333"/>
      <c r="L52" s="324"/>
      <c r="M52" s="208"/>
      <c r="N52" s="199"/>
      <c r="O52" s="199"/>
      <c r="P52" s="213"/>
      <c r="Q52" s="209"/>
      <c r="R52" s="236"/>
      <c r="S52" s="290"/>
      <c r="T52" s="280"/>
      <c r="U52" s="280"/>
      <c r="V52" s="295"/>
      <c r="W52" s="291"/>
      <c r="X52" s="281"/>
      <c r="Y52" s="176"/>
      <c r="Z52" s="167"/>
      <c r="AA52" s="167"/>
      <c r="AB52" s="181"/>
      <c r="AC52" s="177"/>
      <c r="AD52" s="248"/>
      <c r="AE52" s="122"/>
      <c r="AF52" s="113"/>
      <c r="AG52" s="113"/>
      <c r="AH52" s="126"/>
      <c r="AI52" s="123"/>
      <c r="AJ52" s="113"/>
      <c r="AK52" s="87"/>
      <c r="AL52" s="78"/>
      <c r="AM52" s="78"/>
      <c r="AN52" s="91"/>
      <c r="AO52" s="88"/>
      <c r="AP52" s="78"/>
    </row>
    <row r="53" spans="1:42" ht="15" x14ac:dyDescent="0.35">
      <c r="A53" s="391"/>
      <c r="B53" s="381"/>
      <c r="C53" s="381"/>
      <c r="D53" s="381"/>
      <c r="E53" s="396"/>
      <c r="F53" s="382"/>
      <c r="G53" s="332"/>
      <c r="H53" s="323"/>
      <c r="I53" s="323"/>
      <c r="J53" s="323"/>
      <c r="K53" s="337"/>
      <c r="L53" s="324"/>
      <c r="M53" s="208"/>
      <c r="N53" s="199"/>
      <c r="O53" s="199"/>
      <c r="P53" s="199"/>
      <c r="Q53" s="213"/>
      <c r="R53" s="236"/>
      <c r="S53" s="290"/>
      <c r="T53" s="280"/>
      <c r="U53" s="280"/>
      <c r="V53" s="280"/>
      <c r="W53" s="295"/>
      <c r="X53" s="281"/>
      <c r="Y53" s="176"/>
      <c r="Z53" s="167"/>
      <c r="AA53" s="167"/>
      <c r="AB53" s="167"/>
      <c r="AC53" s="181"/>
      <c r="AD53" s="248"/>
      <c r="AE53" s="122"/>
      <c r="AF53" s="113"/>
      <c r="AG53" s="113"/>
      <c r="AH53" s="113"/>
      <c r="AI53" s="126"/>
      <c r="AJ53" s="113"/>
      <c r="AK53" s="87"/>
      <c r="AL53" s="78"/>
      <c r="AM53" s="78"/>
      <c r="AN53" s="78"/>
      <c r="AO53" s="91"/>
      <c r="AP53" s="78"/>
    </row>
    <row r="54" spans="1:42" x14ac:dyDescent="0.2">
      <c r="A54" s="400"/>
      <c r="B54" s="381"/>
      <c r="C54" s="381"/>
      <c r="D54" s="381"/>
      <c r="E54" s="392"/>
      <c r="F54" s="382"/>
      <c r="G54" s="341"/>
      <c r="H54" s="323"/>
      <c r="I54" s="323"/>
      <c r="J54" s="323"/>
      <c r="K54" s="333"/>
      <c r="L54" s="324"/>
      <c r="M54" s="216"/>
      <c r="N54" s="199"/>
      <c r="O54" s="199"/>
      <c r="P54" s="199"/>
      <c r="Q54" s="209"/>
      <c r="R54" s="236"/>
      <c r="S54" s="299"/>
      <c r="T54" s="280"/>
      <c r="U54" s="280"/>
      <c r="V54" s="280"/>
      <c r="W54" s="291"/>
      <c r="X54" s="281"/>
      <c r="Y54" s="184"/>
      <c r="Z54" s="167"/>
      <c r="AA54" s="167"/>
      <c r="AB54" s="167"/>
      <c r="AC54" s="177"/>
      <c r="AD54" s="248"/>
      <c r="AE54" s="129"/>
      <c r="AF54" s="113"/>
      <c r="AG54" s="113"/>
      <c r="AH54" s="113"/>
      <c r="AI54" s="123"/>
      <c r="AJ54" s="113"/>
      <c r="AK54" s="94"/>
      <c r="AL54" s="78"/>
      <c r="AM54" s="78"/>
      <c r="AN54" s="78"/>
      <c r="AO54" s="88"/>
      <c r="AP54" s="78"/>
    </row>
    <row r="55" spans="1:42" x14ac:dyDescent="0.2">
      <c r="A55" s="400"/>
      <c r="B55" s="381"/>
      <c r="C55" s="381"/>
      <c r="D55" s="381"/>
      <c r="E55" s="392"/>
      <c r="F55" s="382"/>
      <c r="G55" s="341"/>
      <c r="H55" s="323"/>
      <c r="I55" s="323"/>
      <c r="J55" s="323"/>
      <c r="K55" s="333"/>
      <c r="L55" s="324"/>
      <c r="M55" s="216"/>
      <c r="N55" s="199"/>
      <c r="O55" s="199"/>
      <c r="P55" s="199"/>
      <c r="Q55" s="209"/>
      <c r="R55" s="236"/>
      <c r="S55" s="299"/>
      <c r="T55" s="280"/>
      <c r="U55" s="280"/>
      <c r="V55" s="280"/>
      <c r="W55" s="291"/>
      <c r="X55" s="281"/>
      <c r="Y55" s="184"/>
      <c r="Z55" s="167"/>
      <c r="AA55" s="167"/>
      <c r="AB55" s="167"/>
      <c r="AC55" s="177"/>
      <c r="AD55" s="248"/>
      <c r="AE55" s="129"/>
      <c r="AF55" s="113"/>
      <c r="AG55" s="113"/>
      <c r="AH55" s="113"/>
      <c r="AI55" s="123"/>
      <c r="AJ55" s="113"/>
      <c r="AK55" s="94"/>
      <c r="AL55" s="78"/>
      <c r="AM55" s="78"/>
      <c r="AN55" s="78"/>
      <c r="AO55" s="88"/>
      <c r="AP55" s="78"/>
    </row>
    <row r="56" spans="1:42" x14ac:dyDescent="0.2">
      <c r="A56" s="385" t="s">
        <v>68</v>
      </c>
      <c r="B56" s="381"/>
      <c r="C56" s="381"/>
      <c r="D56" s="381"/>
      <c r="E56" s="392">
        <f>E50-E48</f>
        <v>-11922.478522984065</v>
      </c>
      <c r="F56" s="382"/>
      <c r="G56" s="326" t="s">
        <v>68</v>
      </c>
      <c r="H56" s="323"/>
      <c r="I56" s="323"/>
      <c r="J56" s="323"/>
      <c r="K56" s="333">
        <f>K50-K48</f>
        <v>1204.2187709236423</v>
      </c>
      <c r="L56" s="324"/>
      <c r="M56" s="202" t="s">
        <v>68</v>
      </c>
      <c r="N56" s="199"/>
      <c r="O56" s="199"/>
      <c r="P56" s="199"/>
      <c r="Q56" s="209">
        <f>Q50-Q48</f>
        <v>-6836.691705998237</v>
      </c>
      <c r="R56" s="236"/>
      <c r="S56" s="284" t="s">
        <v>68</v>
      </c>
      <c r="T56" s="280"/>
      <c r="U56" s="280"/>
      <c r="V56" s="280"/>
      <c r="W56" s="291">
        <f>W50-W48</f>
        <v>9530.3099999999977</v>
      </c>
      <c r="X56" s="281"/>
      <c r="Y56" s="170" t="s">
        <v>68</v>
      </c>
      <c r="Z56" s="167"/>
      <c r="AA56" s="167"/>
      <c r="AB56" s="167"/>
      <c r="AC56" s="177">
        <f>AC50-AC48</f>
        <v>-3648.5699999999997</v>
      </c>
      <c r="AD56" s="248"/>
      <c r="AE56" s="116" t="s">
        <v>68</v>
      </c>
      <c r="AF56" s="113"/>
      <c r="AG56" s="113"/>
      <c r="AH56" s="113"/>
      <c r="AI56" s="123">
        <f>AI50-AI48</f>
        <v>201.34036222456416</v>
      </c>
      <c r="AJ56" s="113"/>
      <c r="AK56" s="81" t="s">
        <v>68</v>
      </c>
      <c r="AL56" s="78"/>
      <c r="AM56" s="78"/>
      <c r="AN56" s="78"/>
      <c r="AO56" s="88">
        <f>AO50-AO48</f>
        <v>1386.1000000000022</v>
      </c>
      <c r="AP56" s="78"/>
    </row>
    <row r="57" spans="1:42" x14ac:dyDescent="0.2">
      <c r="A57" s="385"/>
      <c r="B57" s="381"/>
      <c r="C57" s="381"/>
      <c r="D57" s="381"/>
      <c r="E57" s="381"/>
      <c r="F57" s="382"/>
      <c r="G57" s="326"/>
      <c r="H57" s="323"/>
      <c r="I57" s="323"/>
      <c r="J57" s="323"/>
      <c r="K57" s="323"/>
      <c r="L57" s="324"/>
      <c r="M57" s="202"/>
      <c r="N57" s="199"/>
      <c r="O57" s="199"/>
      <c r="P57" s="199"/>
      <c r="Q57" s="199"/>
      <c r="R57" s="236"/>
      <c r="S57" s="284"/>
      <c r="T57" s="280"/>
      <c r="U57" s="280"/>
      <c r="V57" s="280"/>
      <c r="W57" s="280"/>
      <c r="X57" s="281"/>
      <c r="Y57" s="170"/>
      <c r="Z57" s="167"/>
      <c r="AA57" s="167"/>
      <c r="AB57" s="167"/>
      <c r="AC57" s="167"/>
      <c r="AD57" s="248"/>
      <c r="AE57" s="116"/>
      <c r="AF57" s="113"/>
      <c r="AG57" s="113"/>
      <c r="AH57" s="113"/>
      <c r="AI57" s="113"/>
      <c r="AJ57" s="113"/>
      <c r="AK57" s="81"/>
      <c r="AL57" s="78"/>
      <c r="AM57" s="78"/>
      <c r="AN57" s="78"/>
      <c r="AO57" s="78"/>
      <c r="AP57" s="78"/>
    </row>
    <row r="58" spans="1:42" x14ac:dyDescent="0.2">
      <c r="A58" s="385" t="s">
        <v>69</v>
      </c>
      <c r="B58" s="381"/>
      <c r="C58" s="381"/>
      <c r="D58" s="381"/>
      <c r="E58" s="392">
        <f>+C48</f>
        <v>72720.893181818145</v>
      </c>
      <c r="F58" s="382"/>
      <c r="G58" s="326" t="s">
        <v>69</v>
      </c>
      <c r="H58" s="323"/>
      <c r="I58" s="323"/>
      <c r="J58" s="323"/>
      <c r="K58" s="333">
        <f>+I48</f>
        <v>71690.9227272727</v>
      </c>
      <c r="L58" s="324"/>
      <c r="M58" s="202" t="s">
        <v>69</v>
      </c>
      <c r="N58" s="199"/>
      <c r="O58" s="199"/>
      <c r="P58" s="199"/>
      <c r="Q58" s="209">
        <f>+O48</f>
        <v>68353.161363636333</v>
      </c>
      <c r="R58" s="236"/>
      <c r="S58" s="284" t="s">
        <v>69</v>
      </c>
      <c r="T58" s="280"/>
      <c r="U58" s="280"/>
      <c r="V58" s="280"/>
      <c r="W58" s="291">
        <f>+U48</f>
        <v>75586</v>
      </c>
      <c r="X58" s="281"/>
      <c r="Y58" s="170" t="s">
        <v>69</v>
      </c>
      <c r="Z58" s="167"/>
      <c r="AA58" s="167"/>
      <c r="AB58" s="167"/>
      <c r="AC58" s="177">
        <f>+AA48</f>
        <v>75563</v>
      </c>
      <c r="AD58" s="248"/>
      <c r="AE58" s="116" t="s">
        <v>69</v>
      </c>
      <c r="AF58" s="113"/>
      <c r="AG58" s="113"/>
      <c r="AH58" s="113"/>
      <c r="AI58" s="123">
        <f>+AG48</f>
        <v>77440</v>
      </c>
      <c r="AJ58" s="113"/>
      <c r="AK58" s="81" t="s">
        <v>69</v>
      </c>
      <c r="AL58" s="78"/>
      <c r="AM58" s="78"/>
      <c r="AN58" s="78"/>
      <c r="AO58" s="88">
        <f>+AM48</f>
        <v>77430</v>
      </c>
      <c r="AP58" s="78"/>
    </row>
    <row r="59" spans="1:42" x14ac:dyDescent="0.2">
      <c r="A59" s="385"/>
      <c r="B59" s="381"/>
      <c r="C59" s="381"/>
      <c r="D59" s="381"/>
      <c r="E59" s="381"/>
      <c r="F59" s="382"/>
      <c r="G59" s="326"/>
      <c r="H59" s="323"/>
      <c r="I59" s="323"/>
      <c r="J59" s="323"/>
      <c r="K59" s="323"/>
      <c r="L59" s="324"/>
      <c r="M59" s="202"/>
      <c r="N59" s="199"/>
      <c r="O59" s="199"/>
      <c r="P59" s="199"/>
      <c r="Q59" s="199"/>
      <c r="R59" s="236"/>
      <c r="S59" s="284"/>
      <c r="T59" s="280"/>
      <c r="U59" s="280"/>
      <c r="V59" s="280"/>
      <c r="W59" s="280"/>
      <c r="X59" s="281"/>
      <c r="Y59" s="170"/>
      <c r="Z59" s="167"/>
      <c r="AA59" s="167"/>
      <c r="AB59" s="167"/>
      <c r="AC59" s="167"/>
      <c r="AD59" s="248"/>
      <c r="AE59" s="116"/>
      <c r="AF59" s="113"/>
      <c r="AG59" s="113"/>
      <c r="AH59" s="113"/>
      <c r="AI59" s="113"/>
      <c r="AJ59" s="113"/>
      <c r="AK59" s="81"/>
      <c r="AL59" s="78"/>
      <c r="AM59" s="78"/>
      <c r="AN59" s="78"/>
      <c r="AO59" s="78"/>
      <c r="AP59" s="78"/>
    </row>
    <row r="60" spans="1:42" x14ac:dyDescent="0.2">
      <c r="A60" s="385" t="s">
        <v>70</v>
      </c>
      <c r="B60" s="381"/>
      <c r="C60" s="381"/>
      <c r="D60" s="381"/>
      <c r="E60" s="381"/>
      <c r="F60" s="409">
        <f>ROUND(E56/E58,2)</f>
        <v>-0.16</v>
      </c>
      <c r="G60" s="326" t="s">
        <v>70</v>
      </c>
      <c r="H60" s="323"/>
      <c r="I60" s="323"/>
      <c r="J60" s="323"/>
      <c r="K60" s="323"/>
      <c r="L60" s="351">
        <f>ROUND(K56/K58,2)</f>
        <v>0.02</v>
      </c>
      <c r="M60" s="202" t="s">
        <v>70</v>
      </c>
      <c r="N60" s="199"/>
      <c r="O60" s="199"/>
      <c r="P60" s="199"/>
      <c r="Q60" s="199"/>
      <c r="R60" s="242">
        <f>ROUND(Q56/Q58,2)</f>
        <v>-0.1</v>
      </c>
      <c r="S60" s="284" t="s">
        <v>70</v>
      </c>
      <c r="T60" s="280"/>
      <c r="U60" s="280"/>
      <c r="V60" s="280"/>
      <c r="W60" s="280"/>
      <c r="X60" s="309">
        <f>ROUND(W56/W58,2)</f>
        <v>0.13</v>
      </c>
      <c r="Y60" s="170" t="s">
        <v>70</v>
      </c>
      <c r="Z60" s="167"/>
      <c r="AA60" s="167"/>
      <c r="AB60" s="167"/>
      <c r="AC60" s="167"/>
      <c r="AD60" s="255">
        <f>ROUND(AC56/AC58,2)</f>
        <v>-0.05</v>
      </c>
      <c r="AE60" s="116" t="s">
        <v>70</v>
      </c>
      <c r="AF60" s="113"/>
      <c r="AG60" s="113"/>
      <c r="AH60" s="113"/>
      <c r="AI60" s="113"/>
      <c r="AJ60" s="135">
        <f>ROUND(AI56/AI58,2)</f>
        <v>0</v>
      </c>
      <c r="AK60" s="81" t="s">
        <v>70</v>
      </c>
      <c r="AL60" s="78"/>
      <c r="AM60" s="78"/>
      <c r="AN60" s="78"/>
      <c r="AO60" s="78"/>
      <c r="AP60" s="100">
        <f>ROUND(AO56/AO58,2)</f>
        <v>0.02</v>
      </c>
    </row>
    <row r="61" spans="1:42" x14ac:dyDescent="0.2">
      <c r="A61" s="385"/>
      <c r="B61" s="381"/>
      <c r="C61" s="381"/>
      <c r="D61" s="381"/>
      <c r="E61" s="392"/>
      <c r="F61" s="382"/>
      <c r="G61" s="326"/>
      <c r="H61" s="323"/>
      <c r="I61" s="323"/>
      <c r="J61" s="323"/>
      <c r="K61" s="333"/>
      <c r="L61" s="324"/>
      <c r="M61" s="202"/>
      <c r="N61" s="199"/>
      <c r="O61" s="199"/>
      <c r="P61" s="199"/>
      <c r="Q61" s="209"/>
      <c r="R61" s="236"/>
      <c r="S61" s="284"/>
      <c r="T61" s="280"/>
      <c r="U61" s="280"/>
      <c r="V61" s="280"/>
      <c r="W61" s="291"/>
      <c r="X61" s="281"/>
      <c r="Y61" s="170"/>
      <c r="Z61" s="167"/>
      <c r="AA61" s="167"/>
      <c r="AB61" s="167"/>
      <c r="AC61" s="177"/>
      <c r="AD61" s="248"/>
      <c r="AE61" s="116"/>
      <c r="AF61" s="113"/>
      <c r="AG61" s="113"/>
      <c r="AH61" s="113"/>
      <c r="AI61" s="123"/>
      <c r="AJ61" s="113"/>
      <c r="AK61" s="81"/>
      <c r="AL61" s="78"/>
      <c r="AM61" s="78"/>
      <c r="AN61" s="78"/>
      <c r="AO61" s="88"/>
      <c r="AP61" s="78"/>
    </row>
    <row r="62" spans="1:42" ht="16.5" x14ac:dyDescent="0.35">
      <c r="A62" s="388" t="str">
        <f>A28</f>
        <v>Projected Revenue Sep 2020-Aug 2021 (annualization of most recent six months)</v>
      </c>
      <c r="B62" s="389"/>
      <c r="C62" s="381"/>
      <c r="D62" s="381"/>
      <c r="E62" s="410">
        <f>+'Calculation of Revenue'!F47/6*12</f>
        <v>7677.5480953228052</v>
      </c>
      <c r="F62" s="382"/>
      <c r="G62" s="329" t="str">
        <f>G28</f>
        <v>Projected Revenue Sep 2019-Aug 2020 (annualization of most recent six months)</v>
      </c>
      <c r="H62" s="330"/>
      <c r="I62" s="323"/>
      <c r="J62" s="323"/>
      <c r="K62" s="352">
        <v>20456.041750600001</v>
      </c>
      <c r="L62" s="324"/>
      <c r="M62" s="205" t="str">
        <f>M28</f>
        <v>Projected Revenue Sep 2018-Aug 2019 (annualization of most recent six months)</v>
      </c>
      <c r="N62" s="206"/>
      <c r="O62" s="199"/>
      <c r="P62" s="199"/>
      <c r="Q62" s="219">
        <v>19998.544344284699</v>
      </c>
      <c r="R62" s="236"/>
      <c r="S62" s="287" t="str">
        <f>S28</f>
        <v>Projected Revenue Sep 2017-Aug 2018</v>
      </c>
      <c r="T62" s="288"/>
      <c r="U62" s="280"/>
      <c r="V62" s="280"/>
      <c r="W62" s="310">
        <f>+W50</f>
        <v>35869</v>
      </c>
      <c r="X62" s="281"/>
      <c r="Y62" s="173" t="str">
        <f>Y28</f>
        <v>Projected Revenue Sep 2016-Aug 2017</v>
      </c>
      <c r="Z62" s="174"/>
      <c r="AA62" s="167"/>
      <c r="AB62" s="167"/>
      <c r="AC62" s="187">
        <f>+AC50</f>
        <v>25821</v>
      </c>
      <c r="AD62" s="248"/>
      <c r="AE62" s="119" t="str">
        <f>AE28</f>
        <v>Projected Revenue Sep 2015-Aug 2016</v>
      </c>
      <c r="AF62" s="120"/>
      <c r="AG62" s="113"/>
      <c r="AH62" s="113"/>
      <c r="AI62" s="136">
        <f>+AI50</f>
        <v>30075.481689875349</v>
      </c>
      <c r="AJ62" s="113"/>
      <c r="AK62" s="84" t="str">
        <f>AK28</f>
        <v>Projected Revenue Sep 2014-Aug 2015</v>
      </c>
      <c r="AL62" s="85"/>
      <c r="AM62" s="78"/>
      <c r="AN62" s="78"/>
      <c r="AO62" s="101">
        <f>+AO50</f>
        <v>30424</v>
      </c>
      <c r="AP62" s="78"/>
    </row>
    <row r="63" spans="1:42" x14ac:dyDescent="0.2">
      <c r="A63" s="385" t="s">
        <v>69</v>
      </c>
      <c r="B63" s="381"/>
      <c r="C63" s="381"/>
      <c r="D63" s="381"/>
      <c r="E63" s="392">
        <f>+C48</f>
        <v>72720.893181818145</v>
      </c>
      <c r="F63" s="382"/>
      <c r="G63" s="326" t="s">
        <v>69</v>
      </c>
      <c r="H63" s="323"/>
      <c r="I63" s="323"/>
      <c r="J63" s="323"/>
      <c r="K63" s="333">
        <f>+I48</f>
        <v>71690.9227272727</v>
      </c>
      <c r="L63" s="324"/>
      <c r="M63" s="202" t="s">
        <v>69</v>
      </c>
      <c r="N63" s="199"/>
      <c r="O63" s="199"/>
      <c r="P63" s="199"/>
      <c r="Q63" s="209">
        <f>+O48</f>
        <v>68353.161363636333</v>
      </c>
      <c r="R63" s="236"/>
      <c r="S63" s="284" t="s">
        <v>69</v>
      </c>
      <c r="T63" s="280"/>
      <c r="U63" s="280"/>
      <c r="V63" s="280"/>
      <c r="W63" s="291">
        <f>+U48</f>
        <v>75586</v>
      </c>
      <c r="X63" s="281"/>
      <c r="Y63" s="170" t="s">
        <v>69</v>
      </c>
      <c r="Z63" s="167"/>
      <c r="AA63" s="167"/>
      <c r="AB63" s="167"/>
      <c r="AC63" s="177">
        <f>+AA48</f>
        <v>75563</v>
      </c>
      <c r="AD63" s="248"/>
      <c r="AE63" s="116" t="s">
        <v>69</v>
      </c>
      <c r="AF63" s="113"/>
      <c r="AG63" s="113"/>
      <c r="AH63" s="113"/>
      <c r="AI63" s="123">
        <f>+AG48</f>
        <v>77440</v>
      </c>
      <c r="AJ63" s="113"/>
      <c r="AK63" s="81" t="s">
        <v>69</v>
      </c>
      <c r="AL63" s="78"/>
      <c r="AM63" s="78"/>
      <c r="AN63" s="78"/>
      <c r="AO63" s="88">
        <f>+AM48</f>
        <v>77430</v>
      </c>
      <c r="AP63" s="78"/>
    </row>
    <row r="64" spans="1:42" ht="15" x14ac:dyDescent="0.35">
      <c r="A64" s="385" t="s">
        <v>71</v>
      </c>
      <c r="B64" s="381"/>
      <c r="C64" s="381"/>
      <c r="D64" s="381"/>
      <c r="E64" s="381"/>
      <c r="F64" s="411">
        <f>ROUND(+E62/E63,2)</f>
        <v>0.11</v>
      </c>
      <c r="G64" s="326" t="s">
        <v>71</v>
      </c>
      <c r="H64" s="323"/>
      <c r="I64" s="323"/>
      <c r="J64" s="323"/>
      <c r="K64" s="323"/>
      <c r="L64" s="353">
        <f>ROUND(+K62/K63,2)</f>
        <v>0.28999999999999998</v>
      </c>
      <c r="M64" s="202" t="s">
        <v>71</v>
      </c>
      <c r="N64" s="199"/>
      <c r="O64" s="199"/>
      <c r="P64" s="199"/>
      <c r="Q64" s="199"/>
      <c r="R64" s="267">
        <f>ROUND(+Q62/Q63,2)</f>
        <v>0.28999999999999998</v>
      </c>
      <c r="S64" s="284" t="s">
        <v>71</v>
      </c>
      <c r="T64" s="280"/>
      <c r="U64" s="280"/>
      <c r="V64" s="280"/>
      <c r="W64" s="280"/>
      <c r="X64" s="311">
        <f>ROUND(+W62/W63,2)</f>
        <v>0.47</v>
      </c>
      <c r="Y64" s="170" t="s">
        <v>71</v>
      </c>
      <c r="Z64" s="167"/>
      <c r="AA64" s="167"/>
      <c r="AB64" s="167"/>
      <c r="AC64" s="167"/>
      <c r="AD64" s="256">
        <f>ROUND(+AC62/AC63,2)</f>
        <v>0.34</v>
      </c>
      <c r="AE64" s="116" t="s">
        <v>71</v>
      </c>
      <c r="AF64" s="113"/>
      <c r="AG64" s="113"/>
      <c r="AH64" s="113"/>
      <c r="AI64" s="113"/>
      <c r="AJ64" s="137">
        <f>ROUND(+AI62/AI63,2)</f>
        <v>0.39</v>
      </c>
      <c r="AK64" s="81" t="s">
        <v>71</v>
      </c>
      <c r="AL64" s="78"/>
      <c r="AM64" s="78"/>
      <c r="AN64" s="78"/>
      <c r="AO64" s="78"/>
      <c r="AP64" s="102">
        <f>+AO62/AO63</f>
        <v>0.39292263980369369</v>
      </c>
    </row>
    <row r="65" spans="1:42" x14ac:dyDescent="0.2">
      <c r="A65" s="385"/>
      <c r="B65" s="381"/>
      <c r="C65" s="381"/>
      <c r="D65" s="381"/>
      <c r="E65" s="381"/>
      <c r="F65" s="382"/>
      <c r="G65" s="326"/>
      <c r="H65" s="323"/>
      <c r="I65" s="323"/>
      <c r="J65" s="323"/>
      <c r="K65" s="323"/>
      <c r="L65" s="324"/>
      <c r="M65" s="202"/>
      <c r="N65" s="199"/>
      <c r="O65" s="199"/>
      <c r="P65" s="199"/>
      <c r="Q65" s="199"/>
      <c r="R65" s="236"/>
      <c r="S65" s="284"/>
      <c r="T65" s="280"/>
      <c r="U65" s="280"/>
      <c r="V65" s="280"/>
      <c r="W65" s="280"/>
      <c r="X65" s="281"/>
      <c r="Y65" s="170"/>
      <c r="Z65" s="167"/>
      <c r="AA65" s="167"/>
      <c r="AB65" s="167"/>
      <c r="AC65" s="167"/>
      <c r="AD65" s="248"/>
      <c r="AE65" s="116"/>
      <c r="AF65" s="113"/>
      <c r="AG65" s="113"/>
      <c r="AH65" s="113"/>
      <c r="AI65" s="113"/>
      <c r="AJ65" s="113"/>
      <c r="AK65" s="81"/>
      <c r="AL65" s="78"/>
      <c r="AM65" s="78"/>
      <c r="AN65" s="78"/>
      <c r="AO65" s="78"/>
      <c r="AP65" s="78"/>
    </row>
    <row r="66" spans="1:42" ht="18.75" thickBot="1" x14ac:dyDescent="0.4">
      <c r="A66" s="378" t="s">
        <v>164</v>
      </c>
      <c r="B66" s="379"/>
      <c r="C66" s="381"/>
      <c r="D66" s="381"/>
      <c r="E66" s="381"/>
      <c r="F66" s="412">
        <f>+F64+F60</f>
        <v>-0.05</v>
      </c>
      <c r="G66" s="320" t="s">
        <v>73</v>
      </c>
      <c r="H66" s="321"/>
      <c r="I66" s="323"/>
      <c r="J66" s="323"/>
      <c r="K66" s="323"/>
      <c r="L66" s="354">
        <f>+L64+L60</f>
        <v>0.31</v>
      </c>
      <c r="M66" s="196" t="s">
        <v>73</v>
      </c>
      <c r="N66" s="197"/>
      <c r="O66" s="199"/>
      <c r="P66" s="199"/>
      <c r="Q66" s="199"/>
      <c r="R66" s="243">
        <f>+R64+R60</f>
        <v>0.18999999999999997</v>
      </c>
      <c r="S66" s="277" t="s">
        <v>73</v>
      </c>
      <c r="T66" s="278"/>
      <c r="U66" s="280"/>
      <c r="V66" s="280"/>
      <c r="W66" s="280"/>
      <c r="X66" s="312">
        <f>+X64+X60</f>
        <v>0.6</v>
      </c>
      <c r="Y66" s="164" t="s">
        <v>73</v>
      </c>
      <c r="Z66" s="165"/>
      <c r="AA66" s="167"/>
      <c r="AB66" s="167"/>
      <c r="AC66" s="167"/>
      <c r="AD66" s="257">
        <f>+AD64+AD60</f>
        <v>0.29000000000000004</v>
      </c>
      <c r="AE66" s="110" t="s">
        <v>73</v>
      </c>
      <c r="AF66" s="111"/>
      <c r="AG66" s="113"/>
      <c r="AH66" s="113"/>
      <c r="AI66" s="113"/>
      <c r="AJ66" s="138">
        <f>+AJ64+AJ60</f>
        <v>0.39</v>
      </c>
      <c r="AK66" s="75" t="s">
        <v>73</v>
      </c>
      <c r="AL66" s="76"/>
      <c r="AM66" s="78"/>
      <c r="AN66" s="78"/>
      <c r="AO66" s="78"/>
      <c r="AP66" s="103">
        <f>+AP64+AP60</f>
        <v>0.4129226398036937</v>
      </c>
    </row>
    <row r="67" spans="1:42" ht="19.5" thickTop="1" thickBot="1" x14ac:dyDescent="0.4">
      <c r="A67" s="413"/>
      <c r="B67" s="414"/>
      <c r="C67" s="415"/>
      <c r="D67" s="415"/>
      <c r="E67" s="415"/>
      <c r="F67" s="416"/>
      <c r="G67" s="355"/>
      <c r="H67" s="356"/>
      <c r="I67" s="357"/>
      <c r="J67" s="357"/>
      <c r="K67" s="357"/>
      <c r="L67" s="358"/>
      <c r="M67" s="244"/>
      <c r="N67" s="245"/>
      <c r="O67" s="220"/>
      <c r="P67" s="220"/>
      <c r="Q67" s="220"/>
      <c r="R67" s="246"/>
      <c r="S67" s="313"/>
      <c r="T67" s="314"/>
      <c r="U67" s="315"/>
      <c r="V67" s="315"/>
      <c r="W67" s="315"/>
      <c r="X67" s="316"/>
      <c r="Y67" s="258"/>
      <c r="Z67" s="259"/>
      <c r="AA67" s="188"/>
      <c r="AB67" s="188"/>
      <c r="AC67" s="188"/>
      <c r="AD67" s="260"/>
      <c r="AE67" s="110"/>
      <c r="AF67" s="111"/>
      <c r="AG67" s="113"/>
      <c r="AH67" s="113"/>
      <c r="AI67" s="113"/>
      <c r="AJ67" s="139"/>
      <c r="AK67" s="75"/>
      <c r="AL67" s="76"/>
      <c r="AM67" s="78"/>
      <c r="AN67" s="78"/>
      <c r="AO67" s="78"/>
      <c r="AP67" s="104"/>
    </row>
  </sheetData>
  <mergeCells count="14">
    <mergeCell ref="A4:F4"/>
    <mergeCell ref="A6:F6"/>
    <mergeCell ref="G4:L4"/>
    <mergeCell ref="G6:L6"/>
    <mergeCell ref="AK4:AP4"/>
    <mergeCell ref="AK6:AP6"/>
    <mergeCell ref="M4:R4"/>
    <mergeCell ref="M6:R6"/>
    <mergeCell ref="S4:X4"/>
    <mergeCell ref="S6:X6"/>
    <mergeCell ref="AE4:AJ4"/>
    <mergeCell ref="AE6:AJ6"/>
    <mergeCell ref="Y4:AD4"/>
    <mergeCell ref="Y6:AD6"/>
  </mergeCells>
  <pageMargins left="0.7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7"/>
  <sheetViews>
    <sheetView topLeftCell="A35" workbookViewId="0">
      <selection activeCell="H57" sqref="H57"/>
    </sheetView>
  </sheetViews>
  <sheetFormatPr defaultRowHeight="12.75" x14ac:dyDescent="0.2"/>
  <cols>
    <col min="1" max="1" width="18" customWidth="1"/>
    <col min="2" max="2" width="6.7109375" customWidth="1"/>
    <col min="3" max="3" width="10.42578125" bestFit="1" customWidth="1"/>
    <col min="4" max="4" width="10.28515625" bestFit="1" customWidth="1"/>
    <col min="5" max="5" width="9.7109375" bestFit="1" customWidth="1"/>
    <col min="6" max="6" width="11.28515625" bestFit="1" customWidth="1"/>
    <col min="7" max="8" width="9.5703125" bestFit="1" customWidth="1"/>
    <col min="9" max="9" width="11.28515625" bestFit="1" customWidth="1"/>
    <col min="10" max="10" width="3" customWidth="1"/>
    <col min="11" max="11" width="9.5703125" bestFit="1" customWidth="1"/>
    <col min="12" max="12" width="2.7109375" customWidth="1"/>
    <col min="13" max="13" width="11.28515625" bestFit="1" customWidth="1"/>
    <col min="232" max="232" width="18" customWidth="1"/>
    <col min="233" max="233" width="7.85546875" customWidth="1"/>
    <col min="234" max="234" width="11.28515625" bestFit="1" customWidth="1"/>
    <col min="235" max="235" width="10.5703125" bestFit="1" customWidth="1"/>
    <col min="236" max="236" width="10.28515625" customWidth="1"/>
    <col min="237" max="237" width="12.5703125" bestFit="1" customWidth="1"/>
    <col min="238" max="238" width="10.5703125" bestFit="1" customWidth="1"/>
    <col min="239" max="239" width="9.85546875" bestFit="1" customWidth="1"/>
    <col min="240" max="240" width="13" bestFit="1" customWidth="1"/>
    <col min="241" max="241" width="2.140625" customWidth="1"/>
    <col min="242" max="242" width="10.5703125" bestFit="1" customWidth="1"/>
    <col min="243" max="243" width="7.85546875" bestFit="1" customWidth="1"/>
    <col min="244" max="244" width="9.85546875" bestFit="1" customWidth="1"/>
    <col min="245" max="245" width="11.28515625" bestFit="1" customWidth="1"/>
    <col min="246" max="247" width="9.85546875" bestFit="1" customWidth="1"/>
    <col min="248" max="248" width="12" bestFit="1" customWidth="1"/>
    <col min="249" max="249" width="1.85546875" customWidth="1"/>
    <col min="251" max="251" width="3" customWidth="1"/>
    <col min="488" max="488" width="18" customWidth="1"/>
    <col min="489" max="489" width="7.85546875" customWidth="1"/>
    <col min="490" max="490" width="11.28515625" bestFit="1" customWidth="1"/>
    <col min="491" max="491" width="10.5703125" bestFit="1" customWidth="1"/>
    <col min="492" max="492" width="10.28515625" customWidth="1"/>
    <col min="493" max="493" width="12.5703125" bestFit="1" customWidth="1"/>
    <col min="494" max="494" width="10.5703125" bestFit="1" customWidth="1"/>
    <col min="495" max="495" width="9.85546875" bestFit="1" customWidth="1"/>
    <col min="496" max="496" width="13" bestFit="1" customWidth="1"/>
    <col min="497" max="497" width="2.140625" customWidth="1"/>
    <col min="498" max="498" width="10.5703125" bestFit="1" customWidth="1"/>
    <col min="499" max="499" width="7.85546875" bestFit="1" customWidth="1"/>
    <col min="500" max="500" width="9.85546875" bestFit="1" customWidth="1"/>
    <col min="501" max="501" width="11.28515625" bestFit="1" customWidth="1"/>
    <col min="502" max="503" width="9.85546875" bestFit="1" customWidth="1"/>
    <col min="504" max="504" width="12" bestFit="1" customWidth="1"/>
    <col min="505" max="505" width="1.85546875" customWidth="1"/>
    <col min="507" max="507" width="3" customWidth="1"/>
    <col min="744" max="744" width="18" customWidth="1"/>
    <col min="745" max="745" width="7.85546875" customWidth="1"/>
    <col min="746" max="746" width="11.28515625" bestFit="1" customWidth="1"/>
    <col min="747" max="747" width="10.5703125" bestFit="1" customWidth="1"/>
    <col min="748" max="748" width="10.28515625" customWidth="1"/>
    <col min="749" max="749" width="12.5703125" bestFit="1" customWidth="1"/>
    <col min="750" max="750" width="10.5703125" bestFit="1" customWidth="1"/>
    <col min="751" max="751" width="9.85546875" bestFit="1" customWidth="1"/>
    <col min="752" max="752" width="13" bestFit="1" customWidth="1"/>
    <col min="753" max="753" width="2.140625" customWidth="1"/>
    <col min="754" max="754" width="10.5703125" bestFit="1" customWidth="1"/>
    <col min="755" max="755" width="7.85546875" bestFit="1" customWidth="1"/>
    <col min="756" max="756" width="9.85546875" bestFit="1" customWidth="1"/>
    <col min="757" max="757" width="11.28515625" bestFit="1" customWidth="1"/>
    <col min="758" max="759" width="9.85546875" bestFit="1" customWidth="1"/>
    <col min="760" max="760" width="12" bestFit="1" customWidth="1"/>
    <col min="761" max="761" width="1.85546875" customWidth="1"/>
    <col min="763" max="763" width="3" customWidth="1"/>
    <col min="1000" max="1000" width="18" customWidth="1"/>
    <col min="1001" max="1001" width="7.85546875" customWidth="1"/>
    <col min="1002" max="1002" width="11.28515625" bestFit="1" customWidth="1"/>
    <col min="1003" max="1003" width="10.5703125" bestFit="1" customWidth="1"/>
    <col min="1004" max="1004" width="10.28515625" customWidth="1"/>
    <col min="1005" max="1005" width="12.5703125" bestFit="1" customWidth="1"/>
    <col min="1006" max="1006" width="10.5703125" bestFit="1" customWidth="1"/>
    <col min="1007" max="1007" width="9.85546875" bestFit="1" customWidth="1"/>
    <col min="1008" max="1008" width="13" bestFit="1" customWidth="1"/>
    <col min="1009" max="1009" width="2.140625" customWidth="1"/>
    <col min="1010" max="1010" width="10.5703125" bestFit="1" customWidth="1"/>
    <col min="1011" max="1011" width="7.85546875" bestFit="1" customWidth="1"/>
    <col min="1012" max="1012" width="9.85546875" bestFit="1" customWidth="1"/>
    <col min="1013" max="1013" width="11.28515625" bestFit="1" customWidth="1"/>
    <col min="1014" max="1015" width="9.85546875" bestFit="1" customWidth="1"/>
    <col min="1016" max="1016" width="12" bestFit="1" customWidth="1"/>
    <col min="1017" max="1017" width="1.85546875" customWidth="1"/>
    <col min="1019" max="1019" width="3" customWidth="1"/>
    <col min="1256" max="1256" width="18" customWidth="1"/>
    <col min="1257" max="1257" width="7.85546875" customWidth="1"/>
    <col min="1258" max="1258" width="11.28515625" bestFit="1" customWidth="1"/>
    <col min="1259" max="1259" width="10.5703125" bestFit="1" customWidth="1"/>
    <col min="1260" max="1260" width="10.28515625" customWidth="1"/>
    <col min="1261" max="1261" width="12.5703125" bestFit="1" customWidth="1"/>
    <col min="1262" max="1262" width="10.5703125" bestFit="1" customWidth="1"/>
    <col min="1263" max="1263" width="9.85546875" bestFit="1" customWidth="1"/>
    <col min="1264" max="1264" width="13" bestFit="1" customWidth="1"/>
    <col min="1265" max="1265" width="2.140625" customWidth="1"/>
    <col min="1266" max="1266" width="10.5703125" bestFit="1" customWidth="1"/>
    <col min="1267" max="1267" width="7.85546875" bestFit="1" customWidth="1"/>
    <col min="1268" max="1268" width="9.85546875" bestFit="1" customWidth="1"/>
    <col min="1269" max="1269" width="11.28515625" bestFit="1" customWidth="1"/>
    <col min="1270" max="1271" width="9.85546875" bestFit="1" customWidth="1"/>
    <col min="1272" max="1272" width="12" bestFit="1" customWidth="1"/>
    <col min="1273" max="1273" width="1.85546875" customWidth="1"/>
    <col min="1275" max="1275" width="3" customWidth="1"/>
    <col min="1512" max="1512" width="18" customWidth="1"/>
    <col min="1513" max="1513" width="7.85546875" customWidth="1"/>
    <col min="1514" max="1514" width="11.28515625" bestFit="1" customWidth="1"/>
    <col min="1515" max="1515" width="10.5703125" bestFit="1" customWidth="1"/>
    <col min="1516" max="1516" width="10.28515625" customWidth="1"/>
    <col min="1517" max="1517" width="12.5703125" bestFit="1" customWidth="1"/>
    <col min="1518" max="1518" width="10.5703125" bestFit="1" customWidth="1"/>
    <col min="1519" max="1519" width="9.85546875" bestFit="1" customWidth="1"/>
    <col min="1520" max="1520" width="13" bestFit="1" customWidth="1"/>
    <col min="1521" max="1521" width="2.140625" customWidth="1"/>
    <col min="1522" max="1522" width="10.5703125" bestFit="1" customWidth="1"/>
    <col min="1523" max="1523" width="7.85546875" bestFit="1" customWidth="1"/>
    <col min="1524" max="1524" width="9.85546875" bestFit="1" customWidth="1"/>
    <col min="1525" max="1525" width="11.28515625" bestFit="1" customWidth="1"/>
    <col min="1526" max="1527" width="9.85546875" bestFit="1" customWidth="1"/>
    <col min="1528" max="1528" width="12" bestFit="1" customWidth="1"/>
    <col min="1529" max="1529" width="1.85546875" customWidth="1"/>
    <col min="1531" max="1531" width="3" customWidth="1"/>
    <col min="1768" max="1768" width="18" customWidth="1"/>
    <col min="1769" max="1769" width="7.85546875" customWidth="1"/>
    <col min="1770" max="1770" width="11.28515625" bestFit="1" customWidth="1"/>
    <col min="1771" max="1771" width="10.5703125" bestFit="1" customWidth="1"/>
    <col min="1772" max="1772" width="10.28515625" customWidth="1"/>
    <col min="1773" max="1773" width="12.5703125" bestFit="1" customWidth="1"/>
    <col min="1774" max="1774" width="10.5703125" bestFit="1" customWidth="1"/>
    <col min="1775" max="1775" width="9.85546875" bestFit="1" customWidth="1"/>
    <col min="1776" max="1776" width="13" bestFit="1" customWidth="1"/>
    <col min="1777" max="1777" width="2.140625" customWidth="1"/>
    <col min="1778" max="1778" width="10.5703125" bestFit="1" customWidth="1"/>
    <col min="1779" max="1779" width="7.85546875" bestFit="1" customWidth="1"/>
    <col min="1780" max="1780" width="9.85546875" bestFit="1" customWidth="1"/>
    <col min="1781" max="1781" width="11.28515625" bestFit="1" customWidth="1"/>
    <col min="1782" max="1783" width="9.85546875" bestFit="1" customWidth="1"/>
    <col min="1784" max="1784" width="12" bestFit="1" customWidth="1"/>
    <col min="1785" max="1785" width="1.85546875" customWidth="1"/>
    <col min="1787" max="1787" width="3" customWidth="1"/>
    <col min="2024" max="2024" width="18" customWidth="1"/>
    <col min="2025" max="2025" width="7.85546875" customWidth="1"/>
    <col min="2026" max="2026" width="11.28515625" bestFit="1" customWidth="1"/>
    <col min="2027" max="2027" width="10.5703125" bestFit="1" customWidth="1"/>
    <col min="2028" max="2028" width="10.28515625" customWidth="1"/>
    <col min="2029" max="2029" width="12.5703125" bestFit="1" customWidth="1"/>
    <col min="2030" max="2030" width="10.5703125" bestFit="1" customWidth="1"/>
    <col min="2031" max="2031" width="9.85546875" bestFit="1" customWidth="1"/>
    <col min="2032" max="2032" width="13" bestFit="1" customWidth="1"/>
    <col min="2033" max="2033" width="2.140625" customWidth="1"/>
    <col min="2034" max="2034" width="10.5703125" bestFit="1" customWidth="1"/>
    <col min="2035" max="2035" width="7.85546875" bestFit="1" customWidth="1"/>
    <col min="2036" max="2036" width="9.85546875" bestFit="1" customWidth="1"/>
    <col min="2037" max="2037" width="11.28515625" bestFit="1" customWidth="1"/>
    <col min="2038" max="2039" width="9.85546875" bestFit="1" customWidth="1"/>
    <col min="2040" max="2040" width="12" bestFit="1" customWidth="1"/>
    <col min="2041" max="2041" width="1.85546875" customWidth="1"/>
    <col min="2043" max="2043" width="3" customWidth="1"/>
    <col min="2280" max="2280" width="18" customWidth="1"/>
    <col min="2281" max="2281" width="7.85546875" customWidth="1"/>
    <col min="2282" max="2282" width="11.28515625" bestFit="1" customWidth="1"/>
    <col min="2283" max="2283" width="10.5703125" bestFit="1" customWidth="1"/>
    <col min="2284" max="2284" width="10.28515625" customWidth="1"/>
    <col min="2285" max="2285" width="12.5703125" bestFit="1" customWidth="1"/>
    <col min="2286" max="2286" width="10.5703125" bestFit="1" customWidth="1"/>
    <col min="2287" max="2287" width="9.85546875" bestFit="1" customWidth="1"/>
    <col min="2288" max="2288" width="13" bestFit="1" customWidth="1"/>
    <col min="2289" max="2289" width="2.140625" customWidth="1"/>
    <col min="2290" max="2290" width="10.5703125" bestFit="1" customWidth="1"/>
    <col min="2291" max="2291" width="7.85546875" bestFit="1" customWidth="1"/>
    <col min="2292" max="2292" width="9.85546875" bestFit="1" customWidth="1"/>
    <col min="2293" max="2293" width="11.28515625" bestFit="1" customWidth="1"/>
    <col min="2294" max="2295" width="9.85546875" bestFit="1" customWidth="1"/>
    <col min="2296" max="2296" width="12" bestFit="1" customWidth="1"/>
    <col min="2297" max="2297" width="1.85546875" customWidth="1"/>
    <col min="2299" max="2299" width="3" customWidth="1"/>
    <col min="2536" max="2536" width="18" customWidth="1"/>
    <col min="2537" max="2537" width="7.85546875" customWidth="1"/>
    <col min="2538" max="2538" width="11.28515625" bestFit="1" customWidth="1"/>
    <col min="2539" max="2539" width="10.5703125" bestFit="1" customWidth="1"/>
    <col min="2540" max="2540" width="10.28515625" customWidth="1"/>
    <col min="2541" max="2541" width="12.5703125" bestFit="1" customWidth="1"/>
    <col min="2542" max="2542" width="10.5703125" bestFit="1" customWidth="1"/>
    <col min="2543" max="2543" width="9.85546875" bestFit="1" customWidth="1"/>
    <col min="2544" max="2544" width="13" bestFit="1" customWidth="1"/>
    <col min="2545" max="2545" width="2.140625" customWidth="1"/>
    <col min="2546" max="2546" width="10.5703125" bestFit="1" customWidth="1"/>
    <col min="2547" max="2547" width="7.85546875" bestFit="1" customWidth="1"/>
    <col min="2548" max="2548" width="9.85546875" bestFit="1" customWidth="1"/>
    <col min="2549" max="2549" width="11.28515625" bestFit="1" customWidth="1"/>
    <col min="2550" max="2551" width="9.85546875" bestFit="1" customWidth="1"/>
    <col min="2552" max="2552" width="12" bestFit="1" customWidth="1"/>
    <col min="2553" max="2553" width="1.85546875" customWidth="1"/>
    <col min="2555" max="2555" width="3" customWidth="1"/>
    <col min="2792" max="2792" width="18" customWidth="1"/>
    <col min="2793" max="2793" width="7.85546875" customWidth="1"/>
    <col min="2794" max="2794" width="11.28515625" bestFit="1" customWidth="1"/>
    <col min="2795" max="2795" width="10.5703125" bestFit="1" customWidth="1"/>
    <col min="2796" max="2796" width="10.28515625" customWidth="1"/>
    <col min="2797" max="2797" width="12.5703125" bestFit="1" customWidth="1"/>
    <col min="2798" max="2798" width="10.5703125" bestFit="1" customWidth="1"/>
    <col min="2799" max="2799" width="9.85546875" bestFit="1" customWidth="1"/>
    <col min="2800" max="2800" width="13" bestFit="1" customWidth="1"/>
    <col min="2801" max="2801" width="2.140625" customWidth="1"/>
    <col min="2802" max="2802" width="10.5703125" bestFit="1" customWidth="1"/>
    <col min="2803" max="2803" width="7.85546875" bestFit="1" customWidth="1"/>
    <col min="2804" max="2804" width="9.85546875" bestFit="1" customWidth="1"/>
    <col min="2805" max="2805" width="11.28515625" bestFit="1" customWidth="1"/>
    <col min="2806" max="2807" width="9.85546875" bestFit="1" customWidth="1"/>
    <col min="2808" max="2808" width="12" bestFit="1" customWidth="1"/>
    <col min="2809" max="2809" width="1.85546875" customWidth="1"/>
    <col min="2811" max="2811" width="3" customWidth="1"/>
    <col min="3048" max="3048" width="18" customWidth="1"/>
    <col min="3049" max="3049" width="7.85546875" customWidth="1"/>
    <col min="3050" max="3050" width="11.28515625" bestFit="1" customWidth="1"/>
    <col min="3051" max="3051" width="10.5703125" bestFit="1" customWidth="1"/>
    <col min="3052" max="3052" width="10.28515625" customWidth="1"/>
    <col min="3053" max="3053" width="12.5703125" bestFit="1" customWidth="1"/>
    <col min="3054" max="3054" width="10.5703125" bestFit="1" customWidth="1"/>
    <col min="3055" max="3055" width="9.85546875" bestFit="1" customWidth="1"/>
    <col min="3056" max="3056" width="13" bestFit="1" customWidth="1"/>
    <col min="3057" max="3057" width="2.140625" customWidth="1"/>
    <col min="3058" max="3058" width="10.5703125" bestFit="1" customWidth="1"/>
    <col min="3059" max="3059" width="7.85546875" bestFit="1" customWidth="1"/>
    <col min="3060" max="3060" width="9.85546875" bestFit="1" customWidth="1"/>
    <col min="3061" max="3061" width="11.28515625" bestFit="1" customWidth="1"/>
    <col min="3062" max="3063" width="9.85546875" bestFit="1" customWidth="1"/>
    <col min="3064" max="3064" width="12" bestFit="1" customWidth="1"/>
    <col min="3065" max="3065" width="1.85546875" customWidth="1"/>
    <col min="3067" max="3067" width="3" customWidth="1"/>
    <col min="3304" max="3304" width="18" customWidth="1"/>
    <col min="3305" max="3305" width="7.85546875" customWidth="1"/>
    <col min="3306" max="3306" width="11.28515625" bestFit="1" customWidth="1"/>
    <col min="3307" max="3307" width="10.5703125" bestFit="1" customWidth="1"/>
    <col min="3308" max="3308" width="10.28515625" customWidth="1"/>
    <col min="3309" max="3309" width="12.5703125" bestFit="1" customWidth="1"/>
    <col min="3310" max="3310" width="10.5703125" bestFit="1" customWidth="1"/>
    <col min="3311" max="3311" width="9.85546875" bestFit="1" customWidth="1"/>
    <col min="3312" max="3312" width="13" bestFit="1" customWidth="1"/>
    <col min="3313" max="3313" width="2.140625" customWidth="1"/>
    <col min="3314" max="3314" width="10.5703125" bestFit="1" customWidth="1"/>
    <col min="3315" max="3315" width="7.85546875" bestFit="1" customWidth="1"/>
    <col min="3316" max="3316" width="9.85546875" bestFit="1" customWidth="1"/>
    <col min="3317" max="3317" width="11.28515625" bestFit="1" customWidth="1"/>
    <col min="3318" max="3319" width="9.85546875" bestFit="1" customWidth="1"/>
    <col min="3320" max="3320" width="12" bestFit="1" customWidth="1"/>
    <col min="3321" max="3321" width="1.85546875" customWidth="1"/>
    <col min="3323" max="3323" width="3" customWidth="1"/>
    <col min="3560" max="3560" width="18" customWidth="1"/>
    <col min="3561" max="3561" width="7.85546875" customWidth="1"/>
    <col min="3562" max="3562" width="11.28515625" bestFit="1" customWidth="1"/>
    <col min="3563" max="3563" width="10.5703125" bestFit="1" customWidth="1"/>
    <col min="3564" max="3564" width="10.28515625" customWidth="1"/>
    <col min="3565" max="3565" width="12.5703125" bestFit="1" customWidth="1"/>
    <col min="3566" max="3566" width="10.5703125" bestFit="1" customWidth="1"/>
    <col min="3567" max="3567" width="9.85546875" bestFit="1" customWidth="1"/>
    <col min="3568" max="3568" width="13" bestFit="1" customWidth="1"/>
    <col min="3569" max="3569" width="2.140625" customWidth="1"/>
    <col min="3570" max="3570" width="10.5703125" bestFit="1" customWidth="1"/>
    <col min="3571" max="3571" width="7.85546875" bestFit="1" customWidth="1"/>
    <col min="3572" max="3572" width="9.85546875" bestFit="1" customWidth="1"/>
    <col min="3573" max="3573" width="11.28515625" bestFit="1" customWidth="1"/>
    <col min="3574" max="3575" width="9.85546875" bestFit="1" customWidth="1"/>
    <col min="3576" max="3576" width="12" bestFit="1" customWidth="1"/>
    <col min="3577" max="3577" width="1.85546875" customWidth="1"/>
    <col min="3579" max="3579" width="3" customWidth="1"/>
    <col min="3816" max="3816" width="18" customWidth="1"/>
    <col min="3817" max="3817" width="7.85546875" customWidth="1"/>
    <col min="3818" max="3818" width="11.28515625" bestFit="1" customWidth="1"/>
    <col min="3819" max="3819" width="10.5703125" bestFit="1" customWidth="1"/>
    <col min="3820" max="3820" width="10.28515625" customWidth="1"/>
    <col min="3821" max="3821" width="12.5703125" bestFit="1" customWidth="1"/>
    <col min="3822" max="3822" width="10.5703125" bestFit="1" customWidth="1"/>
    <col min="3823" max="3823" width="9.85546875" bestFit="1" customWidth="1"/>
    <col min="3824" max="3824" width="13" bestFit="1" customWidth="1"/>
    <col min="3825" max="3825" width="2.140625" customWidth="1"/>
    <col min="3826" max="3826" width="10.5703125" bestFit="1" customWidth="1"/>
    <col min="3827" max="3827" width="7.85546875" bestFit="1" customWidth="1"/>
    <col min="3828" max="3828" width="9.85546875" bestFit="1" customWidth="1"/>
    <col min="3829" max="3829" width="11.28515625" bestFit="1" customWidth="1"/>
    <col min="3830" max="3831" width="9.85546875" bestFit="1" customWidth="1"/>
    <col min="3832" max="3832" width="12" bestFit="1" customWidth="1"/>
    <col min="3833" max="3833" width="1.85546875" customWidth="1"/>
    <col min="3835" max="3835" width="3" customWidth="1"/>
    <col min="4072" max="4072" width="18" customWidth="1"/>
    <col min="4073" max="4073" width="7.85546875" customWidth="1"/>
    <col min="4074" max="4074" width="11.28515625" bestFit="1" customWidth="1"/>
    <col min="4075" max="4075" width="10.5703125" bestFit="1" customWidth="1"/>
    <col min="4076" max="4076" width="10.28515625" customWidth="1"/>
    <col min="4077" max="4077" width="12.5703125" bestFit="1" customWidth="1"/>
    <col min="4078" max="4078" width="10.5703125" bestFit="1" customWidth="1"/>
    <col min="4079" max="4079" width="9.85546875" bestFit="1" customWidth="1"/>
    <col min="4080" max="4080" width="13" bestFit="1" customWidth="1"/>
    <col min="4081" max="4081" width="2.140625" customWidth="1"/>
    <col min="4082" max="4082" width="10.5703125" bestFit="1" customWidth="1"/>
    <col min="4083" max="4083" width="7.85546875" bestFit="1" customWidth="1"/>
    <col min="4084" max="4084" width="9.85546875" bestFit="1" customWidth="1"/>
    <col min="4085" max="4085" width="11.28515625" bestFit="1" customWidth="1"/>
    <col min="4086" max="4087" width="9.85546875" bestFit="1" customWidth="1"/>
    <col min="4088" max="4088" width="12" bestFit="1" customWidth="1"/>
    <col min="4089" max="4089" width="1.85546875" customWidth="1"/>
    <col min="4091" max="4091" width="3" customWidth="1"/>
    <col min="4328" max="4328" width="18" customWidth="1"/>
    <col min="4329" max="4329" width="7.85546875" customWidth="1"/>
    <col min="4330" max="4330" width="11.28515625" bestFit="1" customWidth="1"/>
    <col min="4331" max="4331" width="10.5703125" bestFit="1" customWidth="1"/>
    <col min="4332" max="4332" width="10.28515625" customWidth="1"/>
    <col min="4333" max="4333" width="12.5703125" bestFit="1" customWidth="1"/>
    <col min="4334" max="4334" width="10.5703125" bestFit="1" customWidth="1"/>
    <col min="4335" max="4335" width="9.85546875" bestFit="1" customWidth="1"/>
    <col min="4336" max="4336" width="13" bestFit="1" customWidth="1"/>
    <col min="4337" max="4337" width="2.140625" customWidth="1"/>
    <col min="4338" max="4338" width="10.5703125" bestFit="1" customWidth="1"/>
    <col min="4339" max="4339" width="7.85546875" bestFit="1" customWidth="1"/>
    <col min="4340" max="4340" width="9.85546875" bestFit="1" customWidth="1"/>
    <col min="4341" max="4341" width="11.28515625" bestFit="1" customWidth="1"/>
    <col min="4342" max="4343" width="9.85546875" bestFit="1" customWidth="1"/>
    <col min="4344" max="4344" width="12" bestFit="1" customWidth="1"/>
    <col min="4345" max="4345" width="1.85546875" customWidth="1"/>
    <col min="4347" max="4347" width="3" customWidth="1"/>
    <col min="4584" max="4584" width="18" customWidth="1"/>
    <col min="4585" max="4585" width="7.85546875" customWidth="1"/>
    <col min="4586" max="4586" width="11.28515625" bestFit="1" customWidth="1"/>
    <col min="4587" max="4587" width="10.5703125" bestFit="1" customWidth="1"/>
    <col min="4588" max="4588" width="10.28515625" customWidth="1"/>
    <col min="4589" max="4589" width="12.5703125" bestFit="1" customWidth="1"/>
    <col min="4590" max="4590" width="10.5703125" bestFit="1" customWidth="1"/>
    <col min="4591" max="4591" width="9.85546875" bestFit="1" customWidth="1"/>
    <col min="4592" max="4592" width="13" bestFit="1" customWidth="1"/>
    <col min="4593" max="4593" width="2.140625" customWidth="1"/>
    <col min="4594" max="4594" width="10.5703125" bestFit="1" customWidth="1"/>
    <col min="4595" max="4595" width="7.85546875" bestFit="1" customWidth="1"/>
    <col min="4596" max="4596" width="9.85546875" bestFit="1" customWidth="1"/>
    <col min="4597" max="4597" width="11.28515625" bestFit="1" customWidth="1"/>
    <col min="4598" max="4599" width="9.85546875" bestFit="1" customWidth="1"/>
    <col min="4600" max="4600" width="12" bestFit="1" customWidth="1"/>
    <col min="4601" max="4601" width="1.85546875" customWidth="1"/>
    <col min="4603" max="4603" width="3" customWidth="1"/>
    <col min="4840" max="4840" width="18" customWidth="1"/>
    <col min="4841" max="4841" width="7.85546875" customWidth="1"/>
    <col min="4842" max="4842" width="11.28515625" bestFit="1" customWidth="1"/>
    <col min="4843" max="4843" width="10.5703125" bestFit="1" customWidth="1"/>
    <col min="4844" max="4844" width="10.28515625" customWidth="1"/>
    <col min="4845" max="4845" width="12.5703125" bestFit="1" customWidth="1"/>
    <col min="4846" max="4846" width="10.5703125" bestFit="1" customWidth="1"/>
    <col min="4847" max="4847" width="9.85546875" bestFit="1" customWidth="1"/>
    <col min="4848" max="4848" width="13" bestFit="1" customWidth="1"/>
    <col min="4849" max="4849" width="2.140625" customWidth="1"/>
    <col min="4850" max="4850" width="10.5703125" bestFit="1" customWidth="1"/>
    <col min="4851" max="4851" width="7.85546875" bestFit="1" customWidth="1"/>
    <col min="4852" max="4852" width="9.85546875" bestFit="1" customWidth="1"/>
    <col min="4853" max="4853" width="11.28515625" bestFit="1" customWidth="1"/>
    <col min="4854" max="4855" width="9.85546875" bestFit="1" customWidth="1"/>
    <col min="4856" max="4856" width="12" bestFit="1" customWidth="1"/>
    <col min="4857" max="4857" width="1.85546875" customWidth="1"/>
    <col min="4859" max="4859" width="3" customWidth="1"/>
    <col min="5096" max="5096" width="18" customWidth="1"/>
    <col min="5097" max="5097" width="7.85546875" customWidth="1"/>
    <col min="5098" max="5098" width="11.28515625" bestFit="1" customWidth="1"/>
    <col min="5099" max="5099" width="10.5703125" bestFit="1" customWidth="1"/>
    <col min="5100" max="5100" width="10.28515625" customWidth="1"/>
    <col min="5101" max="5101" width="12.5703125" bestFit="1" customWidth="1"/>
    <col min="5102" max="5102" width="10.5703125" bestFit="1" customWidth="1"/>
    <col min="5103" max="5103" width="9.85546875" bestFit="1" customWidth="1"/>
    <col min="5104" max="5104" width="13" bestFit="1" customWidth="1"/>
    <col min="5105" max="5105" width="2.140625" customWidth="1"/>
    <col min="5106" max="5106" width="10.5703125" bestFit="1" customWidth="1"/>
    <col min="5107" max="5107" width="7.85546875" bestFit="1" customWidth="1"/>
    <col min="5108" max="5108" width="9.85546875" bestFit="1" customWidth="1"/>
    <col min="5109" max="5109" width="11.28515625" bestFit="1" customWidth="1"/>
    <col min="5110" max="5111" width="9.85546875" bestFit="1" customWidth="1"/>
    <col min="5112" max="5112" width="12" bestFit="1" customWidth="1"/>
    <col min="5113" max="5113" width="1.85546875" customWidth="1"/>
    <col min="5115" max="5115" width="3" customWidth="1"/>
    <col min="5352" max="5352" width="18" customWidth="1"/>
    <col min="5353" max="5353" width="7.85546875" customWidth="1"/>
    <col min="5354" max="5354" width="11.28515625" bestFit="1" customWidth="1"/>
    <col min="5355" max="5355" width="10.5703125" bestFit="1" customWidth="1"/>
    <col min="5356" max="5356" width="10.28515625" customWidth="1"/>
    <col min="5357" max="5357" width="12.5703125" bestFit="1" customWidth="1"/>
    <col min="5358" max="5358" width="10.5703125" bestFit="1" customWidth="1"/>
    <col min="5359" max="5359" width="9.85546875" bestFit="1" customWidth="1"/>
    <col min="5360" max="5360" width="13" bestFit="1" customWidth="1"/>
    <col min="5361" max="5361" width="2.140625" customWidth="1"/>
    <col min="5362" max="5362" width="10.5703125" bestFit="1" customWidth="1"/>
    <col min="5363" max="5363" width="7.85546875" bestFit="1" customWidth="1"/>
    <col min="5364" max="5364" width="9.85546875" bestFit="1" customWidth="1"/>
    <col min="5365" max="5365" width="11.28515625" bestFit="1" customWidth="1"/>
    <col min="5366" max="5367" width="9.85546875" bestFit="1" customWidth="1"/>
    <col min="5368" max="5368" width="12" bestFit="1" customWidth="1"/>
    <col min="5369" max="5369" width="1.85546875" customWidth="1"/>
    <col min="5371" max="5371" width="3" customWidth="1"/>
    <col min="5608" max="5608" width="18" customWidth="1"/>
    <col min="5609" max="5609" width="7.85546875" customWidth="1"/>
    <col min="5610" max="5610" width="11.28515625" bestFit="1" customWidth="1"/>
    <col min="5611" max="5611" width="10.5703125" bestFit="1" customWidth="1"/>
    <col min="5612" max="5612" width="10.28515625" customWidth="1"/>
    <col min="5613" max="5613" width="12.5703125" bestFit="1" customWidth="1"/>
    <col min="5614" max="5614" width="10.5703125" bestFit="1" customWidth="1"/>
    <col min="5615" max="5615" width="9.85546875" bestFit="1" customWidth="1"/>
    <col min="5616" max="5616" width="13" bestFit="1" customWidth="1"/>
    <col min="5617" max="5617" width="2.140625" customWidth="1"/>
    <col min="5618" max="5618" width="10.5703125" bestFit="1" customWidth="1"/>
    <col min="5619" max="5619" width="7.85546875" bestFit="1" customWidth="1"/>
    <col min="5620" max="5620" width="9.85546875" bestFit="1" customWidth="1"/>
    <col min="5621" max="5621" width="11.28515625" bestFit="1" customWidth="1"/>
    <col min="5622" max="5623" width="9.85546875" bestFit="1" customWidth="1"/>
    <col min="5624" max="5624" width="12" bestFit="1" customWidth="1"/>
    <col min="5625" max="5625" width="1.85546875" customWidth="1"/>
    <col min="5627" max="5627" width="3" customWidth="1"/>
    <col min="5864" max="5864" width="18" customWidth="1"/>
    <col min="5865" max="5865" width="7.85546875" customWidth="1"/>
    <col min="5866" max="5866" width="11.28515625" bestFit="1" customWidth="1"/>
    <col min="5867" max="5867" width="10.5703125" bestFit="1" customWidth="1"/>
    <col min="5868" max="5868" width="10.28515625" customWidth="1"/>
    <col min="5869" max="5869" width="12.5703125" bestFit="1" customWidth="1"/>
    <col min="5870" max="5870" width="10.5703125" bestFit="1" customWidth="1"/>
    <col min="5871" max="5871" width="9.85546875" bestFit="1" customWidth="1"/>
    <col min="5872" max="5872" width="13" bestFit="1" customWidth="1"/>
    <col min="5873" max="5873" width="2.140625" customWidth="1"/>
    <col min="5874" max="5874" width="10.5703125" bestFit="1" customWidth="1"/>
    <col min="5875" max="5875" width="7.85546875" bestFit="1" customWidth="1"/>
    <col min="5876" max="5876" width="9.85546875" bestFit="1" customWidth="1"/>
    <col min="5877" max="5877" width="11.28515625" bestFit="1" customWidth="1"/>
    <col min="5878" max="5879" width="9.85546875" bestFit="1" customWidth="1"/>
    <col min="5880" max="5880" width="12" bestFit="1" customWidth="1"/>
    <col min="5881" max="5881" width="1.85546875" customWidth="1"/>
    <col min="5883" max="5883" width="3" customWidth="1"/>
    <col min="6120" max="6120" width="18" customWidth="1"/>
    <col min="6121" max="6121" width="7.85546875" customWidth="1"/>
    <col min="6122" max="6122" width="11.28515625" bestFit="1" customWidth="1"/>
    <col min="6123" max="6123" width="10.5703125" bestFit="1" customWidth="1"/>
    <col min="6124" max="6124" width="10.28515625" customWidth="1"/>
    <col min="6125" max="6125" width="12.5703125" bestFit="1" customWidth="1"/>
    <col min="6126" max="6126" width="10.5703125" bestFit="1" customWidth="1"/>
    <col min="6127" max="6127" width="9.85546875" bestFit="1" customWidth="1"/>
    <col min="6128" max="6128" width="13" bestFit="1" customWidth="1"/>
    <col min="6129" max="6129" width="2.140625" customWidth="1"/>
    <col min="6130" max="6130" width="10.5703125" bestFit="1" customWidth="1"/>
    <col min="6131" max="6131" width="7.85546875" bestFit="1" customWidth="1"/>
    <col min="6132" max="6132" width="9.85546875" bestFit="1" customWidth="1"/>
    <col min="6133" max="6133" width="11.28515625" bestFit="1" customWidth="1"/>
    <col min="6134" max="6135" width="9.85546875" bestFit="1" customWidth="1"/>
    <col min="6136" max="6136" width="12" bestFit="1" customWidth="1"/>
    <col min="6137" max="6137" width="1.85546875" customWidth="1"/>
    <col min="6139" max="6139" width="3" customWidth="1"/>
    <col min="6376" max="6376" width="18" customWidth="1"/>
    <col min="6377" max="6377" width="7.85546875" customWidth="1"/>
    <col min="6378" max="6378" width="11.28515625" bestFit="1" customWidth="1"/>
    <col min="6379" max="6379" width="10.5703125" bestFit="1" customWidth="1"/>
    <col min="6380" max="6380" width="10.28515625" customWidth="1"/>
    <col min="6381" max="6381" width="12.5703125" bestFit="1" customWidth="1"/>
    <col min="6382" max="6382" width="10.5703125" bestFit="1" customWidth="1"/>
    <col min="6383" max="6383" width="9.85546875" bestFit="1" customWidth="1"/>
    <col min="6384" max="6384" width="13" bestFit="1" customWidth="1"/>
    <col min="6385" max="6385" width="2.140625" customWidth="1"/>
    <col min="6386" max="6386" width="10.5703125" bestFit="1" customWidth="1"/>
    <col min="6387" max="6387" width="7.85546875" bestFit="1" customWidth="1"/>
    <col min="6388" max="6388" width="9.85546875" bestFit="1" customWidth="1"/>
    <col min="6389" max="6389" width="11.28515625" bestFit="1" customWidth="1"/>
    <col min="6390" max="6391" width="9.85546875" bestFit="1" customWidth="1"/>
    <col min="6392" max="6392" width="12" bestFit="1" customWidth="1"/>
    <col min="6393" max="6393" width="1.85546875" customWidth="1"/>
    <col min="6395" max="6395" width="3" customWidth="1"/>
    <col min="6632" max="6632" width="18" customWidth="1"/>
    <col min="6633" max="6633" width="7.85546875" customWidth="1"/>
    <col min="6634" max="6634" width="11.28515625" bestFit="1" customWidth="1"/>
    <col min="6635" max="6635" width="10.5703125" bestFit="1" customWidth="1"/>
    <col min="6636" max="6636" width="10.28515625" customWidth="1"/>
    <col min="6637" max="6637" width="12.5703125" bestFit="1" customWidth="1"/>
    <col min="6638" max="6638" width="10.5703125" bestFit="1" customWidth="1"/>
    <col min="6639" max="6639" width="9.85546875" bestFit="1" customWidth="1"/>
    <col min="6640" max="6640" width="13" bestFit="1" customWidth="1"/>
    <col min="6641" max="6641" width="2.140625" customWidth="1"/>
    <col min="6642" max="6642" width="10.5703125" bestFit="1" customWidth="1"/>
    <col min="6643" max="6643" width="7.85546875" bestFit="1" customWidth="1"/>
    <col min="6644" max="6644" width="9.85546875" bestFit="1" customWidth="1"/>
    <col min="6645" max="6645" width="11.28515625" bestFit="1" customWidth="1"/>
    <col min="6646" max="6647" width="9.85546875" bestFit="1" customWidth="1"/>
    <col min="6648" max="6648" width="12" bestFit="1" customWidth="1"/>
    <col min="6649" max="6649" width="1.85546875" customWidth="1"/>
    <col min="6651" max="6651" width="3" customWidth="1"/>
    <col min="6888" max="6888" width="18" customWidth="1"/>
    <col min="6889" max="6889" width="7.85546875" customWidth="1"/>
    <col min="6890" max="6890" width="11.28515625" bestFit="1" customWidth="1"/>
    <col min="6891" max="6891" width="10.5703125" bestFit="1" customWidth="1"/>
    <col min="6892" max="6892" width="10.28515625" customWidth="1"/>
    <col min="6893" max="6893" width="12.5703125" bestFit="1" customWidth="1"/>
    <col min="6894" max="6894" width="10.5703125" bestFit="1" customWidth="1"/>
    <col min="6895" max="6895" width="9.85546875" bestFit="1" customWidth="1"/>
    <col min="6896" max="6896" width="13" bestFit="1" customWidth="1"/>
    <col min="6897" max="6897" width="2.140625" customWidth="1"/>
    <col min="6898" max="6898" width="10.5703125" bestFit="1" customWidth="1"/>
    <col min="6899" max="6899" width="7.85546875" bestFit="1" customWidth="1"/>
    <col min="6900" max="6900" width="9.85546875" bestFit="1" customWidth="1"/>
    <col min="6901" max="6901" width="11.28515625" bestFit="1" customWidth="1"/>
    <col min="6902" max="6903" width="9.85546875" bestFit="1" customWidth="1"/>
    <col min="6904" max="6904" width="12" bestFit="1" customWidth="1"/>
    <col min="6905" max="6905" width="1.85546875" customWidth="1"/>
    <col min="6907" max="6907" width="3" customWidth="1"/>
    <col min="7144" max="7144" width="18" customWidth="1"/>
    <col min="7145" max="7145" width="7.85546875" customWidth="1"/>
    <col min="7146" max="7146" width="11.28515625" bestFit="1" customWidth="1"/>
    <col min="7147" max="7147" width="10.5703125" bestFit="1" customWidth="1"/>
    <col min="7148" max="7148" width="10.28515625" customWidth="1"/>
    <col min="7149" max="7149" width="12.5703125" bestFit="1" customWidth="1"/>
    <col min="7150" max="7150" width="10.5703125" bestFit="1" customWidth="1"/>
    <col min="7151" max="7151" width="9.85546875" bestFit="1" customWidth="1"/>
    <col min="7152" max="7152" width="13" bestFit="1" customWidth="1"/>
    <col min="7153" max="7153" width="2.140625" customWidth="1"/>
    <col min="7154" max="7154" width="10.5703125" bestFit="1" customWidth="1"/>
    <col min="7155" max="7155" width="7.85546875" bestFit="1" customWidth="1"/>
    <col min="7156" max="7156" width="9.85546875" bestFit="1" customWidth="1"/>
    <col min="7157" max="7157" width="11.28515625" bestFit="1" customWidth="1"/>
    <col min="7158" max="7159" width="9.85546875" bestFit="1" customWidth="1"/>
    <col min="7160" max="7160" width="12" bestFit="1" customWidth="1"/>
    <col min="7161" max="7161" width="1.85546875" customWidth="1"/>
    <col min="7163" max="7163" width="3" customWidth="1"/>
    <col min="7400" max="7400" width="18" customWidth="1"/>
    <col min="7401" max="7401" width="7.85546875" customWidth="1"/>
    <col min="7402" max="7402" width="11.28515625" bestFit="1" customWidth="1"/>
    <col min="7403" max="7403" width="10.5703125" bestFit="1" customWidth="1"/>
    <col min="7404" max="7404" width="10.28515625" customWidth="1"/>
    <col min="7405" max="7405" width="12.5703125" bestFit="1" customWidth="1"/>
    <col min="7406" max="7406" width="10.5703125" bestFit="1" customWidth="1"/>
    <col min="7407" max="7407" width="9.85546875" bestFit="1" customWidth="1"/>
    <col min="7408" max="7408" width="13" bestFit="1" customWidth="1"/>
    <col min="7409" max="7409" width="2.140625" customWidth="1"/>
    <col min="7410" max="7410" width="10.5703125" bestFit="1" customWidth="1"/>
    <col min="7411" max="7411" width="7.85546875" bestFit="1" customWidth="1"/>
    <col min="7412" max="7412" width="9.85546875" bestFit="1" customWidth="1"/>
    <col min="7413" max="7413" width="11.28515625" bestFit="1" customWidth="1"/>
    <col min="7414" max="7415" width="9.85546875" bestFit="1" customWidth="1"/>
    <col min="7416" max="7416" width="12" bestFit="1" customWidth="1"/>
    <col min="7417" max="7417" width="1.85546875" customWidth="1"/>
    <col min="7419" max="7419" width="3" customWidth="1"/>
    <col min="7656" max="7656" width="18" customWidth="1"/>
    <col min="7657" max="7657" width="7.85546875" customWidth="1"/>
    <col min="7658" max="7658" width="11.28515625" bestFit="1" customWidth="1"/>
    <col min="7659" max="7659" width="10.5703125" bestFit="1" customWidth="1"/>
    <col min="7660" max="7660" width="10.28515625" customWidth="1"/>
    <col min="7661" max="7661" width="12.5703125" bestFit="1" customWidth="1"/>
    <col min="7662" max="7662" width="10.5703125" bestFit="1" customWidth="1"/>
    <col min="7663" max="7663" width="9.85546875" bestFit="1" customWidth="1"/>
    <col min="7664" max="7664" width="13" bestFit="1" customWidth="1"/>
    <col min="7665" max="7665" width="2.140625" customWidth="1"/>
    <col min="7666" max="7666" width="10.5703125" bestFit="1" customWidth="1"/>
    <col min="7667" max="7667" width="7.85546875" bestFit="1" customWidth="1"/>
    <col min="7668" max="7668" width="9.85546875" bestFit="1" customWidth="1"/>
    <col min="7669" max="7669" width="11.28515625" bestFit="1" customWidth="1"/>
    <col min="7670" max="7671" width="9.85546875" bestFit="1" customWidth="1"/>
    <col min="7672" max="7672" width="12" bestFit="1" customWidth="1"/>
    <col min="7673" max="7673" width="1.85546875" customWidth="1"/>
    <col min="7675" max="7675" width="3" customWidth="1"/>
    <col min="7912" max="7912" width="18" customWidth="1"/>
    <col min="7913" max="7913" width="7.85546875" customWidth="1"/>
    <col min="7914" max="7914" width="11.28515625" bestFit="1" customWidth="1"/>
    <col min="7915" max="7915" width="10.5703125" bestFit="1" customWidth="1"/>
    <col min="7916" max="7916" width="10.28515625" customWidth="1"/>
    <col min="7917" max="7917" width="12.5703125" bestFit="1" customWidth="1"/>
    <col min="7918" max="7918" width="10.5703125" bestFit="1" customWidth="1"/>
    <col min="7919" max="7919" width="9.85546875" bestFit="1" customWidth="1"/>
    <col min="7920" max="7920" width="13" bestFit="1" customWidth="1"/>
    <col min="7921" max="7921" width="2.140625" customWidth="1"/>
    <col min="7922" max="7922" width="10.5703125" bestFit="1" customWidth="1"/>
    <col min="7923" max="7923" width="7.85546875" bestFit="1" customWidth="1"/>
    <col min="7924" max="7924" width="9.85546875" bestFit="1" customWidth="1"/>
    <col min="7925" max="7925" width="11.28515625" bestFit="1" customWidth="1"/>
    <col min="7926" max="7927" width="9.85546875" bestFit="1" customWidth="1"/>
    <col min="7928" max="7928" width="12" bestFit="1" customWidth="1"/>
    <col min="7929" max="7929" width="1.85546875" customWidth="1"/>
    <col min="7931" max="7931" width="3" customWidth="1"/>
    <col min="8168" max="8168" width="18" customWidth="1"/>
    <col min="8169" max="8169" width="7.85546875" customWidth="1"/>
    <col min="8170" max="8170" width="11.28515625" bestFit="1" customWidth="1"/>
    <col min="8171" max="8171" width="10.5703125" bestFit="1" customWidth="1"/>
    <col min="8172" max="8172" width="10.28515625" customWidth="1"/>
    <col min="8173" max="8173" width="12.5703125" bestFit="1" customWidth="1"/>
    <col min="8174" max="8174" width="10.5703125" bestFit="1" customWidth="1"/>
    <col min="8175" max="8175" width="9.85546875" bestFit="1" customWidth="1"/>
    <col min="8176" max="8176" width="13" bestFit="1" customWidth="1"/>
    <col min="8177" max="8177" width="2.140625" customWidth="1"/>
    <col min="8178" max="8178" width="10.5703125" bestFit="1" customWidth="1"/>
    <col min="8179" max="8179" width="7.85546875" bestFit="1" customWidth="1"/>
    <col min="8180" max="8180" width="9.85546875" bestFit="1" customWidth="1"/>
    <col min="8181" max="8181" width="11.28515625" bestFit="1" customWidth="1"/>
    <col min="8182" max="8183" width="9.85546875" bestFit="1" customWidth="1"/>
    <col min="8184" max="8184" width="12" bestFit="1" customWidth="1"/>
    <col min="8185" max="8185" width="1.85546875" customWidth="1"/>
    <col min="8187" max="8187" width="3" customWidth="1"/>
    <col min="8424" max="8424" width="18" customWidth="1"/>
    <col min="8425" max="8425" width="7.85546875" customWidth="1"/>
    <col min="8426" max="8426" width="11.28515625" bestFit="1" customWidth="1"/>
    <col min="8427" max="8427" width="10.5703125" bestFit="1" customWidth="1"/>
    <col min="8428" max="8428" width="10.28515625" customWidth="1"/>
    <col min="8429" max="8429" width="12.5703125" bestFit="1" customWidth="1"/>
    <col min="8430" max="8430" width="10.5703125" bestFit="1" customWidth="1"/>
    <col min="8431" max="8431" width="9.85546875" bestFit="1" customWidth="1"/>
    <col min="8432" max="8432" width="13" bestFit="1" customWidth="1"/>
    <col min="8433" max="8433" width="2.140625" customWidth="1"/>
    <col min="8434" max="8434" width="10.5703125" bestFit="1" customWidth="1"/>
    <col min="8435" max="8435" width="7.85546875" bestFit="1" customWidth="1"/>
    <col min="8436" max="8436" width="9.85546875" bestFit="1" customWidth="1"/>
    <col min="8437" max="8437" width="11.28515625" bestFit="1" customWidth="1"/>
    <col min="8438" max="8439" width="9.85546875" bestFit="1" customWidth="1"/>
    <col min="8440" max="8440" width="12" bestFit="1" customWidth="1"/>
    <col min="8441" max="8441" width="1.85546875" customWidth="1"/>
    <col min="8443" max="8443" width="3" customWidth="1"/>
    <col min="8680" max="8680" width="18" customWidth="1"/>
    <col min="8681" max="8681" width="7.85546875" customWidth="1"/>
    <col min="8682" max="8682" width="11.28515625" bestFit="1" customWidth="1"/>
    <col min="8683" max="8683" width="10.5703125" bestFit="1" customWidth="1"/>
    <col min="8684" max="8684" width="10.28515625" customWidth="1"/>
    <col min="8685" max="8685" width="12.5703125" bestFit="1" customWidth="1"/>
    <col min="8686" max="8686" width="10.5703125" bestFit="1" customWidth="1"/>
    <col min="8687" max="8687" width="9.85546875" bestFit="1" customWidth="1"/>
    <col min="8688" max="8688" width="13" bestFit="1" customWidth="1"/>
    <col min="8689" max="8689" width="2.140625" customWidth="1"/>
    <col min="8690" max="8690" width="10.5703125" bestFit="1" customWidth="1"/>
    <col min="8691" max="8691" width="7.85546875" bestFit="1" customWidth="1"/>
    <col min="8692" max="8692" width="9.85546875" bestFit="1" customWidth="1"/>
    <col min="8693" max="8693" width="11.28515625" bestFit="1" customWidth="1"/>
    <col min="8694" max="8695" width="9.85546875" bestFit="1" customWidth="1"/>
    <col min="8696" max="8696" width="12" bestFit="1" customWidth="1"/>
    <col min="8697" max="8697" width="1.85546875" customWidth="1"/>
    <col min="8699" max="8699" width="3" customWidth="1"/>
    <col min="8936" max="8936" width="18" customWidth="1"/>
    <col min="8937" max="8937" width="7.85546875" customWidth="1"/>
    <col min="8938" max="8938" width="11.28515625" bestFit="1" customWidth="1"/>
    <col min="8939" max="8939" width="10.5703125" bestFit="1" customWidth="1"/>
    <col min="8940" max="8940" width="10.28515625" customWidth="1"/>
    <col min="8941" max="8941" width="12.5703125" bestFit="1" customWidth="1"/>
    <col min="8942" max="8942" width="10.5703125" bestFit="1" customWidth="1"/>
    <col min="8943" max="8943" width="9.85546875" bestFit="1" customWidth="1"/>
    <col min="8944" max="8944" width="13" bestFit="1" customWidth="1"/>
    <col min="8945" max="8945" width="2.140625" customWidth="1"/>
    <col min="8946" max="8946" width="10.5703125" bestFit="1" customWidth="1"/>
    <col min="8947" max="8947" width="7.85546875" bestFit="1" customWidth="1"/>
    <col min="8948" max="8948" width="9.85546875" bestFit="1" customWidth="1"/>
    <col min="8949" max="8949" width="11.28515625" bestFit="1" customWidth="1"/>
    <col min="8950" max="8951" width="9.85546875" bestFit="1" customWidth="1"/>
    <col min="8952" max="8952" width="12" bestFit="1" customWidth="1"/>
    <col min="8953" max="8953" width="1.85546875" customWidth="1"/>
    <col min="8955" max="8955" width="3" customWidth="1"/>
    <col min="9192" max="9192" width="18" customWidth="1"/>
    <col min="9193" max="9193" width="7.85546875" customWidth="1"/>
    <col min="9194" max="9194" width="11.28515625" bestFit="1" customWidth="1"/>
    <col min="9195" max="9195" width="10.5703125" bestFit="1" customWidth="1"/>
    <col min="9196" max="9196" width="10.28515625" customWidth="1"/>
    <col min="9197" max="9197" width="12.5703125" bestFit="1" customWidth="1"/>
    <col min="9198" max="9198" width="10.5703125" bestFit="1" customWidth="1"/>
    <col min="9199" max="9199" width="9.85546875" bestFit="1" customWidth="1"/>
    <col min="9200" max="9200" width="13" bestFit="1" customWidth="1"/>
    <col min="9201" max="9201" width="2.140625" customWidth="1"/>
    <col min="9202" max="9202" width="10.5703125" bestFit="1" customWidth="1"/>
    <col min="9203" max="9203" width="7.85546875" bestFit="1" customWidth="1"/>
    <col min="9204" max="9204" width="9.85546875" bestFit="1" customWidth="1"/>
    <col min="9205" max="9205" width="11.28515625" bestFit="1" customWidth="1"/>
    <col min="9206" max="9207" width="9.85546875" bestFit="1" customWidth="1"/>
    <col min="9208" max="9208" width="12" bestFit="1" customWidth="1"/>
    <col min="9209" max="9209" width="1.85546875" customWidth="1"/>
    <col min="9211" max="9211" width="3" customWidth="1"/>
    <col min="9448" max="9448" width="18" customWidth="1"/>
    <col min="9449" max="9449" width="7.85546875" customWidth="1"/>
    <col min="9450" max="9450" width="11.28515625" bestFit="1" customWidth="1"/>
    <col min="9451" max="9451" width="10.5703125" bestFit="1" customWidth="1"/>
    <col min="9452" max="9452" width="10.28515625" customWidth="1"/>
    <col min="9453" max="9453" width="12.5703125" bestFit="1" customWidth="1"/>
    <col min="9454" max="9454" width="10.5703125" bestFit="1" customWidth="1"/>
    <col min="9455" max="9455" width="9.85546875" bestFit="1" customWidth="1"/>
    <col min="9456" max="9456" width="13" bestFit="1" customWidth="1"/>
    <col min="9457" max="9457" width="2.140625" customWidth="1"/>
    <col min="9458" max="9458" width="10.5703125" bestFit="1" customWidth="1"/>
    <col min="9459" max="9459" width="7.85546875" bestFit="1" customWidth="1"/>
    <col min="9460" max="9460" width="9.85546875" bestFit="1" customWidth="1"/>
    <col min="9461" max="9461" width="11.28515625" bestFit="1" customWidth="1"/>
    <col min="9462" max="9463" width="9.85546875" bestFit="1" customWidth="1"/>
    <col min="9464" max="9464" width="12" bestFit="1" customWidth="1"/>
    <col min="9465" max="9465" width="1.85546875" customWidth="1"/>
    <col min="9467" max="9467" width="3" customWidth="1"/>
    <col min="9704" max="9704" width="18" customWidth="1"/>
    <col min="9705" max="9705" width="7.85546875" customWidth="1"/>
    <col min="9706" max="9706" width="11.28515625" bestFit="1" customWidth="1"/>
    <col min="9707" max="9707" width="10.5703125" bestFit="1" customWidth="1"/>
    <col min="9708" max="9708" width="10.28515625" customWidth="1"/>
    <col min="9709" max="9709" width="12.5703125" bestFit="1" customWidth="1"/>
    <col min="9710" max="9710" width="10.5703125" bestFit="1" customWidth="1"/>
    <col min="9711" max="9711" width="9.85546875" bestFit="1" customWidth="1"/>
    <col min="9712" max="9712" width="13" bestFit="1" customWidth="1"/>
    <col min="9713" max="9713" width="2.140625" customWidth="1"/>
    <col min="9714" max="9714" width="10.5703125" bestFit="1" customWidth="1"/>
    <col min="9715" max="9715" width="7.85546875" bestFit="1" customWidth="1"/>
    <col min="9716" max="9716" width="9.85546875" bestFit="1" customWidth="1"/>
    <col min="9717" max="9717" width="11.28515625" bestFit="1" customWidth="1"/>
    <col min="9718" max="9719" width="9.85546875" bestFit="1" customWidth="1"/>
    <col min="9720" max="9720" width="12" bestFit="1" customWidth="1"/>
    <col min="9721" max="9721" width="1.85546875" customWidth="1"/>
    <col min="9723" max="9723" width="3" customWidth="1"/>
    <col min="9960" max="9960" width="18" customWidth="1"/>
    <col min="9961" max="9961" width="7.85546875" customWidth="1"/>
    <col min="9962" max="9962" width="11.28515625" bestFit="1" customWidth="1"/>
    <col min="9963" max="9963" width="10.5703125" bestFit="1" customWidth="1"/>
    <col min="9964" max="9964" width="10.28515625" customWidth="1"/>
    <col min="9965" max="9965" width="12.5703125" bestFit="1" customWidth="1"/>
    <col min="9966" max="9966" width="10.5703125" bestFit="1" customWidth="1"/>
    <col min="9967" max="9967" width="9.85546875" bestFit="1" customWidth="1"/>
    <col min="9968" max="9968" width="13" bestFit="1" customWidth="1"/>
    <col min="9969" max="9969" width="2.140625" customWidth="1"/>
    <col min="9970" max="9970" width="10.5703125" bestFit="1" customWidth="1"/>
    <col min="9971" max="9971" width="7.85546875" bestFit="1" customWidth="1"/>
    <col min="9972" max="9972" width="9.85546875" bestFit="1" customWidth="1"/>
    <col min="9973" max="9973" width="11.28515625" bestFit="1" customWidth="1"/>
    <col min="9974" max="9975" width="9.85546875" bestFit="1" customWidth="1"/>
    <col min="9976" max="9976" width="12" bestFit="1" customWidth="1"/>
    <col min="9977" max="9977" width="1.85546875" customWidth="1"/>
    <col min="9979" max="9979" width="3" customWidth="1"/>
    <col min="10216" max="10216" width="18" customWidth="1"/>
    <col min="10217" max="10217" width="7.85546875" customWidth="1"/>
    <col min="10218" max="10218" width="11.28515625" bestFit="1" customWidth="1"/>
    <col min="10219" max="10219" width="10.5703125" bestFit="1" customWidth="1"/>
    <col min="10220" max="10220" width="10.28515625" customWidth="1"/>
    <col min="10221" max="10221" width="12.5703125" bestFit="1" customWidth="1"/>
    <col min="10222" max="10222" width="10.5703125" bestFit="1" customWidth="1"/>
    <col min="10223" max="10223" width="9.85546875" bestFit="1" customWidth="1"/>
    <col min="10224" max="10224" width="13" bestFit="1" customWidth="1"/>
    <col min="10225" max="10225" width="2.140625" customWidth="1"/>
    <col min="10226" max="10226" width="10.5703125" bestFit="1" customWidth="1"/>
    <col min="10227" max="10227" width="7.85546875" bestFit="1" customWidth="1"/>
    <col min="10228" max="10228" width="9.85546875" bestFit="1" customWidth="1"/>
    <col min="10229" max="10229" width="11.28515625" bestFit="1" customWidth="1"/>
    <col min="10230" max="10231" width="9.85546875" bestFit="1" customWidth="1"/>
    <col min="10232" max="10232" width="12" bestFit="1" customWidth="1"/>
    <col min="10233" max="10233" width="1.85546875" customWidth="1"/>
    <col min="10235" max="10235" width="3" customWidth="1"/>
    <col min="10472" max="10472" width="18" customWidth="1"/>
    <col min="10473" max="10473" width="7.85546875" customWidth="1"/>
    <col min="10474" max="10474" width="11.28515625" bestFit="1" customWidth="1"/>
    <col min="10475" max="10475" width="10.5703125" bestFit="1" customWidth="1"/>
    <col min="10476" max="10476" width="10.28515625" customWidth="1"/>
    <col min="10477" max="10477" width="12.5703125" bestFit="1" customWidth="1"/>
    <col min="10478" max="10478" width="10.5703125" bestFit="1" customWidth="1"/>
    <col min="10479" max="10479" width="9.85546875" bestFit="1" customWidth="1"/>
    <col min="10480" max="10480" width="13" bestFit="1" customWidth="1"/>
    <col min="10481" max="10481" width="2.140625" customWidth="1"/>
    <col min="10482" max="10482" width="10.5703125" bestFit="1" customWidth="1"/>
    <col min="10483" max="10483" width="7.85546875" bestFit="1" customWidth="1"/>
    <col min="10484" max="10484" width="9.85546875" bestFit="1" customWidth="1"/>
    <col min="10485" max="10485" width="11.28515625" bestFit="1" customWidth="1"/>
    <col min="10486" max="10487" width="9.85546875" bestFit="1" customWidth="1"/>
    <col min="10488" max="10488" width="12" bestFit="1" customWidth="1"/>
    <col min="10489" max="10489" width="1.85546875" customWidth="1"/>
    <col min="10491" max="10491" width="3" customWidth="1"/>
    <col min="10728" max="10728" width="18" customWidth="1"/>
    <col min="10729" max="10729" width="7.85546875" customWidth="1"/>
    <col min="10730" max="10730" width="11.28515625" bestFit="1" customWidth="1"/>
    <col min="10731" max="10731" width="10.5703125" bestFit="1" customWidth="1"/>
    <col min="10732" max="10732" width="10.28515625" customWidth="1"/>
    <col min="10733" max="10733" width="12.5703125" bestFit="1" customWidth="1"/>
    <col min="10734" max="10734" width="10.5703125" bestFit="1" customWidth="1"/>
    <col min="10735" max="10735" width="9.85546875" bestFit="1" customWidth="1"/>
    <col min="10736" max="10736" width="13" bestFit="1" customWidth="1"/>
    <col min="10737" max="10737" width="2.140625" customWidth="1"/>
    <col min="10738" max="10738" width="10.5703125" bestFit="1" customWidth="1"/>
    <col min="10739" max="10739" width="7.85546875" bestFit="1" customWidth="1"/>
    <col min="10740" max="10740" width="9.85546875" bestFit="1" customWidth="1"/>
    <col min="10741" max="10741" width="11.28515625" bestFit="1" customWidth="1"/>
    <col min="10742" max="10743" width="9.85546875" bestFit="1" customWidth="1"/>
    <col min="10744" max="10744" width="12" bestFit="1" customWidth="1"/>
    <col min="10745" max="10745" width="1.85546875" customWidth="1"/>
    <col min="10747" max="10747" width="3" customWidth="1"/>
    <col min="10984" max="10984" width="18" customWidth="1"/>
    <col min="10985" max="10985" width="7.85546875" customWidth="1"/>
    <col min="10986" max="10986" width="11.28515625" bestFit="1" customWidth="1"/>
    <col min="10987" max="10987" width="10.5703125" bestFit="1" customWidth="1"/>
    <col min="10988" max="10988" width="10.28515625" customWidth="1"/>
    <col min="10989" max="10989" width="12.5703125" bestFit="1" customWidth="1"/>
    <col min="10990" max="10990" width="10.5703125" bestFit="1" customWidth="1"/>
    <col min="10991" max="10991" width="9.85546875" bestFit="1" customWidth="1"/>
    <col min="10992" max="10992" width="13" bestFit="1" customWidth="1"/>
    <col min="10993" max="10993" width="2.140625" customWidth="1"/>
    <col min="10994" max="10994" width="10.5703125" bestFit="1" customWidth="1"/>
    <col min="10995" max="10995" width="7.85546875" bestFit="1" customWidth="1"/>
    <col min="10996" max="10996" width="9.85546875" bestFit="1" customWidth="1"/>
    <col min="10997" max="10997" width="11.28515625" bestFit="1" customWidth="1"/>
    <col min="10998" max="10999" width="9.85546875" bestFit="1" customWidth="1"/>
    <col min="11000" max="11000" width="12" bestFit="1" customWidth="1"/>
    <col min="11001" max="11001" width="1.85546875" customWidth="1"/>
    <col min="11003" max="11003" width="3" customWidth="1"/>
    <col min="11240" max="11240" width="18" customWidth="1"/>
    <col min="11241" max="11241" width="7.85546875" customWidth="1"/>
    <col min="11242" max="11242" width="11.28515625" bestFit="1" customWidth="1"/>
    <col min="11243" max="11243" width="10.5703125" bestFit="1" customWidth="1"/>
    <col min="11244" max="11244" width="10.28515625" customWidth="1"/>
    <col min="11245" max="11245" width="12.5703125" bestFit="1" customWidth="1"/>
    <col min="11246" max="11246" width="10.5703125" bestFit="1" customWidth="1"/>
    <col min="11247" max="11247" width="9.85546875" bestFit="1" customWidth="1"/>
    <col min="11248" max="11248" width="13" bestFit="1" customWidth="1"/>
    <col min="11249" max="11249" width="2.140625" customWidth="1"/>
    <col min="11250" max="11250" width="10.5703125" bestFit="1" customWidth="1"/>
    <col min="11251" max="11251" width="7.85546875" bestFit="1" customWidth="1"/>
    <col min="11252" max="11252" width="9.85546875" bestFit="1" customWidth="1"/>
    <col min="11253" max="11253" width="11.28515625" bestFit="1" customWidth="1"/>
    <col min="11254" max="11255" width="9.85546875" bestFit="1" customWidth="1"/>
    <col min="11256" max="11256" width="12" bestFit="1" customWidth="1"/>
    <col min="11257" max="11257" width="1.85546875" customWidth="1"/>
    <col min="11259" max="11259" width="3" customWidth="1"/>
    <col min="11496" max="11496" width="18" customWidth="1"/>
    <col min="11497" max="11497" width="7.85546875" customWidth="1"/>
    <col min="11498" max="11498" width="11.28515625" bestFit="1" customWidth="1"/>
    <col min="11499" max="11499" width="10.5703125" bestFit="1" customWidth="1"/>
    <col min="11500" max="11500" width="10.28515625" customWidth="1"/>
    <col min="11501" max="11501" width="12.5703125" bestFit="1" customWidth="1"/>
    <col min="11502" max="11502" width="10.5703125" bestFit="1" customWidth="1"/>
    <col min="11503" max="11503" width="9.85546875" bestFit="1" customWidth="1"/>
    <col min="11504" max="11504" width="13" bestFit="1" customWidth="1"/>
    <col min="11505" max="11505" width="2.140625" customWidth="1"/>
    <col min="11506" max="11506" width="10.5703125" bestFit="1" customWidth="1"/>
    <col min="11507" max="11507" width="7.85546875" bestFit="1" customWidth="1"/>
    <col min="11508" max="11508" width="9.85546875" bestFit="1" customWidth="1"/>
    <col min="11509" max="11509" width="11.28515625" bestFit="1" customWidth="1"/>
    <col min="11510" max="11511" width="9.85546875" bestFit="1" customWidth="1"/>
    <col min="11512" max="11512" width="12" bestFit="1" customWidth="1"/>
    <col min="11513" max="11513" width="1.85546875" customWidth="1"/>
    <col min="11515" max="11515" width="3" customWidth="1"/>
    <col min="11752" max="11752" width="18" customWidth="1"/>
    <col min="11753" max="11753" width="7.85546875" customWidth="1"/>
    <col min="11754" max="11754" width="11.28515625" bestFit="1" customWidth="1"/>
    <col min="11755" max="11755" width="10.5703125" bestFit="1" customWidth="1"/>
    <col min="11756" max="11756" width="10.28515625" customWidth="1"/>
    <col min="11757" max="11757" width="12.5703125" bestFit="1" customWidth="1"/>
    <col min="11758" max="11758" width="10.5703125" bestFit="1" customWidth="1"/>
    <col min="11759" max="11759" width="9.85546875" bestFit="1" customWidth="1"/>
    <col min="11760" max="11760" width="13" bestFit="1" customWidth="1"/>
    <col min="11761" max="11761" width="2.140625" customWidth="1"/>
    <col min="11762" max="11762" width="10.5703125" bestFit="1" customWidth="1"/>
    <col min="11763" max="11763" width="7.85546875" bestFit="1" customWidth="1"/>
    <col min="11764" max="11764" width="9.85546875" bestFit="1" customWidth="1"/>
    <col min="11765" max="11765" width="11.28515625" bestFit="1" customWidth="1"/>
    <col min="11766" max="11767" width="9.85546875" bestFit="1" customWidth="1"/>
    <col min="11768" max="11768" width="12" bestFit="1" customWidth="1"/>
    <col min="11769" max="11769" width="1.85546875" customWidth="1"/>
    <col min="11771" max="11771" width="3" customWidth="1"/>
    <col min="12008" max="12008" width="18" customWidth="1"/>
    <col min="12009" max="12009" width="7.85546875" customWidth="1"/>
    <col min="12010" max="12010" width="11.28515625" bestFit="1" customWidth="1"/>
    <col min="12011" max="12011" width="10.5703125" bestFit="1" customWidth="1"/>
    <col min="12012" max="12012" width="10.28515625" customWidth="1"/>
    <col min="12013" max="12013" width="12.5703125" bestFit="1" customWidth="1"/>
    <col min="12014" max="12014" width="10.5703125" bestFit="1" customWidth="1"/>
    <col min="12015" max="12015" width="9.85546875" bestFit="1" customWidth="1"/>
    <col min="12016" max="12016" width="13" bestFit="1" customWidth="1"/>
    <col min="12017" max="12017" width="2.140625" customWidth="1"/>
    <col min="12018" max="12018" width="10.5703125" bestFit="1" customWidth="1"/>
    <col min="12019" max="12019" width="7.85546875" bestFit="1" customWidth="1"/>
    <col min="12020" max="12020" width="9.85546875" bestFit="1" customWidth="1"/>
    <col min="12021" max="12021" width="11.28515625" bestFit="1" customWidth="1"/>
    <col min="12022" max="12023" width="9.85546875" bestFit="1" customWidth="1"/>
    <col min="12024" max="12024" width="12" bestFit="1" customWidth="1"/>
    <col min="12025" max="12025" width="1.85546875" customWidth="1"/>
    <col min="12027" max="12027" width="3" customWidth="1"/>
    <col min="12264" max="12264" width="18" customWidth="1"/>
    <col min="12265" max="12265" width="7.85546875" customWidth="1"/>
    <col min="12266" max="12266" width="11.28515625" bestFit="1" customWidth="1"/>
    <col min="12267" max="12267" width="10.5703125" bestFit="1" customWidth="1"/>
    <col min="12268" max="12268" width="10.28515625" customWidth="1"/>
    <col min="12269" max="12269" width="12.5703125" bestFit="1" customWidth="1"/>
    <col min="12270" max="12270" width="10.5703125" bestFit="1" customWidth="1"/>
    <col min="12271" max="12271" width="9.85546875" bestFit="1" customWidth="1"/>
    <col min="12272" max="12272" width="13" bestFit="1" customWidth="1"/>
    <col min="12273" max="12273" width="2.140625" customWidth="1"/>
    <col min="12274" max="12274" width="10.5703125" bestFit="1" customWidth="1"/>
    <col min="12275" max="12275" width="7.85546875" bestFit="1" customWidth="1"/>
    <col min="12276" max="12276" width="9.85546875" bestFit="1" customWidth="1"/>
    <col min="12277" max="12277" width="11.28515625" bestFit="1" customWidth="1"/>
    <col min="12278" max="12279" width="9.85546875" bestFit="1" customWidth="1"/>
    <col min="12280" max="12280" width="12" bestFit="1" customWidth="1"/>
    <col min="12281" max="12281" width="1.85546875" customWidth="1"/>
    <col min="12283" max="12283" width="3" customWidth="1"/>
    <col min="12520" max="12520" width="18" customWidth="1"/>
    <col min="12521" max="12521" width="7.85546875" customWidth="1"/>
    <col min="12522" max="12522" width="11.28515625" bestFit="1" customWidth="1"/>
    <col min="12523" max="12523" width="10.5703125" bestFit="1" customWidth="1"/>
    <col min="12524" max="12524" width="10.28515625" customWidth="1"/>
    <col min="12525" max="12525" width="12.5703125" bestFit="1" customWidth="1"/>
    <col min="12526" max="12526" width="10.5703125" bestFit="1" customWidth="1"/>
    <col min="12527" max="12527" width="9.85546875" bestFit="1" customWidth="1"/>
    <col min="12528" max="12528" width="13" bestFit="1" customWidth="1"/>
    <col min="12529" max="12529" width="2.140625" customWidth="1"/>
    <col min="12530" max="12530" width="10.5703125" bestFit="1" customWidth="1"/>
    <col min="12531" max="12531" width="7.85546875" bestFit="1" customWidth="1"/>
    <col min="12532" max="12532" width="9.85546875" bestFit="1" customWidth="1"/>
    <col min="12533" max="12533" width="11.28515625" bestFit="1" customWidth="1"/>
    <col min="12534" max="12535" width="9.85546875" bestFit="1" customWidth="1"/>
    <col min="12536" max="12536" width="12" bestFit="1" customWidth="1"/>
    <col min="12537" max="12537" width="1.85546875" customWidth="1"/>
    <col min="12539" max="12539" width="3" customWidth="1"/>
    <col min="12776" max="12776" width="18" customWidth="1"/>
    <col min="12777" max="12777" width="7.85546875" customWidth="1"/>
    <col min="12778" max="12778" width="11.28515625" bestFit="1" customWidth="1"/>
    <col min="12779" max="12779" width="10.5703125" bestFit="1" customWidth="1"/>
    <col min="12780" max="12780" width="10.28515625" customWidth="1"/>
    <col min="12781" max="12781" width="12.5703125" bestFit="1" customWidth="1"/>
    <col min="12782" max="12782" width="10.5703125" bestFit="1" customWidth="1"/>
    <col min="12783" max="12783" width="9.85546875" bestFit="1" customWidth="1"/>
    <col min="12784" max="12784" width="13" bestFit="1" customWidth="1"/>
    <col min="12785" max="12785" width="2.140625" customWidth="1"/>
    <col min="12786" max="12786" width="10.5703125" bestFit="1" customWidth="1"/>
    <col min="12787" max="12787" width="7.85546875" bestFit="1" customWidth="1"/>
    <col min="12788" max="12788" width="9.85546875" bestFit="1" customWidth="1"/>
    <col min="12789" max="12789" width="11.28515625" bestFit="1" customWidth="1"/>
    <col min="12790" max="12791" width="9.85546875" bestFit="1" customWidth="1"/>
    <col min="12792" max="12792" width="12" bestFit="1" customWidth="1"/>
    <col min="12793" max="12793" width="1.85546875" customWidth="1"/>
    <col min="12795" max="12795" width="3" customWidth="1"/>
    <col min="13032" max="13032" width="18" customWidth="1"/>
    <col min="13033" max="13033" width="7.85546875" customWidth="1"/>
    <col min="13034" max="13034" width="11.28515625" bestFit="1" customWidth="1"/>
    <col min="13035" max="13035" width="10.5703125" bestFit="1" customWidth="1"/>
    <col min="13036" max="13036" width="10.28515625" customWidth="1"/>
    <col min="13037" max="13037" width="12.5703125" bestFit="1" customWidth="1"/>
    <col min="13038" max="13038" width="10.5703125" bestFit="1" customWidth="1"/>
    <col min="13039" max="13039" width="9.85546875" bestFit="1" customWidth="1"/>
    <col min="13040" max="13040" width="13" bestFit="1" customWidth="1"/>
    <col min="13041" max="13041" width="2.140625" customWidth="1"/>
    <col min="13042" max="13042" width="10.5703125" bestFit="1" customWidth="1"/>
    <col min="13043" max="13043" width="7.85546875" bestFit="1" customWidth="1"/>
    <col min="13044" max="13044" width="9.85546875" bestFit="1" customWidth="1"/>
    <col min="13045" max="13045" width="11.28515625" bestFit="1" customWidth="1"/>
    <col min="13046" max="13047" width="9.85546875" bestFit="1" customWidth="1"/>
    <col min="13048" max="13048" width="12" bestFit="1" customWidth="1"/>
    <col min="13049" max="13049" width="1.85546875" customWidth="1"/>
    <col min="13051" max="13051" width="3" customWidth="1"/>
    <col min="13288" max="13288" width="18" customWidth="1"/>
    <col min="13289" max="13289" width="7.85546875" customWidth="1"/>
    <col min="13290" max="13290" width="11.28515625" bestFit="1" customWidth="1"/>
    <col min="13291" max="13291" width="10.5703125" bestFit="1" customWidth="1"/>
    <col min="13292" max="13292" width="10.28515625" customWidth="1"/>
    <col min="13293" max="13293" width="12.5703125" bestFit="1" customWidth="1"/>
    <col min="13294" max="13294" width="10.5703125" bestFit="1" customWidth="1"/>
    <col min="13295" max="13295" width="9.85546875" bestFit="1" customWidth="1"/>
    <col min="13296" max="13296" width="13" bestFit="1" customWidth="1"/>
    <col min="13297" max="13297" width="2.140625" customWidth="1"/>
    <col min="13298" max="13298" width="10.5703125" bestFit="1" customWidth="1"/>
    <col min="13299" max="13299" width="7.85546875" bestFit="1" customWidth="1"/>
    <col min="13300" max="13300" width="9.85546875" bestFit="1" customWidth="1"/>
    <col min="13301" max="13301" width="11.28515625" bestFit="1" customWidth="1"/>
    <col min="13302" max="13303" width="9.85546875" bestFit="1" customWidth="1"/>
    <col min="13304" max="13304" width="12" bestFit="1" customWidth="1"/>
    <col min="13305" max="13305" width="1.85546875" customWidth="1"/>
    <col min="13307" max="13307" width="3" customWidth="1"/>
    <col min="13544" max="13544" width="18" customWidth="1"/>
    <col min="13545" max="13545" width="7.85546875" customWidth="1"/>
    <col min="13546" max="13546" width="11.28515625" bestFit="1" customWidth="1"/>
    <col min="13547" max="13547" width="10.5703125" bestFit="1" customWidth="1"/>
    <col min="13548" max="13548" width="10.28515625" customWidth="1"/>
    <col min="13549" max="13549" width="12.5703125" bestFit="1" customWidth="1"/>
    <col min="13550" max="13550" width="10.5703125" bestFit="1" customWidth="1"/>
    <col min="13551" max="13551" width="9.85546875" bestFit="1" customWidth="1"/>
    <col min="13552" max="13552" width="13" bestFit="1" customWidth="1"/>
    <col min="13553" max="13553" width="2.140625" customWidth="1"/>
    <col min="13554" max="13554" width="10.5703125" bestFit="1" customWidth="1"/>
    <col min="13555" max="13555" width="7.85546875" bestFit="1" customWidth="1"/>
    <col min="13556" max="13556" width="9.85546875" bestFit="1" customWidth="1"/>
    <col min="13557" max="13557" width="11.28515625" bestFit="1" customWidth="1"/>
    <col min="13558" max="13559" width="9.85546875" bestFit="1" customWidth="1"/>
    <col min="13560" max="13560" width="12" bestFit="1" customWidth="1"/>
    <col min="13561" max="13561" width="1.85546875" customWidth="1"/>
    <col min="13563" max="13563" width="3" customWidth="1"/>
    <col min="13800" max="13800" width="18" customWidth="1"/>
    <col min="13801" max="13801" width="7.85546875" customWidth="1"/>
    <col min="13802" max="13802" width="11.28515625" bestFit="1" customWidth="1"/>
    <col min="13803" max="13803" width="10.5703125" bestFit="1" customWidth="1"/>
    <col min="13804" max="13804" width="10.28515625" customWidth="1"/>
    <col min="13805" max="13805" width="12.5703125" bestFit="1" customWidth="1"/>
    <col min="13806" max="13806" width="10.5703125" bestFit="1" customWidth="1"/>
    <col min="13807" max="13807" width="9.85546875" bestFit="1" customWidth="1"/>
    <col min="13808" max="13808" width="13" bestFit="1" customWidth="1"/>
    <col min="13809" max="13809" width="2.140625" customWidth="1"/>
    <col min="13810" max="13810" width="10.5703125" bestFit="1" customWidth="1"/>
    <col min="13811" max="13811" width="7.85546875" bestFit="1" customWidth="1"/>
    <col min="13812" max="13812" width="9.85546875" bestFit="1" customWidth="1"/>
    <col min="13813" max="13813" width="11.28515625" bestFit="1" customWidth="1"/>
    <col min="13814" max="13815" width="9.85546875" bestFit="1" customWidth="1"/>
    <col min="13816" max="13816" width="12" bestFit="1" customWidth="1"/>
    <col min="13817" max="13817" width="1.85546875" customWidth="1"/>
    <col min="13819" max="13819" width="3" customWidth="1"/>
    <col min="14056" max="14056" width="18" customWidth="1"/>
    <col min="14057" max="14057" width="7.85546875" customWidth="1"/>
    <col min="14058" max="14058" width="11.28515625" bestFit="1" customWidth="1"/>
    <col min="14059" max="14059" width="10.5703125" bestFit="1" customWidth="1"/>
    <col min="14060" max="14060" width="10.28515625" customWidth="1"/>
    <col min="14061" max="14061" width="12.5703125" bestFit="1" customWidth="1"/>
    <col min="14062" max="14062" width="10.5703125" bestFit="1" customWidth="1"/>
    <col min="14063" max="14063" width="9.85546875" bestFit="1" customWidth="1"/>
    <col min="14064" max="14064" width="13" bestFit="1" customWidth="1"/>
    <col min="14065" max="14065" width="2.140625" customWidth="1"/>
    <col min="14066" max="14066" width="10.5703125" bestFit="1" customWidth="1"/>
    <col min="14067" max="14067" width="7.85546875" bestFit="1" customWidth="1"/>
    <col min="14068" max="14068" width="9.85546875" bestFit="1" customWidth="1"/>
    <col min="14069" max="14069" width="11.28515625" bestFit="1" customWidth="1"/>
    <col min="14070" max="14071" width="9.85546875" bestFit="1" customWidth="1"/>
    <col min="14072" max="14072" width="12" bestFit="1" customWidth="1"/>
    <col min="14073" max="14073" width="1.85546875" customWidth="1"/>
    <col min="14075" max="14075" width="3" customWidth="1"/>
    <col min="14312" max="14312" width="18" customWidth="1"/>
    <col min="14313" max="14313" width="7.85546875" customWidth="1"/>
    <col min="14314" max="14314" width="11.28515625" bestFit="1" customWidth="1"/>
    <col min="14315" max="14315" width="10.5703125" bestFit="1" customWidth="1"/>
    <col min="14316" max="14316" width="10.28515625" customWidth="1"/>
    <col min="14317" max="14317" width="12.5703125" bestFit="1" customWidth="1"/>
    <col min="14318" max="14318" width="10.5703125" bestFit="1" customWidth="1"/>
    <col min="14319" max="14319" width="9.85546875" bestFit="1" customWidth="1"/>
    <col min="14320" max="14320" width="13" bestFit="1" customWidth="1"/>
    <col min="14321" max="14321" width="2.140625" customWidth="1"/>
    <col min="14322" max="14322" width="10.5703125" bestFit="1" customWidth="1"/>
    <col min="14323" max="14323" width="7.85546875" bestFit="1" customWidth="1"/>
    <col min="14324" max="14324" width="9.85546875" bestFit="1" customWidth="1"/>
    <col min="14325" max="14325" width="11.28515625" bestFit="1" customWidth="1"/>
    <col min="14326" max="14327" width="9.85546875" bestFit="1" customWidth="1"/>
    <col min="14328" max="14328" width="12" bestFit="1" customWidth="1"/>
    <col min="14329" max="14329" width="1.85546875" customWidth="1"/>
    <col min="14331" max="14331" width="3" customWidth="1"/>
    <col min="14568" max="14568" width="18" customWidth="1"/>
    <col min="14569" max="14569" width="7.85546875" customWidth="1"/>
    <col min="14570" max="14570" width="11.28515625" bestFit="1" customWidth="1"/>
    <col min="14571" max="14571" width="10.5703125" bestFit="1" customWidth="1"/>
    <col min="14572" max="14572" width="10.28515625" customWidth="1"/>
    <col min="14573" max="14573" width="12.5703125" bestFit="1" customWidth="1"/>
    <col min="14574" max="14574" width="10.5703125" bestFit="1" customWidth="1"/>
    <col min="14575" max="14575" width="9.85546875" bestFit="1" customWidth="1"/>
    <col min="14576" max="14576" width="13" bestFit="1" customWidth="1"/>
    <col min="14577" max="14577" width="2.140625" customWidth="1"/>
    <col min="14578" max="14578" width="10.5703125" bestFit="1" customWidth="1"/>
    <col min="14579" max="14579" width="7.85546875" bestFit="1" customWidth="1"/>
    <col min="14580" max="14580" width="9.85546875" bestFit="1" customWidth="1"/>
    <col min="14581" max="14581" width="11.28515625" bestFit="1" customWidth="1"/>
    <col min="14582" max="14583" width="9.85546875" bestFit="1" customWidth="1"/>
    <col min="14584" max="14584" width="12" bestFit="1" customWidth="1"/>
    <col min="14585" max="14585" width="1.85546875" customWidth="1"/>
    <col min="14587" max="14587" width="3" customWidth="1"/>
    <col min="14824" max="14824" width="18" customWidth="1"/>
    <col min="14825" max="14825" width="7.85546875" customWidth="1"/>
    <col min="14826" max="14826" width="11.28515625" bestFit="1" customWidth="1"/>
    <col min="14827" max="14827" width="10.5703125" bestFit="1" customWidth="1"/>
    <col min="14828" max="14828" width="10.28515625" customWidth="1"/>
    <col min="14829" max="14829" width="12.5703125" bestFit="1" customWidth="1"/>
    <col min="14830" max="14830" width="10.5703125" bestFit="1" customWidth="1"/>
    <col min="14831" max="14831" width="9.85546875" bestFit="1" customWidth="1"/>
    <col min="14832" max="14832" width="13" bestFit="1" customWidth="1"/>
    <col min="14833" max="14833" width="2.140625" customWidth="1"/>
    <col min="14834" max="14834" width="10.5703125" bestFit="1" customWidth="1"/>
    <col min="14835" max="14835" width="7.85546875" bestFit="1" customWidth="1"/>
    <col min="14836" max="14836" width="9.85546875" bestFit="1" customWidth="1"/>
    <col min="14837" max="14837" width="11.28515625" bestFit="1" customWidth="1"/>
    <col min="14838" max="14839" width="9.85546875" bestFit="1" customWidth="1"/>
    <col min="14840" max="14840" width="12" bestFit="1" customWidth="1"/>
    <col min="14841" max="14841" width="1.85546875" customWidth="1"/>
    <col min="14843" max="14843" width="3" customWidth="1"/>
    <col min="15080" max="15080" width="18" customWidth="1"/>
    <col min="15081" max="15081" width="7.85546875" customWidth="1"/>
    <col min="15082" max="15082" width="11.28515625" bestFit="1" customWidth="1"/>
    <col min="15083" max="15083" width="10.5703125" bestFit="1" customWidth="1"/>
    <col min="15084" max="15084" width="10.28515625" customWidth="1"/>
    <col min="15085" max="15085" width="12.5703125" bestFit="1" customWidth="1"/>
    <col min="15086" max="15086" width="10.5703125" bestFit="1" customWidth="1"/>
    <col min="15087" max="15087" width="9.85546875" bestFit="1" customWidth="1"/>
    <col min="15088" max="15088" width="13" bestFit="1" customWidth="1"/>
    <col min="15089" max="15089" width="2.140625" customWidth="1"/>
    <col min="15090" max="15090" width="10.5703125" bestFit="1" customWidth="1"/>
    <col min="15091" max="15091" width="7.85546875" bestFit="1" customWidth="1"/>
    <col min="15092" max="15092" width="9.85546875" bestFit="1" customWidth="1"/>
    <col min="15093" max="15093" width="11.28515625" bestFit="1" customWidth="1"/>
    <col min="15094" max="15095" width="9.85546875" bestFit="1" customWidth="1"/>
    <col min="15096" max="15096" width="12" bestFit="1" customWidth="1"/>
    <col min="15097" max="15097" width="1.85546875" customWidth="1"/>
    <col min="15099" max="15099" width="3" customWidth="1"/>
    <col min="15336" max="15336" width="18" customWidth="1"/>
    <col min="15337" max="15337" width="7.85546875" customWidth="1"/>
    <col min="15338" max="15338" width="11.28515625" bestFit="1" customWidth="1"/>
    <col min="15339" max="15339" width="10.5703125" bestFit="1" customWidth="1"/>
    <col min="15340" max="15340" width="10.28515625" customWidth="1"/>
    <col min="15341" max="15341" width="12.5703125" bestFit="1" customWidth="1"/>
    <col min="15342" max="15342" width="10.5703125" bestFit="1" customWidth="1"/>
    <col min="15343" max="15343" width="9.85546875" bestFit="1" customWidth="1"/>
    <col min="15344" max="15344" width="13" bestFit="1" customWidth="1"/>
    <col min="15345" max="15345" width="2.140625" customWidth="1"/>
    <col min="15346" max="15346" width="10.5703125" bestFit="1" customWidth="1"/>
    <col min="15347" max="15347" width="7.85546875" bestFit="1" customWidth="1"/>
    <col min="15348" max="15348" width="9.85546875" bestFit="1" customWidth="1"/>
    <col min="15349" max="15349" width="11.28515625" bestFit="1" customWidth="1"/>
    <col min="15350" max="15351" width="9.85546875" bestFit="1" customWidth="1"/>
    <col min="15352" max="15352" width="12" bestFit="1" customWidth="1"/>
    <col min="15353" max="15353" width="1.85546875" customWidth="1"/>
    <col min="15355" max="15355" width="3" customWidth="1"/>
    <col min="15592" max="15592" width="18" customWidth="1"/>
    <col min="15593" max="15593" width="7.85546875" customWidth="1"/>
    <col min="15594" max="15594" width="11.28515625" bestFit="1" customWidth="1"/>
    <col min="15595" max="15595" width="10.5703125" bestFit="1" customWidth="1"/>
    <col min="15596" max="15596" width="10.28515625" customWidth="1"/>
    <col min="15597" max="15597" width="12.5703125" bestFit="1" customWidth="1"/>
    <col min="15598" max="15598" width="10.5703125" bestFit="1" customWidth="1"/>
    <col min="15599" max="15599" width="9.85546875" bestFit="1" customWidth="1"/>
    <col min="15600" max="15600" width="13" bestFit="1" customWidth="1"/>
    <col min="15601" max="15601" width="2.140625" customWidth="1"/>
    <col min="15602" max="15602" width="10.5703125" bestFit="1" customWidth="1"/>
    <col min="15603" max="15603" width="7.85546875" bestFit="1" customWidth="1"/>
    <col min="15604" max="15604" width="9.85546875" bestFit="1" customWidth="1"/>
    <col min="15605" max="15605" width="11.28515625" bestFit="1" customWidth="1"/>
    <col min="15606" max="15607" width="9.85546875" bestFit="1" customWidth="1"/>
    <col min="15608" max="15608" width="12" bestFit="1" customWidth="1"/>
    <col min="15609" max="15609" width="1.85546875" customWidth="1"/>
    <col min="15611" max="15611" width="3" customWidth="1"/>
    <col min="15848" max="15848" width="18" customWidth="1"/>
    <col min="15849" max="15849" width="7.85546875" customWidth="1"/>
    <col min="15850" max="15850" width="11.28515625" bestFit="1" customWidth="1"/>
    <col min="15851" max="15851" width="10.5703125" bestFit="1" customWidth="1"/>
    <col min="15852" max="15852" width="10.28515625" customWidth="1"/>
    <col min="15853" max="15853" width="12.5703125" bestFit="1" customWidth="1"/>
    <col min="15854" max="15854" width="10.5703125" bestFit="1" customWidth="1"/>
    <col min="15855" max="15855" width="9.85546875" bestFit="1" customWidth="1"/>
    <col min="15856" max="15856" width="13" bestFit="1" customWidth="1"/>
    <col min="15857" max="15857" width="2.140625" customWidth="1"/>
    <col min="15858" max="15858" width="10.5703125" bestFit="1" customWidth="1"/>
    <col min="15859" max="15859" width="7.85546875" bestFit="1" customWidth="1"/>
    <col min="15860" max="15860" width="9.85546875" bestFit="1" customWidth="1"/>
    <col min="15861" max="15861" width="11.28515625" bestFit="1" customWidth="1"/>
    <col min="15862" max="15863" width="9.85546875" bestFit="1" customWidth="1"/>
    <col min="15864" max="15864" width="12" bestFit="1" customWidth="1"/>
    <col min="15865" max="15865" width="1.85546875" customWidth="1"/>
    <col min="15867" max="15867" width="3" customWidth="1"/>
    <col min="16104" max="16104" width="18" customWidth="1"/>
    <col min="16105" max="16105" width="7.85546875" customWidth="1"/>
    <col min="16106" max="16106" width="11.28515625" bestFit="1" customWidth="1"/>
    <col min="16107" max="16107" width="10.5703125" bestFit="1" customWidth="1"/>
    <col min="16108" max="16108" width="10.28515625" customWidth="1"/>
    <col min="16109" max="16109" width="12.5703125" bestFit="1" customWidth="1"/>
    <col min="16110" max="16110" width="10.5703125" bestFit="1" customWidth="1"/>
    <col min="16111" max="16111" width="9.85546875" bestFit="1" customWidth="1"/>
    <col min="16112" max="16112" width="13" bestFit="1" customWidth="1"/>
    <col min="16113" max="16113" width="2.140625" customWidth="1"/>
    <col min="16114" max="16114" width="10.5703125" bestFit="1" customWidth="1"/>
    <col min="16115" max="16115" width="7.85546875" bestFit="1" customWidth="1"/>
    <col min="16116" max="16116" width="9.85546875" bestFit="1" customWidth="1"/>
    <col min="16117" max="16117" width="11.28515625" bestFit="1" customWidth="1"/>
    <col min="16118" max="16119" width="9.85546875" bestFit="1" customWidth="1"/>
    <col min="16120" max="16120" width="12" bestFit="1" customWidth="1"/>
    <col min="16121" max="16121" width="1.85546875" customWidth="1"/>
    <col min="16123" max="16123" width="3" customWidth="1"/>
  </cols>
  <sheetData>
    <row r="1" spans="1:11" ht="26.25" x14ac:dyDescent="0.4">
      <c r="A1" s="7" t="s">
        <v>18</v>
      </c>
    </row>
    <row r="2" spans="1:11" ht="15" x14ac:dyDescent="0.25">
      <c r="A2" s="8" t="s">
        <v>106</v>
      </c>
    </row>
    <row r="6" spans="1:11" ht="15" x14ac:dyDescent="0.2">
      <c r="A6" s="66" t="s">
        <v>19</v>
      </c>
      <c r="B6" s="60"/>
      <c r="C6" s="60"/>
      <c r="D6" s="60"/>
      <c r="E6" s="60"/>
      <c r="F6" s="60"/>
      <c r="G6" s="60"/>
    </row>
    <row r="7" spans="1:11" x14ac:dyDescent="0.2">
      <c r="D7" s="9"/>
      <c r="E7" s="2" t="s">
        <v>21</v>
      </c>
      <c r="F7" s="9"/>
      <c r="H7" s="4"/>
      <c r="I7" s="2" t="s">
        <v>22</v>
      </c>
      <c r="J7" s="4"/>
      <c r="K7" s="2" t="s">
        <v>23</v>
      </c>
    </row>
    <row r="8" spans="1:11" x14ac:dyDescent="0.2">
      <c r="D8" s="2" t="s">
        <v>0</v>
      </c>
      <c r="E8" s="2" t="s">
        <v>25</v>
      </c>
      <c r="F8" s="9"/>
      <c r="G8" s="2" t="s">
        <v>26</v>
      </c>
      <c r="H8" s="11" t="s">
        <v>27</v>
      </c>
      <c r="I8" s="11" t="s">
        <v>28</v>
      </c>
      <c r="J8" s="4"/>
      <c r="K8" s="11" t="s">
        <v>29</v>
      </c>
    </row>
    <row r="9" spans="1:11" x14ac:dyDescent="0.2">
      <c r="C9" s="12" t="s">
        <v>30</v>
      </c>
      <c r="D9" s="10" t="s">
        <v>131</v>
      </c>
      <c r="E9" s="10" t="s">
        <v>31</v>
      </c>
      <c r="F9" s="10" t="s">
        <v>7</v>
      </c>
      <c r="G9" s="10" t="s">
        <v>32</v>
      </c>
      <c r="H9" s="13" t="s">
        <v>32</v>
      </c>
      <c r="I9" s="13" t="s">
        <v>33</v>
      </c>
      <c r="K9" s="13" t="s">
        <v>32</v>
      </c>
    </row>
    <row r="10" spans="1:11" x14ac:dyDescent="0.2">
      <c r="A10" s="14"/>
    </row>
    <row r="11" spans="1:11" x14ac:dyDescent="0.2">
      <c r="A11" s="15" t="s">
        <v>132</v>
      </c>
      <c r="C11" s="16">
        <f>+'Customer Counts'!B9</f>
        <v>47177</v>
      </c>
      <c r="D11" s="17">
        <f>+'Total Company Tonnage'!F10</f>
        <v>802.01</v>
      </c>
      <c r="E11" s="18">
        <f t="shared" ref="E11:E12" si="0">+F11/D11</f>
        <v>15.875740908028735</v>
      </c>
      <c r="F11" s="19">
        <f>+'Reg. Res''l - SS Mix &amp; Prices'!B56</f>
        <v>12732.502965648126</v>
      </c>
      <c r="G11" s="18">
        <f t="shared" ref="G11:G23" si="1">+F11/C11</f>
        <v>0.26988793195091093</v>
      </c>
      <c r="H11" s="18">
        <f>+'Rebate Analysis'!R32</f>
        <v>9.9999999999999978E-2</v>
      </c>
      <c r="I11" s="20">
        <f t="shared" ref="I11:I18" si="2">+H11*C11</f>
        <v>4717.6999999999989</v>
      </c>
      <c r="K11" s="21">
        <f t="shared" ref="K11:K23" si="3">+D11*2000/C11</f>
        <v>34.000042393539225</v>
      </c>
    </row>
    <row r="12" spans="1:11" x14ac:dyDescent="0.2">
      <c r="A12" s="15" t="s">
        <v>35</v>
      </c>
      <c r="C12" s="16">
        <f>+'Customer Counts'!B10</f>
        <v>47224</v>
      </c>
      <c r="D12" s="17">
        <f>+'Total Company Tonnage'!F11</f>
        <v>817.05</v>
      </c>
      <c r="E12" s="18">
        <f t="shared" si="0"/>
        <v>18.867133064470003</v>
      </c>
      <c r="F12" s="19">
        <f>+'Reg. Res''l - SS Mix &amp; Prices'!B57</f>
        <v>15415.391070325215</v>
      </c>
      <c r="G12" s="18">
        <f t="shared" ref="G12" si="4">+F12/C12</f>
        <v>0.3264312864290449</v>
      </c>
      <c r="H12" s="18">
        <f>+H11</f>
        <v>9.9999999999999978E-2</v>
      </c>
      <c r="I12" s="20">
        <f t="shared" ref="I12" si="5">+H12*C12</f>
        <v>4722.3999999999987</v>
      </c>
      <c r="K12" s="21">
        <f t="shared" si="3"/>
        <v>34.60316788073861</v>
      </c>
    </row>
    <row r="13" spans="1:11" x14ac:dyDescent="0.2">
      <c r="A13" s="15" t="s">
        <v>36</v>
      </c>
      <c r="C13" s="16">
        <f>+'Customer Counts'!B11</f>
        <v>47051</v>
      </c>
      <c r="D13" s="17">
        <f>+'Total Company Tonnage'!F12</f>
        <v>739.92</v>
      </c>
      <c r="E13" s="18">
        <f t="shared" ref="E13:E18" si="6">+F13/D13</f>
        <v>20.190893893766201</v>
      </c>
      <c r="F13" s="19">
        <f>+'Reg. Res''l - SS Mix &amp; Prices'!B58</f>
        <v>14939.646209875487</v>
      </c>
      <c r="G13" s="18">
        <f t="shared" si="1"/>
        <v>0.31752026970469249</v>
      </c>
      <c r="H13" s="18">
        <f>+'Rebate Analysis'!L32</f>
        <v>0.13</v>
      </c>
      <c r="I13" s="20">
        <f t="shared" si="2"/>
        <v>6116.63</v>
      </c>
      <c r="K13" s="21">
        <f t="shared" si="3"/>
        <v>31.451828866549064</v>
      </c>
    </row>
    <row r="14" spans="1:11" x14ac:dyDescent="0.2">
      <c r="A14" s="15" t="s">
        <v>37</v>
      </c>
      <c r="C14" s="16">
        <f>+'Customer Counts'!B12</f>
        <v>47186</v>
      </c>
      <c r="D14" s="17">
        <f>+'Total Company Tonnage'!F13</f>
        <v>853.36</v>
      </c>
      <c r="E14" s="18">
        <f t="shared" si="6"/>
        <v>13.650167695003788</v>
      </c>
      <c r="F14" s="19">
        <f>+'Reg. Res''l - SS Mix &amp; Prices'!B59</f>
        <v>11648.507104208433</v>
      </c>
      <c r="G14" s="18">
        <f t="shared" si="1"/>
        <v>0.24686362701242812</v>
      </c>
      <c r="H14" s="18">
        <f>+H13</f>
        <v>0.13</v>
      </c>
      <c r="I14" s="20">
        <f t="shared" si="2"/>
        <v>6134.18</v>
      </c>
      <c r="K14" s="21">
        <f t="shared" si="3"/>
        <v>36.170050438689444</v>
      </c>
    </row>
    <row r="15" spans="1:11" x14ac:dyDescent="0.2">
      <c r="A15" s="15" t="s">
        <v>133</v>
      </c>
      <c r="C15" s="16">
        <f>+'Customer Counts'!B13</f>
        <v>47216</v>
      </c>
      <c r="D15" s="17">
        <f>+'Total Company Tonnage'!F14</f>
        <v>907.77</v>
      </c>
      <c r="E15" s="18">
        <f t="shared" si="6"/>
        <v>15.692250112498979</v>
      </c>
      <c r="F15" s="19">
        <f>+'Reg. Res''l - SS Mix &amp; Prices'!B60</f>
        <v>14244.953884623197</v>
      </c>
      <c r="G15" s="18">
        <f t="shared" si="1"/>
        <v>0.30169760006402907</v>
      </c>
      <c r="H15" s="18">
        <f t="shared" ref="H15:H22" si="7">+H14</f>
        <v>0.13</v>
      </c>
      <c r="I15" s="20">
        <f t="shared" si="2"/>
        <v>6138.08</v>
      </c>
      <c r="K15" s="21">
        <f t="shared" si="3"/>
        <v>38.451796001355476</v>
      </c>
    </row>
    <row r="16" spans="1:11" x14ac:dyDescent="0.2">
      <c r="A16" s="15" t="s">
        <v>38</v>
      </c>
      <c r="C16" s="16">
        <f>+'Customer Counts'!B14</f>
        <v>47188</v>
      </c>
      <c r="D16" s="17">
        <f>+'Total Company Tonnage'!F15</f>
        <v>751.31</v>
      </c>
      <c r="E16" s="18">
        <f t="shared" si="6"/>
        <v>20.401198481456568</v>
      </c>
      <c r="F16" s="19">
        <f>+'Reg. Res''l - SS Mix &amp; Prices'!B61</f>
        <v>15327.624431103133</v>
      </c>
      <c r="G16" s="18">
        <f t="shared" si="1"/>
        <v>0.32482038719808287</v>
      </c>
      <c r="H16" s="18">
        <f t="shared" si="7"/>
        <v>0.13</v>
      </c>
      <c r="I16" s="20">
        <f t="shared" si="2"/>
        <v>6134.4400000000005</v>
      </c>
      <c r="K16" s="21">
        <f t="shared" si="3"/>
        <v>31.843265236924641</v>
      </c>
    </row>
    <row r="17" spans="1:14" x14ac:dyDescent="0.2">
      <c r="A17" s="15" t="s">
        <v>39</v>
      </c>
      <c r="C17" s="16">
        <f>+'Customer Counts'!B15</f>
        <v>47416</v>
      </c>
      <c r="D17" s="17">
        <f>+'Total Company Tonnage'!F16</f>
        <v>794.74</v>
      </c>
      <c r="E17" s="18">
        <f t="shared" si="6"/>
        <v>10.276959269115675</v>
      </c>
      <c r="F17" s="19">
        <f>+'Reg. Res''l - SS Mix &amp; Prices'!B62</f>
        <v>8167.510609536992</v>
      </c>
      <c r="G17" s="18">
        <f t="shared" si="1"/>
        <v>0.1722522062075458</v>
      </c>
      <c r="H17" s="18">
        <f t="shared" si="7"/>
        <v>0.13</v>
      </c>
      <c r="I17" s="20">
        <f t="shared" si="2"/>
        <v>6164.08</v>
      </c>
      <c r="K17" s="21">
        <f t="shared" si="3"/>
        <v>33.522017884258482</v>
      </c>
    </row>
    <row r="18" spans="1:14" x14ac:dyDescent="0.2">
      <c r="A18" s="15" t="s">
        <v>40</v>
      </c>
      <c r="C18" s="16">
        <f>+'Customer Counts'!B16</f>
        <v>47986</v>
      </c>
      <c r="D18" s="17">
        <f>+'Total Company Tonnage'!F17</f>
        <v>923.56</v>
      </c>
      <c r="E18" s="18">
        <f t="shared" si="6"/>
        <v>10.124938869639198</v>
      </c>
      <c r="F18" s="19">
        <f>+'Reg. Res''l - SS Mix &amp; Prices'!B63</f>
        <v>9350.9885424439781</v>
      </c>
      <c r="G18" s="18">
        <f t="shared" si="1"/>
        <v>0.19486909812120157</v>
      </c>
      <c r="H18" s="18">
        <f t="shared" si="7"/>
        <v>0.13</v>
      </c>
      <c r="I18" s="20">
        <f t="shared" si="2"/>
        <v>6238.18</v>
      </c>
      <c r="K18" s="21">
        <f t="shared" si="3"/>
        <v>38.492893760680197</v>
      </c>
    </row>
    <row r="19" spans="1:14" x14ac:dyDescent="0.2">
      <c r="A19" s="15" t="s">
        <v>10</v>
      </c>
      <c r="C19" s="16">
        <f>+'Customer Counts'!B17</f>
        <v>48314</v>
      </c>
      <c r="D19" s="17">
        <f>+'Total Company Tonnage'!F18</f>
        <v>892.77</v>
      </c>
      <c r="E19" s="18">
        <f t="shared" ref="E19:E20" si="8">+F19/D19</f>
        <v>14.423473688973088</v>
      </c>
      <c r="F19" s="19">
        <f>+'Reg. Res''l - SS Mix &amp; Prices'!B64</f>
        <v>12876.844605304503</v>
      </c>
      <c r="G19" s="18">
        <f t="shared" ref="G19:G20" si="9">+F19/C19</f>
        <v>0.26652408422619744</v>
      </c>
      <c r="H19" s="18">
        <f t="shared" si="7"/>
        <v>0.13</v>
      </c>
      <c r="I19" s="20">
        <f t="shared" ref="I19:I20" si="10">+H19*C19</f>
        <v>6280.8200000000006</v>
      </c>
      <c r="K19" s="21">
        <f t="shared" ref="K19:K20" si="11">+D19*2000/C19</f>
        <v>36.956989692428692</v>
      </c>
    </row>
    <row r="20" spans="1:14" x14ac:dyDescent="0.2">
      <c r="A20" s="15" t="s">
        <v>41</v>
      </c>
      <c r="C20" s="16">
        <f>+'Customer Counts'!B18</f>
        <v>48520</v>
      </c>
      <c r="D20" s="17">
        <f>+'Total Company Tonnage'!F19</f>
        <v>858.54</v>
      </c>
      <c r="E20" s="18">
        <f t="shared" si="8"/>
        <v>9.7037380336304615</v>
      </c>
      <c r="F20" s="19">
        <f>+'Reg. Res''l - SS Mix &amp; Prices'!B65</f>
        <v>8331.0472513930963</v>
      </c>
      <c r="G20" s="18">
        <f t="shared" si="9"/>
        <v>0.17170336462063265</v>
      </c>
      <c r="H20" s="18">
        <f t="shared" si="7"/>
        <v>0.13</v>
      </c>
      <c r="I20" s="20">
        <f t="shared" si="10"/>
        <v>6307.6</v>
      </c>
      <c r="K20" s="21">
        <f t="shared" si="11"/>
        <v>35.389117889530091</v>
      </c>
    </row>
    <row r="21" spans="1:14" x14ac:dyDescent="0.2">
      <c r="A21" s="15" t="s">
        <v>42</v>
      </c>
      <c r="C21" s="16">
        <f>+'Customer Counts'!B19</f>
        <v>48666</v>
      </c>
      <c r="D21" s="17">
        <f>+'Total Company Tonnage'!F20</f>
        <v>958.9</v>
      </c>
      <c r="E21" s="18">
        <f t="shared" ref="E21:E22" si="12">+F21/D21</f>
        <v>12.004809313928357</v>
      </c>
      <c r="F21" s="19">
        <f>+'Reg. Res''l - SS Mix &amp; Prices'!B66</f>
        <v>11511.411651125902</v>
      </c>
      <c r="G21" s="18">
        <f t="shared" ref="G21:G22" si="13">+F21/C21</f>
        <v>0.23653909610664328</v>
      </c>
      <c r="H21" s="18">
        <f t="shared" si="7"/>
        <v>0.13</v>
      </c>
      <c r="I21" s="20">
        <f t="shared" ref="I21:I22" si="14">+H21*C21</f>
        <v>6326.58</v>
      </c>
      <c r="K21" s="21">
        <f t="shared" ref="K21:K22" si="15">+D21*2000/C21</f>
        <v>39.407389142317015</v>
      </c>
    </row>
    <row r="22" spans="1:14" ht="15" x14ac:dyDescent="0.35">
      <c r="A22" s="15" t="s">
        <v>43</v>
      </c>
      <c r="C22" s="23">
        <f>+'Customer Counts'!B20</f>
        <v>48696</v>
      </c>
      <c r="D22" s="24">
        <f>+'Total Company Tonnage'!F21</f>
        <v>824.66</v>
      </c>
      <c r="E22" s="25">
        <f t="shared" si="12"/>
        <v>18.131618784379398</v>
      </c>
      <c r="F22" s="26">
        <f>+'Reg. Res''l - SS Mix &amp; Prices'!B67</f>
        <v>14952.420746726315</v>
      </c>
      <c r="G22" s="25">
        <f t="shared" si="13"/>
        <v>0.30705644707422203</v>
      </c>
      <c r="H22" s="25">
        <f t="shared" si="7"/>
        <v>0.13</v>
      </c>
      <c r="I22" s="27">
        <f t="shared" si="14"/>
        <v>6330.4800000000005</v>
      </c>
      <c r="J22" s="29"/>
      <c r="K22" s="28">
        <f t="shared" si="15"/>
        <v>33.869722359126008</v>
      </c>
    </row>
    <row r="23" spans="1:14" ht="15" x14ac:dyDescent="0.35">
      <c r="A23" s="11" t="s">
        <v>44</v>
      </c>
      <c r="C23" s="30">
        <f>SUM(C11:C22)</f>
        <v>572640</v>
      </c>
      <c r="D23" s="31">
        <f>SUM(D11:D22)</f>
        <v>10124.589999999998</v>
      </c>
      <c r="E23" s="32">
        <f>+F23/D23</f>
        <v>14.765916355360009</v>
      </c>
      <c r="F23" s="33">
        <f>SUM(F11:F22)</f>
        <v>149498.84907231436</v>
      </c>
      <c r="G23" s="34">
        <f t="shared" si="1"/>
        <v>0.26106951849733578</v>
      </c>
      <c r="H23" s="34">
        <f>+I23/C23</f>
        <v>0.12505443210393966</v>
      </c>
      <c r="I23" s="33">
        <f>SUM(I11:I22)</f>
        <v>71611.17</v>
      </c>
      <c r="J23" s="35"/>
      <c r="K23" s="36">
        <f t="shared" si="3"/>
        <v>35.361099469125449</v>
      </c>
      <c r="M23" s="222"/>
      <c r="N23" s="17"/>
    </row>
    <row r="24" spans="1:14" x14ac:dyDescent="0.2">
      <c r="E24" s="15"/>
      <c r="F24" s="15"/>
    </row>
    <row r="25" spans="1:14" ht="15" x14ac:dyDescent="0.35">
      <c r="A25" s="6" t="s">
        <v>126</v>
      </c>
      <c r="F25" s="39">
        <f>SUM(F17:F22)</f>
        <v>65190.223406530786</v>
      </c>
    </row>
    <row r="26" spans="1:14" x14ac:dyDescent="0.2">
      <c r="E26" s="15"/>
      <c r="F26" s="15"/>
    </row>
    <row r="27" spans="1:14" x14ac:dyDescent="0.2">
      <c r="E27" s="15"/>
      <c r="F27" s="15"/>
    </row>
    <row r="28" spans="1:14" ht="15" x14ac:dyDescent="0.2">
      <c r="A28" s="66" t="s">
        <v>20</v>
      </c>
      <c r="C28" s="65"/>
      <c r="D28" s="65"/>
      <c r="E28" s="65"/>
      <c r="F28" s="65"/>
      <c r="G28" s="65"/>
    </row>
    <row r="29" spans="1:14" x14ac:dyDescent="0.2">
      <c r="C29" s="10"/>
      <c r="D29" s="10"/>
      <c r="E29" s="2" t="s">
        <v>21</v>
      </c>
      <c r="H29" s="4"/>
      <c r="I29" s="2" t="s">
        <v>22</v>
      </c>
      <c r="K29" s="2" t="s">
        <v>24</v>
      </c>
    </row>
    <row r="30" spans="1:14" x14ac:dyDescent="0.2">
      <c r="C30" s="10"/>
      <c r="D30" s="368" t="s">
        <v>0</v>
      </c>
      <c r="E30" s="2" t="s">
        <v>25</v>
      </c>
      <c r="G30" s="2" t="s">
        <v>26</v>
      </c>
      <c r="H30" s="11" t="s">
        <v>27</v>
      </c>
      <c r="I30" s="11" t="s">
        <v>28</v>
      </c>
      <c r="K30" s="11" t="s">
        <v>29</v>
      </c>
    </row>
    <row r="31" spans="1:14" x14ac:dyDescent="0.2">
      <c r="C31" s="12" t="s">
        <v>30</v>
      </c>
      <c r="D31" s="369" t="s">
        <v>131</v>
      </c>
      <c r="E31" s="10" t="s">
        <v>31</v>
      </c>
      <c r="F31" s="10" t="s">
        <v>7</v>
      </c>
      <c r="G31" s="10" t="s">
        <v>32</v>
      </c>
      <c r="H31" s="13" t="s">
        <v>32</v>
      </c>
      <c r="I31" s="13" t="s">
        <v>33</v>
      </c>
      <c r="K31" s="13" t="s">
        <v>34</v>
      </c>
    </row>
    <row r="32" spans="1:14" x14ac:dyDescent="0.2">
      <c r="A32" s="14"/>
    </row>
    <row r="33" spans="1:14" x14ac:dyDescent="0.2">
      <c r="A33" s="15" t="s">
        <v>132</v>
      </c>
      <c r="C33" s="16">
        <f>+'Customer Counts'!I9</f>
        <v>5946.4931818181785</v>
      </c>
      <c r="D33" s="17">
        <f>+'Total Company Tonnage'!H10</f>
        <v>54.19</v>
      </c>
      <c r="E33" s="18">
        <f>+F33/D33</f>
        <v>15.875740908028735</v>
      </c>
      <c r="F33" s="19">
        <f>+'Reg. MF - SS Mix &amp; Prices'!B56</f>
        <v>860.30639980607714</v>
      </c>
      <c r="G33" s="18">
        <f t="shared" ref="G33:G45" si="16">+F33/C33</f>
        <v>0.14467457936999314</v>
      </c>
      <c r="H33" s="18">
        <f>+'Rebate Analysis'!R66</f>
        <v>0.18999999999999997</v>
      </c>
      <c r="I33" s="20">
        <f>+H33*C33</f>
        <v>1129.8337045454537</v>
      </c>
      <c r="K33" s="21">
        <f t="shared" ref="K33:K45" si="17">+D33*2000/C33</f>
        <v>18.225868034521504</v>
      </c>
    </row>
    <row r="34" spans="1:14" x14ac:dyDescent="0.2">
      <c r="A34" s="15" t="s">
        <v>35</v>
      </c>
      <c r="C34" s="16">
        <f>+'Customer Counts'!I10</f>
        <v>5963.5386363636335</v>
      </c>
      <c r="D34" s="17">
        <f>+'Total Company Tonnage'!H11</f>
        <v>52.47</v>
      </c>
      <c r="E34" s="18">
        <f t="shared" ref="E34:E44" si="18">+F34/D34</f>
        <v>18.86713306447</v>
      </c>
      <c r="F34" s="19">
        <f>+'Reg. MF - SS Mix &amp; Prices'!B57</f>
        <v>989.95847189274082</v>
      </c>
      <c r="G34" s="18">
        <f t="shared" si="16"/>
        <v>0.166001854311182</v>
      </c>
      <c r="H34" s="18">
        <f>+H33</f>
        <v>0.18999999999999997</v>
      </c>
      <c r="I34" s="20">
        <f t="shared" ref="I34:I44" si="19">+H34*C34</f>
        <v>1133.0723409090901</v>
      </c>
      <c r="K34" s="21">
        <f t="shared" si="17"/>
        <v>17.596934705865998</v>
      </c>
    </row>
    <row r="35" spans="1:14" x14ac:dyDescent="0.2">
      <c r="A35" s="15" t="s">
        <v>36</v>
      </c>
      <c r="C35" s="16">
        <f>+'Customer Counts'!I11</f>
        <v>5963.5386363636335</v>
      </c>
      <c r="D35" s="17">
        <f>+'Total Company Tonnage'!H12</f>
        <v>47.61</v>
      </c>
      <c r="E35" s="18">
        <f t="shared" si="18"/>
        <v>20.190893893766209</v>
      </c>
      <c r="F35" s="19">
        <f>+'Reg. MF - SS Mix &amp; Prices'!B58</f>
        <v>961.28845828220915</v>
      </c>
      <c r="G35" s="18">
        <f t="shared" si="16"/>
        <v>0.16119430373446372</v>
      </c>
      <c r="H35" s="22">
        <f>+'Rebate Analysis'!L66</f>
        <v>0.31</v>
      </c>
      <c r="I35" s="20">
        <f t="shared" si="19"/>
        <v>1848.6969772727264</v>
      </c>
      <c r="K35" s="21">
        <f t="shared" si="17"/>
        <v>15.967029947518203</v>
      </c>
    </row>
    <row r="36" spans="1:14" x14ac:dyDescent="0.2">
      <c r="A36" s="15" t="s">
        <v>37</v>
      </c>
      <c r="C36" s="16">
        <f>+'Customer Counts'!I12</f>
        <v>5980.2727272727243</v>
      </c>
      <c r="D36" s="17">
        <f>+'Total Company Tonnage'!H13</f>
        <v>54.97</v>
      </c>
      <c r="E36" s="18">
        <f t="shared" si="18"/>
        <v>13.650167695003789</v>
      </c>
      <c r="F36" s="19">
        <f>+'Reg. MF - SS Mix &amp; Prices'!B59</f>
        <v>750.34971819435827</v>
      </c>
      <c r="G36" s="18">
        <f t="shared" si="16"/>
        <v>0.1254708192107071</v>
      </c>
      <c r="H36" s="18">
        <f>+H35</f>
        <v>0.31</v>
      </c>
      <c r="I36" s="20">
        <f t="shared" si="19"/>
        <v>1853.8845454545444</v>
      </c>
      <c r="K36" s="21">
        <f t="shared" si="17"/>
        <v>18.383776963653233</v>
      </c>
    </row>
    <row r="37" spans="1:14" x14ac:dyDescent="0.2">
      <c r="A37" s="15" t="s">
        <v>133</v>
      </c>
      <c r="C37" s="16">
        <f>+'Customer Counts'!I13</f>
        <v>6182.5704545454519</v>
      </c>
      <c r="D37" s="17">
        <f>+'Total Company Tonnage'!H14</f>
        <v>56.89</v>
      </c>
      <c r="E37" s="18">
        <f t="shared" si="18"/>
        <v>15.692250112498973</v>
      </c>
      <c r="F37" s="19">
        <f>+'Reg. MF - SS Mix &amp; Prices'!B60</f>
        <v>892.73210890006658</v>
      </c>
      <c r="G37" s="18">
        <f t="shared" si="16"/>
        <v>0.14439497543351507</v>
      </c>
      <c r="H37" s="18">
        <f t="shared" ref="H37:H44" si="20">+H36</f>
        <v>0.31</v>
      </c>
      <c r="I37" s="20">
        <f t="shared" si="19"/>
        <v>1916.5968409090901</v>
      </c>
      <c r="K37" s="21">
        <f t="shared" si="17"/>
        <v>18.403348710138591</v>
      </c>
    </row>
    <row r="38" spans="1:14" x14ac:dyDescent="0.2">
      <c r="A38" s="15" t="s">
        <v>38</v>
      </c>
      <c r="C38" s="16">
        <f>+'Customer Counts'!I14</f>
        <v>6192.8909090909056</v>
      </c>
      <c r="D38" s="17">
        <f>+'Total Company Tonnage'!H15</f>
        <v>42.8</v>
      </c>
      <c r="E38" s="18">
        <f t="shared" si="18"/>
        <v>20.401198481456568</v>
      </c>
      <c r="F38" s="19">
        <f>+'Reg. MF - SS Mix &amp; Prices'!B61</f>
        <v>873.1712950063411</v>
      </c>
      <c r="G38" s="18">
        <f t="shared" si="16"/>
        <v>0.14099574945274138</v>
      </c>
      <c r="H38" s="18">
        <f t="shared" si="20"/>
        <v>0.31</v>
      </c>
      <c r="I38" s="20">
        <f t="shared" si="19"/>
        <v>1919.7961818181807</v>
      </c>
      <c r="K38" s="21">
        <f t="shared" si="17"/>
        <v>13.822300643846765</v>
      </c>
    </row>
    <row r="39" spans="1:14" x14ac:dyDescent="0.2">
      <c r="A39" s="15" t="s">
        <v>39</v>
      </c>
      <c r="C39" s="16">
        <f>+'Customer Counts'!I15</f>
        <v>6102.8909090909056</v>
      </c>
      <c r="D39" s="17">
        <f>+'Total Company Tonnage'!H16</f>
        <v>49.69</v>
      </c>
      <c r="E39" s="18">
        <f t="shared" si="18"/>
        <v>10.276959269115679</v>
      </c>
      <c r="F39" s="19">
        <f>+'Reg. MF - SS Mix &amp; Prices'!B62</f>
        <v>510.66210608235804</v>
      </c>
      <c r="G39" s="18">
        <f t="shared" si="16"/>
        <v>8.3675443931280583E-2</v>
      </c>
      <c r="H39" s="18">
        <f t="shared" si="20"/>
        <v>0.31</v>
      </c>
      <c r="I39" s="20">
        <f t="shared" si="19"/>
        <v>1891.8961818181808</v>
      </c>
      <c r="K39" s="21">
        <f t="shared" si="17"/>
        <v>16.284085932449312</v>
      </c>
    </row>
    <row r="40" spans="1:14" x14ac:dyDescent="0.2">
      <c r="A40" s="15" t="s">
        <v>40</v>
      </c>
      <c r="C40" s="16">
        <f>+'Customer Counts'!I16</f>
        <v>6023.8045454545418</v>
      </c>
      <c r="D40" s="17">
        <f>+'Total Company Tonnage'!H17</f>
        <v>49.96</v>
      </c>
      <c r="E40" s="18">
        <f t="shared" si="18"/>
        <v>10.124938869639198</v>
      </c>
      <c r="F40" s="19">
        <f>+'Reg. MF - SS Mix &amp; Prices'!B63</f>
        <v>505.84194592717438</v>
      </c>
      <c r="G40" s="18">
        <f t="shared" si="16"/>
        <v>8.3973831174332159E-2</v>
      </c>
      <c r="H40" s="18">
        <f t="shared" si="20"/>
        <v>0.31</v>
      </c>
      <c r="I40" s="20">
        <f t="shared" si="19"/>
        <v>1867.379409090908</v>
      </c>
      <c r="K40" s="21">
        <f t="shared" si="17"/>
        <v>16.587523590120117</v>
      </c>
    </row>
    <row r="41" spans="1:14" x14ac:dyDescent="0.2">
      <c r="A41" s="15" t="s">
        <v>10</v>
      </c>
      <c r="C41" s="16">
        <f>+'Customer Counts'!I17</f>
        <v>6075.1295454545425</v>
      </c>
      <c r="D41" s="17">
        <f>+'Total Company Tonnage'!H18</f>
        <v>51.22</v>
      </c>
      <c r="E41" s="18">
        <f>+E19</f>
        <v>14.423473688973088</v>
      </c>
      <c r="F41" s="19">
        <f>+'Reg. MF - SS Mix &amp; Prices'!B64</f>
        <v>738.77032234920171</v>
      </c>
      <c r="G41" s="18">
        <f t="shared" si="16"/>
        <v>0.12160569035140249</v>
      </c>
      <c r="H41" s="18">
        <f t="shared" si="20"/>
        <v>0.31</v>
      </c>
      <c r="I41" s="20">
        <f t="shared" si="19"/>
        <v>1883.2901590909082</v>
      </c>
      <c r="K41" s="21">
        <f t="shared" si="17"/>
        <v>16.862191864969592</v>
      </c>
    </row>
    <row r="42" spans="1:14" x14ac:dyDescent="0.2">
      <c r="A42" s="15" t="s">
        <v>41</v>
      </c>
      <c r="C42" s="16">
        <f>+'Customer Counts'!I18</f>
        <v>6075.5840909090875</v>
      </c>
      <c r="D42" s="17">
        <f>+'Total Company Tonnage'!H19</f>
        <v>52.82</v>
      </c>
      <c r="E42" s="18">
        <f>+E20</f>
        <v>9.7037380336304615</v>
      </c>
      <c r="F42" s="19">
        <f>+'Reg. MF - SS Mix &amp; Prices'!B65</f>
        <v>512.5514429363609</v>
      </c>
      <c r="G42" s="18">
        <f t="shared" si="16"/>
        <v>8.436249671917026E-2</v>
      </c>
      <c r="H42" s="18">
        <f t="shared" si="20"/>
        <v>0.31</v>
      </c>
      <c r="I42" s="20">
        <f t="shared" si="19"/>
        <v>1883.4310681818172</v>
      </c>
      <c r="K42" s="21">
        <f t="shared" si="17"/>
        <v>17.387628649246977</v>
      </c>
    </row>
    <row r="43" spans="1:14" x14ac:dyDescent="0.2">
      <c r="A43" s="15" t="s">
        <v>42</v>
      </c>
      <c r="C43" s="16">
        <f>+'Customer Counts'!I19</f>
        <v>6099.3454545454515</v>
      </c>
      <c r="D43" s="17">
        <f>+'Total Company Tonnage'!H20</f>
        <v>58</v>
      </c>
      <c r="E43" s="18">
        <f>+E21</f>
        <v>12.004809313928357</v>
      </c>
      <c r="F43" s="19">
        <f>+'Reg. MF - SS Mix &amp; Prices'!B66</f>
        <v>696.27894020784481</v>
      </c>
      <c r="G43" s="18">
        <f t="shared" si="16"/>
        <v>0.11415633782293028</v>
      </c>
      <c r="H43" s="18">
        <f t="shared" si="20"/>
        <v>0.31</v>
      </c>
      <c r="I43" s="20">
        <f t="shared" si="19"/>
        <v>1890.79709090909</v>
      </c>
      <c r="K43" s="21">
        <f t="shared" si="17"/>
        <v>19.018434168793085</v>
      </c>
    </row>
    <row r="44" spans="1:14" ht="15" x14ac:dyDescent="0.35">
      <c r="A44" s="15" t="s">
        <v>43</v>
      </c>
      <c r="C44" s="23">
        <f>+'Customer Counts'!I20</f>
        <v>6114.8340909090884</v>
      </c>
      <c r="D44" s="24">
        <f>+'Total Company Tonnage'!H21</f>
        <v>48.24</v>
      </c>
      <c r="E44" s="25">
        <f t="shared" si="18"/>
        <v>18.131618784379402</v>
      </c>
      <c r="F44" s="26">
        <f>+'Reg. MF - SS Mix &amp; Prices'!B67</f>
        <v>874.66929015846245</v>
      </c>
      <c r="G44" s="25">
        <f t="shared" si="16"/>
        <v>0.14304055958915246</v>
      </c>
      <c r="H44" s="25">
        <f t="shared" si="20"/>
        <v>0.31</v>
      </c>
      <c r="I44" s="27">
        <f t="shared" si="19"/>
        <v>1895.5985681818174</v>
      </c>
      <c r="K44" s="28">
        <f t="shared" si="17"/>
        <v>15.778024156605756</v>
      </c>
      <c r="L44" s="29"/>
    </row>
    <row r="45" spans="1:14" ht="15" x14ac:dyDescent="0.35">
      <c r="A45" s="11" t="s">
        <v>44</v>
      </c>
      <c r="C45" s="30">
        <f>SUM(C33:C44)</f>
        <v>72720.893181818145</v>
      </c>
      <c r="D45" s="31">
        <f>SUM(D33:D44)</f>
        <v>618.86</v>
      </c>
      <c r="E45" s="32">
        <f>AVERAGE(E33:E44)</f>
        <v>14.945243509574205</v>
      </c>
      <c r="F45" s="33">
        <f>SUM(F33:F44)</f>
        <v>9166.5804997431969</v>
      </c>
      <c r="G45" s="34">
        <f t="shared" si="16"/>
        <v>0.12605153895490173</v>
      </c>
      <c r="H45" s="34">
        <f>+I45/C45</f>
        <v>0.29034672353915547</v>
      </c>
      <c r="I45" s="33">
        <f>SUM(I33:I44)</f>
        <v>21114.27306818181</v>
      </c>
      <c r="K45" s="36">
        <f t="shared" si="17"/>
        <v>17.020142985667533</v>
      </c>
      <c r="L45" s="37"/>
      <c r="N45" s="17"/>
    </row>
    <row r="46" spans="1:14" x14ac:dyDescent="0.2">
      <c r="A46" s="15"/>
    </row>
    <row r="47" spans="1:14" ht="15" x14ac:dyDescent="0.35">
      <c r="A47" s="6" t="s">
        <v>126</v>
      </c>
      <c r="B47" s="15"/>
      <c r="F47" s="272">
        <f>SUM(F39:F44)</f>
        <v>3838.7740476614022</v>
      </c>
    </row>
  </sheetData>
  <pageMargins left="0.45" right="0.45" top="0.5" bottom="0.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86"/>
  <sheetViews>
    <sheetView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D10" sqref="D10"/>
    </sheetView>
  </sheetViews>
  <sheetFormatPr defaultRowHeight="12.75" x14ac:dyDescent="0.2"/>
  <cols>
    <col min="2" max="2" width="11.28515625" bestFit="1" customWidth="1"/>
    <col min="3" max="3" width="11.140625" customWidth="1"/>
    <col min="4" max="5" width="9.7109375" bestFit="1" customWidth="1"/>
    <col min="6" max="6" width="10.28515625" bestFit="1" customWidth="1"/>
    <col min="7" max="7" width="10.7109375" bestFit="1" customWidth="1"/>
    <col min="8" max="10" width="10.28515625" bestFit="1" customWidth="1"/>
    <col min="11" max="11" width="8.7109375" bestFit="1" customWidth="1"/>
    <col min="12" max="12" width="10.28515625" bestFit="1" customWidth="1"/>
  </cols>
  <sheetData>
    <row r="1" spans="1:26" ht="26.25" x14ac:dyDescent="0.4">
      <c r="A1" s="7" t="s">
        <v>18</v>
      </c>
    </row>
    <row r="2" spans="1:26" ht="18" x14ac:dyDescent="0.25">
      <c r="A2" s="5" t="s">
        <v>89</v>
      </c>
    </row>
    <row r="3" spans="1:26" x14ac:dyDescent="0.2">
      <c r="A3" s="6" t="s">
        <v>88</v>
      </c>
    </row>
    <row r="4" spans="1:26" x14ac:dyDescent="0.2"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26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26" x14ac:dyDescent="0.2">
      <c r="C6" s="2"/>
      <c r="D6" s="41" t="s">
        <v>46</v>
      </c>
      <c r="E6" s="41"/>
      <c r="F6" s="41" t="s">
        <v>1</v>
      </c>
      <c r="G6" s="41" t="s">
        <v>47</v>
      </c>
      <c r="H6" s="41"/>
      <c r="I6" s="41"/>
      <c r="J6" s="41" t="s">
        <v>2</v>
      </c>
      <c r="K6" s="41" t="s">
        <v>2</v>
      </c>
      <c r="L6" s="41" t="s">
        <v>48</v>
      </c>
    </row>
    <row r="7" spans="1:26" x14ac:dyDescent="0.2">
      <c r="B7" s="10" t="s">
        <v>22</v>
      </c>
      <c r="C7" s="10" t="s">
        <v>93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4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87</v>
      </c>
    </row>
    <row r="8" spans="1:26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26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26" s="4" customFormat="1" x14ac:dyDescent="0.2">
      <c r="A10" s="4" t="s">
        <v>58</v>
      </c>
      <c r="B10" s="63">
        <f t="shared" ref="B10:B21" si="0">SUM(C10:M10)</f>
        <v>1</v>
      </c>
      <c r="C10" s="70">
        <f>+'Total Company Tonnage'!J10</f>
        <v>0</v>
      </c>
      <c r="D10" s="70">
        <f>+'Total Company Tonnage'!K10</f>
        <v>0.33210744484292809</v>
      </c>
      <c r="E10" s="70">
        <f>+'Total Company Tonnage'!L10</f>
        <v>0.23644861909304252</v>
      </c>
      <c r="F10" s="70">
        <f>+'Total Company Tonnage'!M10</f>
        <v>7.5788121626192964E-3</v>
      </c>
      <c r="G10" s="70">
        <f>+'Total Company Tonnage'!O10</f>
        <v>8.1991406763612905E-3</v>
      </c>
      <c r="H10" s="70">
        <f>+'Total Company Tonnage'!N10</f>
        <v>0.22234699600955293</v>
      </c>
      <c r="I10" s="70">
        <f>+'Total Company Tonnage'!P10</f>
        <v>7.8243060451498106E-3</v>
      </c>
      <c r="J10" s="70">
        <f>+'Total Company Tonnage'!Q10</f>
        <v>3.1134300770656511E-3</v>
      </c>
      <c r="K10" s="70">
        <f>+'Total Company Tonnage'!R10</f>
        <v>3.3465316689042634E-3</v>
      </c>
      <c r="L10" s="70">
        <f>+'Total Company Tonnage'!S10</f>
        <v>3.6821040784201999E-3</v>
      </c>
      <c r="M10" s="70">
        <f t="shared" ref="M10:M21" si="1">1-SUM(C10:L10)</f>
        <v>0.17535261534595592</v>
      </c>
    </row>
    <row r="11" spans="1:26" s="4" customFormat="1" x14ac:dyDescent="0.2">
      <c r="A11" s="4" t="s">
        <v>35</v>
      </c>
      <c r="B11" s="63">
        <f t="shared" si="0"/>
        <v>1</v>
      </c>
      <c r="C11" s="70">
        <f>+'Total Company Tonnage'!J11</f>
        <v>0</v>
      </c>
      <c r="D11" s="70">
        <f>+'Total Company Tonnage'!K11</f>
        <v>0.30872960409494554</v>
      </c>
      <c r="E11" s="70">
        <f>+'Total Company Tonnage'!L11</f>
        <v>0.2669492234757726</v>
      </c>
      <c r="F11" s="70">
        <f>+'Total Company Tonnage'!M11</f>
        <v>7.804430674405032E-3</v>
      </c>
      <c r="G11" s="70">
        <f>+'Total Company Tonnage'!O11</f>
        <v>1.0687020161069373E-2</v>
      </c>
      <c r="H11" s="70">
        <f>+'Total Company Tonnage'!N11</f>
        <v>0.22715955779516506</v>
      </c>
      <c r="I11" s="70">
        <f>+'Total Company Tonnage'!P11</f>
        <v>5.2497654280706102E-3</v>
      </c>
      <c r="J11" s="70">
        <f>+'Total Company Tonnage'!Q11</f>
        <v>3.6933257247186236E-3</v>
      </c>
      <c r="K11" s="70">
        <f>+'Total Company Tonnage'!R11</f>
        <v>3.7445714499941187E-3</v>
      </c>
      <c r="L11" s="70">
        <f>+'Total Company Tonnage'!S11</f>
        <v>2.7505360170524281E-3</v>
      </c>
      <c r="M11" s="70">
        <f t="shared" si="1"/>
        <v>0.16323196517880667</v>
      </c>
      <c r="Q11" s="70"/>
      <c r="R11" s="61"/>
      <c r="S11" s="62"/>
      <c r="T11" s="62"/>
      <c r="U11" s="62"/>
      <c r="V11" s="62"/>
      <c r="W11" s="62"/>
      <c r="X11" s="62"/>
      <c r="Y11" s="62"/>
      <c r="Z11" s="62"/>
    </row>
    <row r="12" spans="1:26" s="4" customFormat="1" x14ac:dyDescent="0.2">
      <c r="A12" s="4" t="s">
        <v>36</v>
      </c>
      <c r="B12" s="63">
        <f t="shared" si="0"/>
        <v>1</v>
      </c>
      <c r="C12" s="70">
        <f>+'Total Company Tonnage'!J12</f>
        <v>0</v>
      </c>
      <c r="D12" s="70">
        <f>+'Total Company Tonnage'!K12</f>
        <v>0.35549842167274731</v>
      </c>
      <c r="E12" s="70">
        <f>+'Total Company Tonnage'!L12</f>
        <v>0.25670093848202374</v>
      </c>
      <c r="F12" s="70">
        <f>+'Total Company Tonnage'!M12</f>
        <v>1.1865578135265864E-2</v>
      </c>
      <c r="G12" s="70">
        <f>+'Total Company Tonnage'!O12</f>
        <v>7.1222620684243893E-3</v>
      </c>
      <c r="H12" s="70">
        <f>+'Total Company Tonnage'!N12</f>
        <v>0.17046225865716313</v>
      </c>
      <c r="I12" s="70">
        <f>+'Total Company Tonnage'!P12</f>
        <v>8.0366515091929384E-3</v>
      </c>
      <c r="J12" s="70">
        <f>+'Total Company Tonnage'!Q12</f>
        <v>2.6353426422411302E-3</v>
      </c>
      <c r="K12" s="70">
        <f>+'Total Company Tonnage'!R12</f>
        <v>4.7239701733053155E-3</v>
      </c>
      <c r="L12" s="70">
        <f>+'Total Company Tonnage'!S12</f>
        <v>2.8336807193065573E-3</v>
      </c>
      <c r="M12" s="70">
        <f t="shared" si="1"/>
        <v>0.18012089594032965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s="4" customFormat="1" x14ac:dyDescent="0.2">
      <c r="A13" s="4" t="s">
        <v>37</v>
      </c>
      <c r="B13" s="63">
        <f t="shared" si="0"/>
        <v>1</v>
      </c>
      <c r="C13" s="70">
        <f>+'Total Company Tonnage'!J13</f>
        <v>0</v>
      </c>
      <c r="D13" s="70">
        <f>+'Total Company Tonnage'!K13</f>
        <v>0.38563459339255646</v>
      </c>
      <c r="E13" s="70">
        <f>+'Total Company Tonnage'!L13</f>
        <v>0.23374350411983905</v>
      </c>
      <c r="F13" s="70">
        <f>+'Total Company Tonnage'!M13</f>
        <v>6.2869961001905637E-3</v>
      </c>
      <c r="G13" s="70">
        <f>+'Total Company Tonnage'!O13</f>
        <v>1.023076652999097E-2</v>
      </c>
      <c r="H13" s="70">
        <f>+'Total Company Tonnage'!N13</f>
        <v>0.19376044497853739</v>
      </c>
      <c r="I13" s="70">
        <f>+'Total Company Tonnage'!P13</f>
        <v>2.6596826883564873E-3</v>
      </c>
      <c r="J13" s="70">
        <f>+'Total Company Tonnage'!Q13</f>
        <v>2.6712625686327244E-3</v>
      </c>
      <c r="K13" s="70">
        <f>+'Total Company Tonnage'!R13</f>
        <v>9.9527739475783572E-4</v>
      </c>
      <c r="L13" s="70">
        <f>+'Total Company Tonnage'!S13</f>
        <v>2.2893391561799197E-3</v>
      </c>
      <c r="M13" s="70">
        <f t="shared" si="1"/>
        <v>0.16172813307095868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x14ac:dyDescent="0.2">
      <c r="A14" s="4" t="s">
        <v>45</v>
      </c>
      <c r="B14" s="63">
        <f t="shared" si="0"/>
        <v>1</v>
      </c>
      <c r="C14" s="70">
        <f>+'Total Company Tonnage'!J14</f>
        <v>0</v>
      </c>
      <c r="D14" s="70">
        <f>+'Total Company Tonnage'!K14</f>
        <v>0.3672588509370322</v>
      </c>
      <c r="E14" s="70">
        <f>+'Total Company Tonnage'!L14</f>
        <v>0.20879074264798983</v>
      </c>
      <c r="F14" s="70">
        <f>+'Total Company Tonnage'!M14</f>
        <v>6.8293317411207413E-3</v>
      </c>
      <c r="G14" s="70">
        <f>+'Total Company Tonnage'!O14</f>
        <v>1.0535391831773508E-2</v>
      </c>
      <c r="H14" s="70">
        <f>+'Total Company Tonnage'!N14</f>
        <v>0.21018061208036745</v>
      </c>
      <c r="I14" s="70">
        <f>+'Total Company Tonnage'!P14</f>
        <v>3.706034530904785E-3</v>
      </c>
      <c r="J14" s="70">
        <f>+'Total Company Tonnage'!Q14</f>
        <v>4.8438260858255323E-3</v>
      </c>
      <c r="K14" s="70">
        <f>+'Total Company Tonnage'!R14</f>
        <v>2.522691495709232E-3</v>
      </c>
      <c r="L14" s="70">
        <f>+'Total Company Tonnage'!S14</f>
        <v>2.0478258337603083E-3</v>
      </c>
      <c r="M14" s="70">
        <f t="shared" si="1"/>
        <v>0.18328469281551629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x14ac:dyDescent="0.2">
      <c r="A15" s="4" t="s">
        <v>38</v>
      </c>
      <c r="B15" s="63">
        <f t="shared" si="0"/>
        <v>1</v>
      </c>
      <c r="C15" s="70">
        <f>+'Total Company Tonnage'!J15</f>
        <v>0</v>
      </c>
      <c r="D15" s="70">
        <f>+'Total Company Tonnage'!K15</f>
        <v>0.3831179895691525</v>
      </c>
      <c r="E15" s="70">
        <f>+'Total Company Tonnage'!L15</f>
        <v>0.2153264995731361</v>
      </c>
      <c r="F15" s="70">
        <f>+'Total Company Tonnage'!M15</f>
        <v>7.7608911292477755E-3</v>
      </c>
      <c r="G15" s="70">
        <f>+'Total Company Tonnage'!O15</f>
        <v>1.0375394043780543E-2</v>
      </c>
      <c r="H15" s="70">
        <f>+'Total Company Tonnage'!N15</f>
        <v>0.18167424190829531</v>
      </c>
      <c r="I15" s="70">
        <f>+'Total Company Tonnage'!P15</f>
        <v>7.8376464008800221E-3</v>
      </c>
      <c r="J15" s="70">
        <f>+'Total Company Tonnage'!Q15</f>
        <v>3.312558721949856E-3</v>
      </c>
      <c r="K15" s="70">
        <f>+'Total Company Tonnage'!R15</f>
        <v>3.8515581327488221E-3</v>
      </c>
      <c r="L15" s="70">
        <f>+'Total Company Tonnage'!S15</f>
        <v>2.4021476196405085E-3</v>
      </c>
      <c r="M15" s="70">
        <f t="shared" si="1"/>
        <v>0.18434107290116841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" t="s">
        <v>39</v>
      </c>
      <c r="B16" s="63">
        <f t="shared" si="0"/>
        <v>1</v>
      </c>
      <c r="C16" s="70">
        <f>+'Total Company Tonnage'!J16</f>
        <v>0</v>
      </c>
      <c r="D16" s="70">
        <f>+'Total Company Tonnage'!K16</f>
        <v>0.43620922917573007</v>
      </c>
      <c r="E16" s="70">
        <f>+'Total Company Tonnage'!L16</f>
        <v>0.17379993964353349</v>
      </c>
      <c r="F16" s="70">
        <f>+'Total Company Tonnage'!M16</f>
        <v>9.5599211250711105E-3</v>
      </c>
      <c r="G16" s="70">
        <f>+'Total Company Tonnage'!O16</f>
        <v>1.0156208293408757E-2</v>
      </c>
      <c r="H16" s="70">
        <f>+'Total Company Tonnage'!N16</f>
        <v>0.17032143311283462</v>
      </c>
      <c r="I16" s="70">
        <f>+'Total Company Tonnage'!P16</f>
        <v>7.0040143013963586E-3</v>
      </c>
      <c r="J16" s="70">
        <f>+'Total Company Tonnage'!Q16</f>
        <v>3.5105159823092384E-3</v>
      </c>
      <c r="K16" s="70">
        <f>+'Total Company Tonnage'!R16</f>
        <v>3.6433122480877536E-3</v>
      </c>
      <c r="L16" s="70">
        <f>+'Total Company Tonnage'!S16</f>
        <v>3.3047941215901783E-3</v>
      </c>
      <c r="M16" s="70">
        <f t="shared" si="1"/>
        <v>0.18249063199603832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x14ac:dyDescent="0.2">
      <c r="A17" s="4" t="s">
        <v>40</v>
      </c>
      <c r="B17" s="63">
        <f t="shared" si="0"/>
        <v>1</v>
      </c>
      <c r="C17" s="70">
        <f>+'Total Company Tonnage'!J17</f>
        <v>0</v>
      </c>
      <c r="D17" s="70">
        <f>+'Total Company Tonnage'!K17</f>
        <v>0.41806893775614512</v>
      </c>
      <c r="E17" s="70">
        <f>+'Total Company Tonnage'!L17</f>
        <v>0.14513717007811683</v>
      </c>
      <c r="F17" s="70">
        <f>+'Total Company Tonnage'!M17</f>
        <v>1.2733952317228955E-2</v>
      </c>
      <c r="G17" s="70">
        <f>+'Total Company Tonnage'!O17</f>
        <v>1.3073782294534285E-2</v>
      </c>
      <c r="H17" s="70">
        <f>+'Total Company Tonnage'!N17</f>
        <v>0.1986752530463331</v>
      </c>
      <c r="I17" s="70">
        <f>+'Total Company Tonnage'!P17</f>
        <v>8.8984311977598832E-3</v>
      </c>
      <c r="J17" s="70">
        <f>+'Total Company Tonnage'!Q17</f>
        <v>2.8279988600337755E-3</v>
      </c>
      <c r="K17" s="70">
        <f>+'Total Company Tonnage'!R17</f>
        <v>3.7940220297105966E-3</v>
      </c>
      <c r="L17" s="70">
        <f>+'Total Company Tonnage'!S17</f>
        <v>2.9376517925206384E-3</v>
      </c>
      <c r="M17" s="70">
        <f t="shared" si="1"/>
        <v>0.19385280062761678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" t="s">
        <v>10</v>
      </c>
      <c r="B18" s="63">
        <f t="shared" si="0"/>
        <v>1</v>
      </c>
      <c r="C18" s="70">
        <f>+'Total Company Tonnage'!J18</f>
        <v>0</v>
      </c>
      <c r="D18" s="70">
        <f>+'Total Company Tonnage'!K18</f>
        <v>0.39530224015660886</v>
      </c>
      <c r="E18" s="70">
        <f>+'Total Company Tonnage'!L18</f>
        <v>0.15117193307308066</v>
      </c>
      <c r="F18" s="70">
        <f>+'Total Company Tonnage'!M18</f>
        <v>1.2733758205808224E-2</v>
      </c>
      <c r="G18" s="70">
        <f>+'Total Company Tonnage'!O18</f>
        <v>1.2024105556321539E-2</v>
      </c>
      <c r="H18" s="70">
        <f>+'Total Company Tonnage'!N18</f>
        <v>0.22375643910515883</v>
      </c>
      <c r="I18" s="70">
        <f>+'Total Company Tonnage'!P18</f>
        <v>3.2783031940401379E-3</v>
      </c>
      <c r="J18" s="70">
        <f>+'Total Company Tonnage'!Q18</f>
        <v>2.9274444543107305E-3</v>
      </c>
      <c r="K18" s="70">
        <f>+'Total Company Tonnage'!R18</f>
        <v>4.2052719404597413E-3</v>
      </c>
      <c r="L18" s="70">
        <f>+'Total Company Tonnage'!S18</f>
        <v>3.6183529114725155E-3</v>
      </c>
      <c r="M18" s="70">
        <f t="shared" si="1"/>
        <v>0.19098215140273889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x14ac:dyDescent="0.2">
      <c r="A19" s="4" t="s">
        <v>41</v>
      </c>
      <c r="B19" s="63">
        <f t="shared" si="0"/>
        <v>1</v>
      </c>
      <c r="C19" s="70">
        <f>+'Total Company Tonnage'!J19</f>
        <v>0</v>
      </c>
      <c r="D19" s="70">
        <f>+'Total Company Tonnage'!K19</f>
        <v>0.35664075714142701</v>
      </c>
      <c r="E19" s="70">
        <f>+'Total Company Tonnage'!L19</f>
        <v>0.17631483220482508</v>
      </c>
      <c r="F19" s="70">
        <f>+'Total Company Tonnage'!M19</f>
        <v>1.0502587720457562E-2</v>
      </c>
      <c r="G19" s="70">
        <f>+'Total Company Tonnage'!O19</f>
        <v>1.0061023974607017E-2</v>
      </c>
      <c r="H19" s="70">
        <f>+'Total Company Tonnage'!N19</f>
        <v>0.23728358408286609</v>
      </c>
      <c r="I19" s="70">
        <f>+'Total Company Tonnage'!P19</f>
        <v>2.2109289710514307E-3</v>
      </c>
      <c r="J19" s="70">
        <f>+'Total Company Tonnage'!Q19</f>
        <v>2.9449486717524538E-3</v>
      </c>
      <c r="K19" s="70">
        <f>+'Total Company Tonnage'!R19</f>
        <v>3.4833205509137689E-3</v>
      </c>
      <c r="L19" s="70">
        <f>+'Total Company Tonnage'!S19</f>
        <v>4.1991389383054288E-3</v>
      </c>
      <c r="M19" s="70">
        <f t="shared" si="1"/>
        <v>0.19635887774379412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x14ac:dyDescent="0.2">
      <c r="A20" s="4" t="s">
        <v>42</v>
      </c>
      <c r="B20" s="63">
        <f t="shared" si="0"/>
        <v>1</v>
      </c>
      <c r="C20" s="70">
        <f>+'Total Company Tonnage'!J20</f>
        <v>0</v>
      </c>
      <c r="D20" s="70">
        <f>+'Total Company Tonnage'!K20</f>
        <v>0.391684864853033</v>
      </c>
      <c r="E20" s="70">
        <f>+'Total Company Tonnage'!L20</f>
        <v>0.17503689364214733</v>
      </c>
      <c r="F20" s="70">
        <f>+'Total Company Tonnage'!M20</f>
        <v>9.0924428688259739E-3</v>
      </c>
      <c r="G20" s="70">
        <f>+'Total Company Tonnage'!O20</f>
        <v>7.123735062189396E-3</v>
      </c>
      <c r="H20" s="70">
        <f>+'Total Company Tonnage'!N20</f>
        <v>0.237899886415009</v>
      </c>
      <c r="I20" s="70">
        <f>+'Total Company Tonnage'!P20</f>
        <v>9.8009709895150918E-4</v>
      </c>
      <c r="J20" s="70">
        <f>+'Total Company Tonnage'!Q20</f>
        <v>3.4772489230733756E-3</v>
      </c>
      <c r="K20" s="70">
        <f>+'Total Company Tonnage'!R20</f>
        <v>3.9108630011025223E-3</v>
      </c>
      <c r="L20" s="70">
        <f>+'Total Company Tonnage'!S20</f>
        <v>4.1395922427841809E-3</v>
      </c>
      <c r="M20" s="70">
        <f t="shared" si="1"/>
        <v>0.16665437589288368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x14ac:dyDescent="0.2">
      <c r="A21" s="4" t="s">
        <v>43</v>
      </c>
      <c r="B21" s="63">
        <f t="shared" si="0"/>
        <v>1</v>
      </c>
      <c r="C21" s="70">
        <f>+'Total Company Tonnage'!J21</f>
        <v>0</v>
      </c>
      <c r="D21" s="70">
        <f>+'Total Company Tonnage'!K21</f>
        <v>0.36236331197857496</v>
      </c>
      <c r="E21" s="70">
        <f>+'Total Company Tonnage'!L21</f>
        <v>0.21082911378403454</v>
      </c>
      <c r="F21" s="70">
        <f>+'Total Company Tonnage'!M21</f>
        <v>8.3662243459861254E-3</v>
      </c>
      <c r="G21" s="70">
        <f>+'Total Company Tonnage'!O21</f>
        <v>8.7344995816237159E-3</v>
      </c>
      <c r="H21" s="70">
        <f>+'Total Company Tonnage'!N21</f>
        <v>0.20005283383239181</v>
      </c>
      <c r="I21" s="70">
        <f>+'Total Company Tonnage'!P21</f>
        <v>5.3783800314140071E-3</v>
      </c>
      <c r="J21" s="70">
        <f>+'Total Company Tonnage'!Q21</f>
        <v>8.7188836705719456E-4</v>
      </c>
      <c r="K21" s="70">
        <f>+'Total Company Tonnage'!R21</f>
        <v>4.6756640340843286E-3</v>
      </c>
      <c r="L21" s="70">
        <f>+'Total Company Tonnage'!S21</f>
        <v>5.7778870891551396E-3</v>
      </c>
      <c r="M21" s="70">
        <f t="shared" si="1"/>
        <v>0.19295019695567805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x14ac:dyDescent="0.2">
      <c r="C22" s="4"/>
    </row>
    <row r="24" spans="1:26" x14ac:dyDescent="0.2">
      <c r="A24" s="12" t="s">
        <v>59</v>
      </c>
    </row>
    <row r="25" spans="1:26" x14ac:dyDescent="0.2">
      <c r="A25" s="4" t="s">
        <v>58</v>
      </c>
      <c r="B25" s="17">
        <f>+'Calculation of Revenue'!D11</f>
        <v>802.01</v>
      </c>
      <c r="C25" s="21">
        <f t="shared" ref="C25:M25" si="2">+$B25*C10</f>
        <v>0</v>
      </c>
      <c r="D25" s="21">
        <f t="shared" si="2"/>
        <v>266.35349183847677</v>
      </c>
      <c r="E25" s="21">
        <f t="shared" si="2"/>
        <v>189.63415699881102</v>
      </c>
      <c r="F25" s="21">
        <f t="shared" si="2"/>
        <v>6.0782831425423014</v>
      </c>
      <c r="G25" s="21">
        <f t="shared" si="2"/>
        <v>6.5757928138485182</v>
      </c>
      <c r="H25" s="21">
        <f t="shared" si="2"/>
        <v>178.32451426962155</v>
      </c>
      <c r="I25" s="21">
        <f t="shared" si="2"/>
        <v>6.2751716912705993</v>
      </c>
      <c r="J25" s="21">
        <f t="shared" si="2"/>
        <v>2.4970020561074229</v>
      </c>
      <c r="K25" s="21">
        <f t="shared" si="2"/>
        <v>2.6839518637779083</v>
      </c>
      <c r="L25" s="21">
        <f t="shared" si="2"/>
        <v>2.9530842919337843</v>
      </c>
      <c r="M25" s="21">
        <f t="shared" si="2"/>
        <v>140.63455103361011</v>
      </c>
      <c r="O25" s="17"/>
      <c r="P25" s="17"/>
    </row>
    <row r="26" spans="1:26" x14ac:dyDescent="0.2">
      <c r="A26" s="4" t="s">
        <v>35</v>
      </c>
      <c r="B26" s="17">
        <f>+'Calculation of Revenue'!D12</f>
        <v>817.05</v>
      </c>
      <c r="C26" s="21">
        <f t="shared" ref="C26:M26" si="3">+$B26*C11</f>
        <v>0</v>
      </c>
      <c r="D26" s="21">
        <f t="shared" si="3"/>
        <v>252.24752302577525</v>
      </c>
      <c r="E26" s="21">
        <f t="shared" si="3"/>
        <v>218.11086304087999</v>
      </c>
      <c r="F26" s="21">
        <f t="shared" si="3"/>
        <v>6.3766100825226308</v>
      </c>
      <c r="G26" s="21">
        <f t="shared" si="3"/>
        <v>8.7318298226017301</v>
      </c>
      <c r="H26" s="21">
        <f t="shared" si="3"/>
        <v>185.60071669653959</v>
      </c>
      <c r="I26" s="21">
        <f t="shared" si="3"/>
        <v>4.2893208430050915</v>
      </c>
      <c r="J26" s="21">
        <f t="shared" si="3"/>
        <v>3.0176317833813511</v>
      </c>
      <c r="K26" s="21">
        <f t="shared" si="3"/>
        <v>3.0595021032176946</v>
      </c>
      <c r="L26" s="21">
        <f t="shared" si="3"/>
        <v>2.247325452732686</v>
      </c>
      <c r="M26" s="21">
        <f t="shared" si="3"/>
        <v>133.36867714934399</v>
      </c>
      <c r="O26" s="17"/>
      <c r="P26" s="17"/>
    </row>
    <row r="27" spans="1:26" x14ac:dyDescent="0.2">
      <c r="A27" s="4" t="s">
        <v>36</v>
      </c>
      <c r="B27" s="17">
        <f>+'Calculation of Revenue'!D13</f>
        <v>739.92</v>
      </c>
      <c r="C27" s="21">
        <f t="shared" ref="C27:M27" si="4">+$B27*C12</f>
        <v>0</v>
      </c>
      <c r="D27" s="21">
        <f t="shared" si="4"/>
        <v>263.04039216409916</v>
      </c>
      <c r="E27" s="21">
        <f t="shared" si="4"/>
        <v>189.93815840161901</v>
      </c>
      <c r="F27" s="21">
        <f t="shared" si="4"/>
        <v>8.7795785738459173</v>
      </c>
      <c r="G27" s="21">
        <f t="shared" si="4"/>
        <v>5.2699041496685739</v>
      </c>
      <c r="H27" s="21">
        <f t="shared" si="4"/>
        <v>126.12843442560813</v>
      </c>
      <c r="I27" s="21">
        <f t="shared" si="4"/>
        <v>5.9464791846820386</v>
      </c>
      <c r="J27" s="21">
        <f t="shared" si="4"/>
        <v>1.9499427278470569</v>
      </c>
      <c r="K27" s="21">
        <f t="shared" si="4"/>
        <v>3.4953600106320688</v>
      </c>
      <c r="L27" s="21">
        <f t="shared" si="4"/>
        <v>2.0966970378293079</v>
      </c>
      <c r="M27" s="21">
        <f t="shared" si="4"/>
        <v>133.27505332416871</v>
      </c>
      <c r="O27" s="17"/>
      <c r="P27" s="17"/>
      <c r="R27" s="17"/>
      <c r="T27" s="69"/>
    </row>
    <row r="28" spans="1:26" x14ac:dyDescent="0.2">
      <c r="A28" s="4" t="s">
        <v>37</v>
      </c>
      <c r="B28" s="17">
        <f>+'Calculation of Revenue'!D14</f>
        <v>853.36</v>
      </c>
      <c r="C28" s="21">
        <f t="shared" ref="C28:M28" si="5">+$B28*C13</f>
        <v>0</v>
      </c>
      <c r="D28" s="21">
        <f t="shared" si="5"/>
        <v>329.08513661747196</v>
      </c>
      <c r="E28" s="21">
        <f t="shared" si="5"/>
        <v>199.46735667570584</v>
      </c>
      <c r="F28" s="21">
        <f t="shared" si="5"/>
        <v>5.3650709920586195</v>
      </c>
      <c r="G28" s="21">
        <f t="shared" si="5"/>
        <v>8.7305269260330949</v>
      </c>
      <c r="H28" s="21">
        <f t="shared" si="5"/>
        <v>165.34741332688466</v>
      </c>
      <c r="I28" s="21">
        <f t="shared" si="5"/>
        <v>2.2696668189358919</v>
      </c>
      <c r="J28" s="21">
        <f t="shared" si="5"/>
        <v>2.2795486255684216</v>
      </c>
      <c r="K28" s="21">
        <f t="shared" si="5"/>
        <v>0.84932991759054666</v>
      </c>
      <c r="L28" s="21">
        <f t="shared" si="5"/>
        <v>1.9536304623176963</v>
      </c>
      <c r="M28" s="21">
        <f t="shared" si="5"/>
        <v>138.01231963743331</v>
      </c>
      <c r="O28" s="17"/>
      <c r="P28" s="17"/>
      <c r="R28" s="17"/>
      <c r="T28" s="69"/>
    </row>
    <row r="29" spans="1:26" x14ac:dyDescent="0.2">
      <c r="A29" s="4" t="s">
        <v>45</v>
      </c>
      <c r="B29" s="17">
        <f>+'Calculation of Revenue'!D15</f>
        <v>907.77</v>
      </c>
      <c r="C29" s="21">
        <f t="shared" ref="C29:M29" si="6">+$B29*C14</f>
        <v>0</v>
      </c>
      <c r="D29" s="21">
        <f t="shared" si="6"/>
        <v>333.3865671151097</v>
      </c>
      <c r="E29" s="21">
        <f t="shared" si="6"/>
        <v>189.53397245356572</v>
      </c>
      <c r="F29" s="21">
        <f t="shared" si="6"/>
        <v>6.1994624746371754</v>
      </c>
      <c r="G29" s="21">
        <f t="shared" si="6"/>
        <v>9.5637126431290369</v>
      </c>
      <c r="H29" s="21">
        <f t="shared" si="6"/>
        <v>190.79565422819516</v>
      </c>
      <c r="I29" s="21">
        <f t="shared" si="6"/>
        <v>3.3642269661194364</v>
      </c>
      <c r="J29" s="21">
        <f t="shared" si="6"/>
        <v>4.3970800059298432</v>
      </c>
      <c r="K29" s="21">
        <f t="shared" si="6"/>
        <v>2.2900236590599694</v>
      </c>
      <c r="L29" s="21">
        <f t="shared" si="6"/>
        <v>1.8589548571125949</v>
      </c>
      <c r="M29" s="21">
        <f t="shared" si="6"/>
        <v>166.38034559714123</v>
      </c>
      <c r="O29" s="17"/>
      <c r="P29" s="17"/>
      <c r="R29" s="17"/>
      <c r="T29" s="69"/>
    </row>
    <row r="30" spans="1:26" x14ac:dyDescent="0.2">
      <c r="A30" s="4" t="s">
        <v>38</v>
      </c>
      <c r="B30" s="17">
        <f>+'Calculation of Revenue'!D16</f>
        <v>751.31</v>
      </c>
      <c r="C30" s="21">
        <f t="shared" ref="C30:M30" si="7">+$B30*C15</f>
        <v>0</v>
      </c>
      <c r="D30" s="21">
        <f t="shared" si="7"/>
        <v>287.84037674319995</v>
      </c>
      <c r="E30" s="21">
        <f t="shared" si="7"/>
        <v>161.77695239429286</v>
      </c>
      <c r="F30" s="21">
        <f t="shared" si="7"/>
        <v>5.8308351143151453</v>
      </c>
      <c r="G30" s="21">
        <f t="shared" si="7"/>
        <v>7.795137299032759</v>
      </c>
      <c r="H30" s="21">
        <f t="shared" si="7"/>
        <v>136.49367468812133</v>
      </c>
      <c r="I30" s="21">
        <f t="shared" si="7"/>
        <v>5.888502117445169</v>
      </c>
      <c r="J30" s="21">
        <f t="shared" si="7"/>
        <v>2.4887584933881461</v>
      </c>
      <c r="K30" s="21">
        <f t="shared" si="7"/>
        <v>2.8937141407155171</v>
      </c>
      <c r="L30" s="21">
        <f t="shared" si="7"/>
        <v>1.8047575281121102</v>
      </c>
      <c r="M30" s="21">
        <f t="shared" si="7"/>
        <v>138.49729148137683</v>
      </c>
      <c r="O30" s="17"/>
      <c r="P30" s="17"/>
      <c r="R30" s="17"/>
      <c r="T30" s="69"/>
    </row>
    <row r="31" spans="1:26" x14ac:dyDescent="0.2">
      <c r="A31" s="4" t="s">
        <v>39</v>
      </c>
      <c r="B31" s="17">
        <f>+'Calculation of Revenue'!D17</f>
        <v>794.74</v>
      </c>
      <c r="C31" s="21">
        <f t="shared" ref="C31:M31" si="8">+$B31*C16</f>
        <v>0</v>
      </c>
      <c r="D31" s="21">
        <f t="shared" si="8"/>
        <v>346.67292279511975</v>
      </c>
      <c r="E31" s="21">
        <f t="shared" si="8"/>
        <v>138.12576403230182</v>
      </c>
      <c r="F31" s="21">
        <f t="shared" si="8"/>
        <v>7.5976517149390146</v>
      </c>
      <c r="G31" s="21">
        <f t="shared" si="8"/>
        <v>8.0715449791036757</v>
      </c>
      <c r="H31" s="21">
        <f t="shared" si="8"/>
        <v>135.36125575209419</v>
      </c>
      <c r="I31" s="21">
        <f t="shared" si="8"/>
        <v>5.5663703258917421</v>
      </c>
      <c r="J31" s="21">
        <f t="shared" si="8"/>
        <v>2.7899474717804442</v>
      </c>
      <c r="K31" s="21">
        <f t="shared" si="8"/>
        <v>2.8954859760452614</v>
      </c>
      <c r="L31" s="21">
        <f t="shared" si="8"/>
        <v>2.6264520801925784</v>
      </c>
      <c r="M31" s="21">
        <f t="shared" si="8"/>
        <v>145.03260487253149</v>
      </c>
      <c r="O31" s="17"/>
      <c r="P31" s="17"/>
      <c r="R31" s="17"/>
      <c r="T31" s="69"/>
    </row>
    <row r="32" spans="1:26" x14ac:dyDescent="0.2">
      <c r="A32" s="4" t="s">
        <v>40</v>
      </c>
      <c r="B32" s="17">
        <f>+'Calculation of Revenue'!D18</f>
        <v>923.56</v>
      </c>
      <c r="C32" s="21">
        <f t="shared" ref="C32:M32" si="9">+$B32*C17</f>
        <v>0</v>
      </c>
      <c r="D32" s="21">
        <f t="shared" si="9"/>
        <v>386.11174815406537</v>
      </c>
      <c r="E32" s="21">
        <f t="shared" si="9"/>
        <v>134.04288479734558</v>
      </c>
      <c r="F32" s="21">
        <f t="shared" si="9"/>
        <v>11.760569002099972</v>
      </c>
      <c r="G32" s="21">
        <f t="shared" si="9"/>
        <v>12.074422375940083</v>
      </c>
      <c r="H32" s="21">
        <f t="shared" si="9"/>
        <v>183.48851670347139</v>
      </c>
      <c r="I32" s="21">
        <f t="shared" si="9"/>
        <v>8.2182351170031165</v>
      </c>
      <c r="J32" s="21">
        <f t="shared" si="9"/>
        <v>2.6118266271727935</v>
      </c>
      <c r="K32" s="21">
        <f t="shared" si="9"/>
        <v>3.5040069857595184</v>
      </c>
      <c r="L32" s="21">
        <f t="shared" si="9"/>
        <v>2.7130976895003607</v>
      </c>
      <c r="M32" s="21">
        <f t="shared" si="9"/>
        <v>179.03469254764175</v>
      </c>
      <c r="O32" s="17"/>
      <c r="P32" s="17"/>
      <c r="R32" s="17"/>
      <c r="T32" s="69"/>
    </row>
    <row r="33" spans="1:20" x14ac:dyDescent="0.2">
      <c r="A33" s="4" t="s">
        <v>10</v>
      </c>
      <c r="B33" s="17">
        <f>+'Calculation of Revenue'!D19</f>
        <v>892.77</v>
      </c>
      <c r="C33" s="21">
        <f t="shared" ref="C33:M33" si="10">+$B33*C18</f>
        <v>0</v>
      </c>
      <c r="D33" s="21">
        <f t="shared" si="10"/>
        <v>352.91398094461567</v>
      </c>
      <c r="E33" s="21">
        <f t="shared" si="10"/>
        <v>134.96176668965421</v>
      </c>
      <c r="F33" s="21">
        <f t="shared" si="10"/>
        <v>11.368317313399409</v>
      </c>
      <c r="G33" s="21">
        <f t="shared" si="10"/>
        <v>10.734760717517181</v>
      </c>
      <c r="H33" s="21">
        <f t="shared" si="10"/>
        <v>199.76303613991263</v>
      </c>
      <c r="I33" s="21">
        <f t="shared" si="10"/>
        <v>2.9267707425432139</v>
      </c>
      <c r="J33" s="21">
        <f t="shared" si="10"/>
        <v>2.6135345854749907</v>
      </c>
      <c r="K33" s="21">
        <f t="shared" si="10"/>
        <v>3.754340630284243</v>
      </c>
      <c r="L33" s="21">
        <f t="shared" si="10"/>
        <v>3.2303569287753175</v>
      </c>
      <c r="M33" s="21">
        <f t="shared" si="10"/>
        <v>170.50313530782319</v>
      </c>
      <c r="O33" s="17"/>
      <c r="P33" s="17"/>
      <c r="R33" s="17"/>
      <c r="T33" s="69"/>
    </row>
    <row r="34" spans="1:20" x14ac:dyDescent="0.2">
      <c r="A34" s="4" t="s">
        <v>41</v>
      </c>
      <c r="B34" s="17">
        <f>+'Calculation of Revenue'!D20</f>
        <v>858.54</v>
      </c>
      <c r="C34" s="21">
        <f t="shared" ref="C34:M34" si="11">+$B34*C19</f>
        <v>0</v>
      </c>
      <c r="D34" s="21">
        <f t="shared" si="11"/>
        <v>306.19035563620071</v>
      </c>
      <c r="E34" s="21">
        <f t="shared" si="11"/>
        <v>151.37333604113053</v>
      </c>
      <c r="F34" s="21">
        <f t="shared" si="11"/>
        <v>9.016891661521635</v>
      </c>
      <c r="G34" s="21">
        <f t="shared" si="11"/>
        <v>8.6377915231591089</v>
      </c>
      <c r="H34" s="21">
        <f t="shared" si="11"/>
        <v>203.71744827850384</v>
      </c>
      <c r="I34" s="21">
        <f t="shared" si="11"/>
        <v>1.8981709588064952</v>
      </c>
      <c r="J34" s="21">
        <f t="shared" si="11"/>
        <v>2.5283562326463516</v>
      </c>
      <c r="K34" s="21">
        <f t="shared" si="11"/>
        <v>2.9905700257815071</v>
      </c>
      <c r="L34" s="21">
        <f t="shared" si="11"/>
        <v>3.6051287440927426</v>
      </c>
      <c r="M34" s="21">
        <f t="shared" si="11"/>
        <v>168.581950898157</v>
      </c>
      <c r="O34" s="17"/>
      <c r="P34" s="17"/>
      <c r="R34" s="17"/>
      <c r="T34" s="69"/>
    </row>
    <row r="35" spans="1:20" x14ac:dyDescent="0.2">
      <c r="A35" s="4" t="s">
        <v>42</v>
      </c>
      <c r="B35" s="17">
        <f>+'Calculation of Revenue'!D21</f>
        <v>958.9</v>
      </c>
      <c r="C35" s="365">
        <f t="shared" ref="C35:M35" si="12">+$B35*C20</f>
        <v>0</v>
      </c>
      <c r="D35" s="365">
        <f t="shared" si="12"/>
        <v>375.58661690757333</v>
      </c>
      <c r="E35" s="365">
        <f t="shared" si="12"/>
        <v>167.84287731345506</v>
      </c>
      <c r="F35" s="365">
        <f t="shared" si="12"/>
        <v>8.7187434669172266</v>
      </c>
      <c r="G35" s="365">
        <f t="shared" si="12"/>
        <v>6.8309495511334113</v>
      </c>
      <c r="H35" s="365">
        <f t="shared" si="12"/>
        <v>228.12220108335214</v>
      </c>
      <c r="I35" s="365">
        <f t="shared" si="12"/>
        <v>0.93981510818460212</v>
      </c>
      <c r="J35" s="365">
        <f t="shared" si="12"/>
        <v>3.3343339923350599</v>
      </c>
      <c r="K35" s="365">
        <f t="shared" si="12"/>
        <v>3.7501265317572083</v>
      </c>
      <c r="L35" s="365">
        <f t="shared" si="12"/>
        <v>3.969455001605751</v>
      </c>
      <c r="M35" s="365">
        <f t="shared" si="12"/>
        <v>159.80488104368615</v>
      </c>
      <c r="O35" s="17"/>
      <c r="P35" s="17"/>
      <c r="R35" s="17"/>
      <c r="T35" s="69"/>
    </row>
    <row r="36" spans="1:20" ht="15" x14ac:dyDescent="0.35">
      <c r="A36" s="4" t="s">
        <v>43</v>
      </c>
      <c r="B36" s="24">
        <f>+'Calculation of Revenue'!D22</f>
        <v>824.66</v>
      </c>
      <c r="C36" s="28">
        <f t="shared" ref="C36:M36" si="13">+$B36*C21</f>
        <v>0</v>
      </c>
      <c r="D36" s="28">
        <f t="shared" si="13"/>
        <v>298.82652885625163</v>
      </c>
      <c r="E36" s="28">
        <f t="shared" si="13"/>
        <v>173.86233697314191</v>
      </c>
      <c r="F36" s="28">
        <f t="shared" si="13"/>
        <v>6.8992905691609181</v>
      </c>
      <c r="G36" s="28">
        <f t="shared" si="13"/>
        <v>7.2029924249818134</v>
      </c>
      <c r="H36" s="28">
        <f t="shared" si="13"/>
        <v>164.97556994822023</v>
      </c>
      <c r="I36" s="28">
        <f t="shared" si="13"/>
        <v>4.4353348767058751</v>
      </c>
      <c r="J36" s="28">
        <f t="shared" si="13"/>
        <v>0.71901146077738609</v>
      </c>
      <c r="K36" s="28">
        <f t="shared" si="13"/>
        <v>3.8558331023479822</v>
      </c>
      <c r="L36" s="28">
        <f t="shared" si="13"/>
        <v>4.764792366942677</v>
      </c>
      <c r="M36" s="28">
        <f t="shared" si="13"/>
        <v>159.11830942146946</v>
      </c>
      <c r="O36" s="17"/>
      <c r="P36" s="17"/>
      <c r="R36" s="17"/>
      <c r="T36" s="69"/>
    </row>
    <row r="37" spans="1:20" ht="15" x14ac:dyDescent="0.35">
      <c r="B37" s="31">
        <f>SUM(B25:B36)</f>
        <v>10124.589999999998</v>
      </c>
      <c r="C37" s="31">
        <f>SUM(C25:C36)</f>
        <v>0</v>
      </c>
      <c r="D37" s="31">
        <f t="shared" ref="D37:L37" si="14">SUM(D25:D36)</f>
        <v>3798.2556407979591</v>
      </c>
      <c r="E37" s="31">
        <f t="shared" si="14"/>
        <v>2048.6704258119034</v>
      </c>
      <c r="F37" s="31">
        <f t="shared" si="14"/>
        <v>93.991304107959962</v>
      </c>
      <c r="G37" s="31">
        <f t="shared" si="14"/>
        <v>100.21936522614899</v>
      </c>
      <c r="H37" s="31">
        <f t="shared" si="14"/>
        <v>2098.1184355405248</v>
      </c>
      <c r="I37" s="31">
        <f t="shared" si="14"/>
        <v>52.018064750593268</v>
      </c>
      <c r="J37" s="31">
        <f t="shared" si="14"/>
        <v>31.226974062409269</v>
      </c>
      <c r="K37" s="31">
        <f t="shared" si="14"/>
        <v>36.022244946969423</v>
      </c>
      <c r="L37" s="31">
        <f t="shared" si="14"/>
        <v>33.823732441147605</v>
      </c>
      <c r="M37" s="31">
        <f t="shared" ref="M37" si="15">SUM(M25:M36)</f>
        <v>1832.2438123143834</v>
      </c>
    </row>
    <row r="38" spans="1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40" spans="1:20" x14ac:dyDescent="0.2">
      <c r="A40" s="12" t="s">
        <v>57</v>
      </c>
    </row>
    <row r="41" spans="1:20" x14ac:dyDescent="0.2">
      <c r="A41" s="4" t="s">
        <v>58</v>
      </c>
      <c r="C41" s="38">
        <f>+'Commodity Prices'!B9</f>
        <v>0</v>
      </c>
      <c r="D41" s="38">
        <f>+'Commodity Prices'!C9</f>
        <v>2.75</v>
      </c>
      <c r="E41" s="38">
        <f>+'Commodity Prices'!D9</f>
        <v>70.22</v>
      </c>
      <c r="F41" s="38">
        <f>+'Commodity Prices'!E9</f>
        <v>895.29</v>
      </c>
      <c r="G41" s="38">
        <f>+'Commodity Prices'!G9</f>
        <v>114.65</v>
      </c>
      <c r="H41" s="38">
        <f>+'Commodity Prices'!F9</f>
        <v>-53.34</v>
      </c>
      <c r="I41" s="38">
        <f>+'Commodity Prices'!H9</f>
        <v>113.9</v>
      </c>
      <c r="J41" s="38">
        <f>+'Commodity Prices'!I9</f>
        <v>500</v>
      </c>
      <c r="K41" s="38">
        <f>+'Commodity Prices'!J9</f>
        <v>220</v>
      </c>
      <c r="L41" s="38">
        <f>+'Commodity Prices'!K9</f>
        <v>-187.5</v>
      </c>
    </row>
    <row r="42" spans="1:20" x14ac:dyDescent="0.2">
      <c r="A42" s="4" t="s">
        <v>35</v>
      </c>
      <c r="C42" s="38">
        <f>+'Commodity Prices'!B10</f>
        <v>0</v>
      </c>
      <c r="D42" s="38">
        <f>+'Commodity Prices'!C10</f>
        <v>5.74</v>
      </c>
      <c r="E42" s="38">
        <f>+'Commodity Prices'!D10</f>
        <v>65.28</v>
      </c>
      <c r="F42" s="38">
        <f>+'Commodity Prices'!E10</f>
        <v>908.42</v>
      </c>
      <c r="G42" s="38">
        <f>+'Commodity Prices'!G10</f>
        <v>87.32</v>
      </c>
      <c r="H42" s="38">
        <f>+'Commodity Prices'!F10</f>
        <v>-53.34</v>
      </c>
      <c r="I42" s="38">
        <f>+'Commodity Prices'!H10</f>
        <v>88.05</v>
      </c>
      <c r="J42" s="38">
        <f>+'Commodity Prices'!I10</f>
        <v>790</v>
      </c>
      <c r="K42" s="38">
        <f>+'Commodity Prices'!J10</f>
        <v>239.85</v>
      </c>
      <c r="L42" s="38">
        <f>+'Commodity Prices'!K10</f>
        <v>-187.5</v>
      </c>
    </row>
    <row r="43" spans="1:20" x14ac:dyDescent="0.2">
      <c r="A43" s="4" t="s">
        <v>36</v>
      </c>
      <c r="C43" s="38">
        <f>+'Commodity Prices'!B11</f>
        <v>0</v>
      </c>
      <c r="D43" s="38">
        <f>+'Commodity Prices'!C11</f>
        <v>-3.75</v>
      </c>
      <c r="E43" s="38">
        <f>+'Commodity Prices'!D11</f>
        <v>62.34</v>
      </c>
      <c r="F43" s="38">
        <f>+'Commodity Prices'!E11</f>
        <v>850.71</v>
      </c>
      <c r="G43" s="38">
        <f>+'Commodity Prices'!G11</f>
        <v>96.2</v>
      </c>
      <c r="H43" s="38">
        <f>+'Commodity Prices'!F11</f>
        <v>-53.34</v>
      </c>
      <c r="I43" s="38">
        <f>+'Commodity Prices'!H11</f>
        <v>79</v>
      </c>
      <c r="J43" s="38">
        <f>+'Commodity Prices'!I11</f>
        <v>860</v>
      </c>
      <c r="K43" s="38">
        <f>+'Commodity Prices'!J11</f>
        <v>310</v>
      </c>
      <c r="L43" s="38">
        <f>+'Commodity Prices'!K11</f>
        <v>-187.5</v>
      </c>
      <c r="M43" s="67"/>
    </row>
    <row r="44" spans="1:20" x14ac:dyDescent="0.2">
      <c r="A44" s="4" t="s">
        <v>37</v>
      </c>
      <c r="C44" s="38">
        <f>+'Commodity Prices'!B12</f>
        <v>0</v>
      </c>
      <c r="D44" s="38">
        <f>+'Commodity Prices'!C12</f>
        <v>2.31</v>
      </c>
      <c r="E44" s="38">
        <f>+'Commodity Prices'!D12</f>
        <v>59.14</v>
      </c>
      <c r="F44" s="38">
        <f>+'Commodity Prices'!E12</f>
        <v>860.47</v>
      </c>
      <c r="G44" s="38">
        <f>+'Commodity Prices'!G12</f>
        <v>109.31</v>
      </c>
      <c r="H44" s="38">
        <f>+'Commodity Prices'!F12</f>
        <v>-53.34</v>
      </c>
      <c r="I44" s="38">
        <f>+'Commodity Prices'!H12</f>
        <v>152.85</v>
      </c>
      <c r="J44" s="38">
        <f>+'Commodity Prices'!I12</f>
        <v>938.43</v>
      </c>
      <c r="K44" s="38">
        <f>+'Commodity Prices'!J12</f>
        <v>260</v>
      </c>
      <c r="L44" s="38">
        <f>+'Commodity Prices'!K12</f>
        <v>-187.5</v>
      </c>
      <c r="M44" s="22"/>
    </row>
    <row r="45" spans="1:20" x14ac:dyDescent="0.2">
      <c r="A45" s="4" t="s">
        <v>45</v>
      </c>
      <c r="C45" s="38">
        <f>+'Commodity Prices'!B13</f>
        <v>0</v>
      </c>
      <c r="D45" s="38">
        <f>+'Commodity Prices'!C13</f>
        <v>-0.11</v>
      </c>
      <c r="E45" s="38">
        <f>+'Commodity Prices'!D13</f>
        <v>66.25</v>
      </c>
      <c r="F45" s="38">
        <f>+'Commodity Prices'!E13</f>
        <v>864.23</v>
      </c>
      <c r="G45" s="38">
        <f>+'Commodity Prices'!G13</f>
        <v>126.19</v>
      </c>
      <c r="H45" s="38">
        <f>+'Commodity Prices'!F13</f>
        <v>-53.34</v>
      </c>
      <c r="I45" s="38">
        <f>+'Commodity Prices'!H13</f>
        <v>180</v>
      </c>
      <c r="J45" s="38">
        <f>+'Commodity Prices'!I13</f>
        <v>1020</v>
      </c>
      <c r="K45" s="38">
        <f>+'Commodity Prices'!J13</f>
        <v>260</v>
      </c>
      <c r="L45" s="38">
        <f>+'Commodity Prices'!K13</f>
        <v>-187.5</v>
      </c>
      <c r="M45" s="22"/>
    </row>
    <row r="46" spans="1:20" x14ac:dyDescent="0.2">
      <c r="A46" s="4" t="s">
        <v>38</v>
      </c>
      <c r="C46" s="38">
        <f>+'Commodity Prices'!B14</f>
        <v>0</v>
      </c>
      <c r="D46" s="38">
        <f>+'Commodity Prices'!C14</f>
        <v>2.08</v>
      </c>
      <c r="E46" s="38">
        <f>+'Commodity Prices'!D14</f>
        <v>78.12</v>
      </c>
      <c r="F46" s="38">
        <f>+'Commodity Prices'!E14</f>
        <v>799.14</v>
      </c>
      <c r="G46" s="38">
        <f>+'Commodity Prices'!G14</f>
        <v>110.02</v>
      </c>
      <c r="H46" s="38">
        <f>+'Commodity Prices'!F14</f>
        <v>-53.34</v>
      </c>
      <c r="I46" s="38">
        <f>+'Commodity Prices'!H14</f>
        <v>180</v>
      </c>
      <c r="J46" s="38">
        <f>+'Commodity Prices'!I14</f>
        <v>1072.69</v>
      </c>
      <c r="K46" s="38">
        <f>+'Commodity Prices'!J14</f>
        <v>160</v>
      </c>
      <c r="L46" s="38">
        <f>+'Commodity Prices'!K14</f>
        <v>-187.5</v>
      </c>
      <c r="M46" s="18"/>
    </row>
    <row r="47" spans="1:20" x14ac:dyDescent="0.2">
      <c r="A47" s="4" t="s">
        <v>39</v>
      </c>
      <c r="C47" s="38">
        <f>+'Commodity Prices'!B15</f>
        <v>0</v>
      </c>
      <c r="D47" s="38">
        <f>+'Commodity Prices'!C15</f>
        <v>-17.27</v>
      </c>
      <c r="E47" s="38">
        <f>+'Commodity Prices'!D15</f>
        <v>82.04</v>
      </c>
      <c r="F47" s="38">
        <f>+'Commodity Prices'!E15</f>
        <v>832.47</v>
      </c>
      <c r="G47" s="38">
        <f>+'Commodity Prices'!G15</f>
        <v>119.1</v>
      </c>
      <c r="H47" s="38">
        <f>+'Commodity Prices'!F15</f>
        <v>-53.34</v>
      </c>
      <c r="I47" s="38">
        <f>+'Commodity Prices'!H15</f>
        <v>180</v>
      </c>
      <c r="J47" s="38">
        <f>+'Commodity Prices'!I15</f>
        <v>649.80999999999995</v>
      </c>
      <c r="K47" s="38">
        <f>+'Commodity Prices'!J15</f>
        <v>150</v>
      </c>
      <c r="L47" s="38">
        <f>+'Commodity Prices'!K15</f>
        <v>-187.5</v>
      </c>
      <c r="M47" s="18"/>
    </row>
    <row r="48" spans="1:20" x14ac:dyDescent="0.2">
      <c r="A48" s="4" t="s">
        <v>40</v>
      </c>
      <c r="C48" s="38">
        <f>+'Commodity Prices'!B16</f>
        <v>0</v>
      </c>
      <c r="D48" s="38">
        <f>+'Commodity Prices'!C16</f>
        <v>-10.76</v>
      </c>
      <c r="E48" s="38">
        <f>+'Commodity Prices'!D16</f>
        <v>84.21</v>
      </c>
      <c r="F48" s="38">
        <f>+'Commodity Prices'!E16</f>
        <v>813.28</v>
      </c>
      <c r="G48" s="38">
        <f>+'Commodity Prices'!G16</f>
        <v>78.25</v>
      </c>
      <c r="H48" s="38">
        <f>+'Commodity Prices'!F16</f>
        <v>-59.96</v>
      </c>
      <c r="I48" s="38">
        <f>+'Commodity Prices'!H16</f>
        <v>150</v>
      </c>
      <c r="J48" s="38">
        <f>+'Commodity Prices'!I16</f>
        <v>680</v>
      </c>
      <c r="K48" s="38">
        <f>+'Commodity Prices'!J16</f>
        <v>60</v>
      </c>
      <c r="L48" s="38">
        <f>+'Commodity Prices'!K16</f>
        <v>-187.5</v>
      </c>
      <c r="M48" s="18"/>
    </row>
    <row r="49" spans="1:13" x14ac:dyDescent="0.2">
      <c r="A49" s="4" t="s">
        <v>10</v>
      </c>
      <c r="C49" s="38">
        <f>+'Commodity Prices'!B17</f>
        <v>0</v>
      </c>
      <c r="D49" s="38">
        <f>+'Commodity Prices'!C17</f>
        <v>-5.37</v>
      </c>
      <c r="E49" s="38">
        <f>+'Commodity Prices'!D17</f>
        <v>110.43</v>
      </c>
      <c r="F49" s="38">
        <f>+'Commodity Prices'!E17</f>
        <v>693.51</v>
      </c>
      <c r="G49" s="38">
        <f>+'Commodity Prices'!G17</f>
        <v>90.06</v>
      </c>
      <c r="H49" s="38">
        <f>+'Commodity Prices'!F17</f>
        <v>-53.34</v>
      </c>
      <c r="I49" s="38">
        <f>+'Commodity Prices'!H17</f>
        <v>130</v>
      </c>
      <c r="J49" s="38">
        <f>+'Commodity Prices'!I17</f>
        <v>640</v>
      </c>
      <c r="K49" s="38">
        <f>+'Commodity Prices'!J17</f>
        <v>60</v>
      </c>
      <c r="L49" s="38">
        <f>+'Commodity Prices'!K17</f>
        <v>-187.5</v>
      </c>
      <c r="M49" s="18"/>
    </row>
    <row r="50" spans="1:13" x14ac:dyDescent="0.2">
      <c r="A50" s="4" t="s">
        <v>41</v>
      </c>
      <c r="C50" s="38">
        <f>+'Commodity Prices'!B18</f>
        <v>0</v>
      </c>
      <c r="D50" s="38">
        <f>+'Commodity Prices'!C18</f>
        <v>2.2599999999999998</v>
      </c>
      <c r="E50" s="38">
        <f>+'Commodity Prices'!D18</f>
        <v>77.239999999999995</v>
      </c>
      <c r="F50" s="38">
        <f>+'Commodity Prices'!E18</f>
        <v>731.99</v>
      </c>
      <c r="G50" s="38">
        <f>+'Commodity Prices'!G18</f>
        <v>94.5</v>
      </c>
      <c r="H50" s="38">
        <f>+'Commodity Prices'!F18</f>
        <v>-63.5</v>
      </c>
      <c r="I50" s="38">
        <f>+'Commodity Prices'!H18</f>
        <v>88.62</v>
      </c>
      <c r="J50" s="38">
        <f>+'Commodity Prices'!I18</f>
        <v>709.87</v>
      </c>
      <c r="K50" s="38">
        <f>+'Commodity Prices'!J18</f>
        <v>60</v>
      </c>
      <c r="L50" s="38">
        <f>+'Commodity Prices'!K18</f>
        <v>-187.5</v>
      </c>
      <c r="M50" s="18"/>
    </row>
    <row r="51" spans="1:13" x14ac:dyDescent="0.2">
      <c r="A51" s="4" t="s">
        <v>42</v>
      </c>
      <c r="C51" s="38">
        <f>+'Commodity Prices'!B19</f>
        <v>0</v>
      </c>
      <c r="D51" s="38">
        <f>+'Commodity Prices'!C19</f>
        <v>6.43</v>
      </c>
      <c r="E51" s="38">
        <f>+'Commodity Prices'!D19</f>
        <v>82.82</v>
      </c>
      <c r="F51" s="38">
        <f>+'Commodity Prices'!E19</f>
        <v>810.19</v>
      </c>
      <c r="G51" s="38">
        <f>+'Commodity Prices'!G19</f>
        <v>89.83</v>
      </c>
      <c r="H51" s="38">
        <f>+'Commodity Prices'!F19</f>
        <v>-63.5</v>
      </c>
      <c r="I51" s="38">
        <f>+'Commodity Prices'!H19</f>
        <v>77.11</v>
      </c>
      <c r="J51" s="38">
        <f>+'Commodity Prices'!I19</f>
        <v>735</v>
      </c>
      <c r="K51" s="38">
        <f>+'Commodity Prices'!J19</f>
        <v>60</v>
      </c>
      <c r="L51" s="38">
        <f>+'Commodity Prices'!K19</f>
        <v>-187.5</v>
      </c>
    </row>
    <row r="52" spans="1:13" x14ac:dyDescent="0.2">
      <c r="A52" s="4" t="s">
        <v>43</v>
      </c>
      <c r="C52" s="38">
        <f>+'Commodity Prices'!B20</f>
        <v>0</v>
      </c>
      <c r="D52" s="38">
        <f>+'Commodity Prices'!C20</f>
        <v>10.63</v>
      </c>
      <c r="E52" s="38">
        <f>+'Commodity Prices'!D20</f>
        <v>88.36</v>
      </c>
      <c r="F52" s="38">
        <f>+'Commodity Prices'!E20</f>
        <v>881.39</v>
      </c>
      <c r="G52" s="38">
        <f>+'Commodity Prices'!G20</f>
        <v>100.29</v>
      </c>
      <c r="H52" s="38">
        <f>+'Commodity Prices'!F20</f>
        <v>-63.5</v>
      </c>
      <c r="I52" s="38">
        <f>+'Commodity Prices'!H20</f>
        <v>42</v>
      </c>
      <c r="J52" s="38">
        <f>+'Commodity Prices'!I20</f>
        <v>781.32</v>
      </c>
      <c r="K52" s="38">
        <f>+'Commodity Prices'!J20</f>
        <v>60</v>
      </c>
      <c r="L52" s="38">
        <f>+'Commodity Prices'!K20</f>
        <v>-187.5</v>
      </c>
    </row>
    <row r="55" spans="1:13" x14ac:dyDescent="0.2">
      <c r="A55" s="12" t="s">
        <v>60</v>
      </c>
    </row>
    <row r="56" spans="1:13" x14ac:dyDescent="0.2">
      <c r="A56" s="4" t="s">
        <v>58</v>
      </c>
      <c r="B56" s="20">
        <f t="shared" ref="B56:B67" si="16">SUM(C56:L56)</f>
        <v>12732.502965648126</v>
      </c>
      <c r="C56" s="20">
        <f t="shared" ref="C56:L56" si="17">+C41*C25</f>
        <v>0</v>
      </c>
      <c r="D56" s="20">
        <f t="shared" si="17"/>
        <v>732.47210255581115</v>
      </c>
      <c r="E56" s="20">
        <f t="shared" si="17"/>
        <v>13316.11050445651</v>
      </c>
      <c r="F56" s="20">
        <f t="shared" si="17"/>
        <v>5441.8261146866971</v>
      </c>
      <c r="G56" s="20">
        <f t="shared" si="17"/>
        <v>753.91464610773266</v>
      </c>
      <c r="H56" s="20">
        <f t="shared" si="17"/>
        <v>-9511.8295911416135</v>
      </c>
      <c r="I56" s="20">
        <f t="shared" si="17"/>
        <v>714.74205563572127</v>
      </c>
      <c r="J56" s="20">
        <f t="shared" si="17"/>
        <v>1248.5010280537115</v>
      </c>
      <c r="K56" s="20">
        <f t="shared" si="17"/>
        <v>590.46941003113977</v>
      </c>
      <c r="L56" s="20">
        <f t="shared" si="17"/>
        <v>-553.70330473758452</v>
      </c>
    </row>
    <row r="57" spans="1:13" x14ac:dyDescent="0.2">
      <c r="A57" s="4" t="s">
        <v>35</v>
      </c>
      <c r="B57" s="20">
        <f t="shared" si="16"/>
        <v>15415.391070325215</v>
      </c>
      <c r="C57" s="20">
        <f t="shared" ref="C57:L57" si="18">+C42*C26</f>
        <v>0</v>
      </c>
      <c r="D57" s="20">
        <f t="shared" si="18"/>
        <v>1447.90078216795</v>
      </c>
      <c r="E57" s="20">
        <f t="shared" si="18"/>
        <v>14238.277139308646</v>
      </c>
      <c r="F57" s="20">
        <f t="shared" si="18"/>
        <v>5792.640131165208</v>
      </c>
      <c r="G57" s="20">
        <f t="shared" si="18"/>
        <v>762.463380109583</v>
      </c>
      <c r="H57" s="20">
        <f t="shared" si="18"/>
        <v>-9899.9422285934234</v>
      </c>
      <c r="I57" s="20">
        <f t="shared" si="18"/>
        <v>377.6747002265983</v>
      </c>
      <c r="J57" s="20">
        <f t="shared" si="18"/>
        <v>2383.9291088712675</v>
      </c>
      <c r="K57" s="20">
        <f t="shared" si="18"/>
        <v>733.82157945676397</v>
      </c>
      <c r="L57" s="20">
        <f t="shared" si="18"/>
        <v>-421.37352238737861</v>
      </c>
    </row>
    <row r="58" spans="1:13" x14ac:dyDescent="0.2">
      <c r="A58" s="4" t="s">
        <v>36</v>
      </c>
      <c r="B58" s="20">
        <f t="shared" si="16"/>
        <v>14939.646209875487</v>
      </c>
      <c r="C58" s="20">
        <f t="shared" ref="C58:L58" si="19">+C43*C27</f>
        <v>0</v>
      </c>
      <c r="D58" s="20">
        <f t="shared" si="19"/>
        <v>-986.40147061537186</v>
      </c>
      <c r="E58" s="20">
        <f t="shared" si="19"/>
        <v>11840.744794756929</v>
      </c>
      <c r="F58" s="20">
        <f t="shared" si="19"/>
        <v>7468.8752885564609</v>
      </c>
      <c r="G58" s="20">
        <f t="shared" si="19"/>
        <v>506.96477919811684</v>
      </c>
      <c r="H58" s="20">
        <f t="shared" si="19"/>
        <v>-6727.6906922619382</v>
      </c>
      <c r="I58" s="20">
        <f t="shared" si="19"/>
        <v>469.77185558988106</v>
      </c>
      <c r="J58" s="20">
        <f t="shared" si="19"/>
        <v>1676.9507459484689</v>
      </c>
      <c r="K58" s="20">
        <f t="shared" si="19"/>
        <v>1083.5616032959413</v>
      </c>
      <c r="L58" s="20">
        <f t="shared" si="19"/>
        <v>-393.13069459299521</v>
      </c>
    </row>
    <row r="59" spans="1:13" x14ac:dyDescent="0.2">
      <c r="A59" s="4" t="s">
        <v>37</v>
      </c>
      <c r="B59" s="20">
        <f t="shared" si="16"/>
        <v>11648.507104208433</v>
      </c>
      <c r="C59" s="20">
        <f t="shared" ref="C59:L59" si="20">+C44*C28</f>
        <v>0</v>
      </c>
      <c r="D59" s="20">
        <f t="shared" si="20"/>
        <v>760.18666558636028</v>
      </c>
      <c r="E59" s="20">
        <f t="shared" si="20"/>
        <v>11796.499473801243</v>
      </c>
      <c r="F59" s="20">
        <f t="shared" si="20"/>
        <v>4616.4826365366807</v>
      </c>
      <c r="G59" s="20">
        <f t="shared" si="20"/>
        <v>954.33389828467762</v>
      </c>
      <c r="H59" s="20">
        <f t="shared" si="20"/>
        <v>-8819.6310268560283</v>
      </c>
      <c r="I59" s="20">
        <f t="shared" si="20"/>
        <v>346.91857327435105</v>
      </c>
      <c r="J59" s="20">
        <f t="shared" si="20"/>
        <v>2139.1968166921738</v>
      </c>
      <c r="K59" s="20">
        <f t="shared" si="20"/>
        <v>220.82577857354212</v>
      </c>
      <c r="L59" s="20">
        <f t="shared" si="20"/>
        <v>-366.30571168456805</v>
      </c>
    </row>
    <row r="60" spans="1:13" x14ac:dyDescent="0.2">
      <c r="A60" s="4" t="s">
        <v>45</v>
      </c>
      <c r="B60" s="20">
        <f t="shared" si="16"/>
        <v>14244.953884623197</v>
      </c>
      <c r="C60" s="20">
        <f t="shared" ref="C60:L60" si="21">+C45*C29</f>
        <v>0</v>
      </c>
      <c r="D60" s="20">
        <f t="shared" si="21"/>
        <v>-36.672522382662066</v>
      </c>
      <c r="E60" s="20">
        <f t="shared" si="21"/>
        <v>12556.62567504873</v>
      </c>
      <c r="F60" s="20">
        <f t="shared" si="21"/>
        <v>5357.7614544556864</v>
      </c>
      <c r="G60" s="20">
        <f t="shared" si="21"/>
        <v>1206.8448984364531</v>
      </c>
      <c r="H60" s="20">
        <f t="shared" si="21"/>
        <v>-10177.040196531931</v>
      </c>
      <c r="I60" s="20">
        <f t="shared" si="21"/>
        <v>605.5608539014986</v>
      </c>
      <c r="J60" s="20">
        <f t="shared" si="21"/>
        <v>4485.0216060484399</v>
      </c>
      <c r="K60" s="20">
        <f t="shared" si="21"/>
        <v>595.4061513555921</v>
      </c>
      <c r="L60" s="20">
        <f t="shared" si="21"/>
        <v>-348.55403570861154</v>
      </c>
    </row>
    <row r="61" spans="1:13" x14ac:dyDescent="0.2">
      <c r="A61" s="4" t="s">
        <v>38</v>
      </c>
      <c r="B61" s="20">
        <f t="shared" si="16"/>
        <v>15327.624431103133</v>
      </c>
      <c r="C61" s="20">
        <f t="shared" ref="C61:L61" si="22">+C46*C30</f>
        <v>0</v>
      </c>
      <c r="D61" s="20">
        <f t="shared" si="22"/>
        <v>598.70798362585595</v>
      </c>
      <c r="E61" s="20">
        <f t="shared" si="22"/>
        <v>12638.01552104216</v>
      </c>
      <c r="F61" s="20">
        <f t="shared" si="22"/>
        <v>4659.653573253805</v>
      </c>
      <c r="G61" s="20">
        <f t="shared" si="22"/>
        <v>857.62100563958415</v>
      </c>
      <c r="H61" s="20">
        <f t="shared" si="22"/>
        <v>-7280.572607864392</v>
      </c>
      <c r="I61" s="20">
        <f t="shared" si="22"/>
        <v>1059.9303811401305</v>
      </c>
      <c r="J61" s="20">
        <f t="shared" si="22"/>
        <v>2669.6663482725307</v>
      </c>
      <c r="K61" s="20">
        <f t="shared" si="22"/>
        <v>462.99426251448273</v>
      </c>
      <c r="L61" s="20">
        <f t="shared" si="22"/>
        <v>-338.39203652102066</v>
      </c>
    </row>
    <row r="62" spans="1:13" x14ac:dyDescent="0.2">
      <c r="A62" s="4" t="s">
        <v>39</v>
      </c>
      <c r="B62" s="20">
        <f t="shared" si="16"/>
        <v>8167.510609536992</v>
      </c>
      <c r="C62" s="20">
        <f t="shared" ref="C62:L62" si="23">+C47*C31</f>
        <v>0</v>
      </c>
      <c r="D62" s="20">
        <f t="shared" si="23"/>
        <v>-5987.0413766717174</v>
      </c>
      <c r="E62" s="20">
        <f t="shared" si="23"/>
        <v>11331.837681210041</v>
      </c>
      <c r="F62" s="20">
        <f t="shared" si="23"/>
        <v>6324.8171231352817</v>
      </c>
      <c r="G62" s="20">
        <f t="shared" si="23"/>
        <v>961.32100701124773</v>
      </c>
      <c r="H62" s="20">
        <f t="shared" si="23"/>
        <v>-7220.169381816705</v>
      </c>
      <c r="I62" s="20">
        <f t="shared" si="23"/>
        <v>1001.9466586605135</v>
      </c>
      <c r="J62" s="20">
        <f t="shared" si="23"/>
        <v>1812.9357666376502</v>
      </c>
      <c r="K62" s="20">
        <f t="shared" si="23"/>
        <v>434.3228964067892</v>
      </c>
      <c r="L62" s="20">
        <f t="shared" si="23"/>
        <v>-492.45976503610842</v>
      </c>
    </row>
    <row r="63" spans="1:13" x14ac:dyDescent="0.2">
      <c r="A63" s="4" t="s">
        <v>40</v>
      </c>
      <c r="B63" s="20">
        <f t="shared" si="16"/>
        <v>9350.9885424439781</v>
      </c>
      <c r="C63" s="20">
        <f t="shared" ref="C63:L63" si="24">+C48*C32</f>
        <v>0</v>
      </c>
      <c r="D63" s="20">
        <f t="shared" si="24"/>
        <v>-4154.5624101377434</v>
      </c>
      <c r="E63" s="20">
        <f t="shared" si="24"/>
        <v>11287.75132878447</v>
      </c>
      <c r="F63" s="20">
        <f t="shared" si="24"/>
        <v>9564.635558027865</v>
      </c>
      <c r="G63" s="20">
        <f t="shared" si="24"/>
        <v>944.82355091731154</v>
      </c>
      <c r="H63" s="20">
        <f t="shared" si="24"/>
        <v>-11001.971461540144</v>
      </c>
      <c r="I63" s="20">
        <f t="shared" si="24"/>
        <v>1232.7352675504674</v>
      </c>
      <c r="J63" s="20">
        <f t="shared" si="24"/>
        <v>1776.0421064774996</v>
      </c>
      <c r="K63" s="20">
        <f t="shared" si="24"/>
        <v>210.24041914557111</v>
      </c>
      <c r="L63" s="20">
        <f t="shared" si="24"/>
        <v>-508.70581678131765</v>
      </c>
    </row>
    <row r="64" spans="1:13" x14ac:dyDescent="0.2">
      <c r="A64" s="4" t="s">
        <v>10</v>
      </c>
      <c r="B64" s="20">
        <f t="shared" si="16"/>
        <v>12876.844605304503</v>
      </c>
      <c r="C64" s="20">
        <f t="shared" ref="C64:L64" si="25">+C49*C33</f>
        <v>0</v>
      </c>
      <c r="D64" s="20">
        <f t="shared" si="25"/>
        <v>-1895.1480776725862</v>
      </c>
      <c r="E64" s="20">
        <f t="shared" si="25"/>
        <v>14903.827895538516</v>
      </c>
      <c r="F64" s="20">
        <f t="shared" si="25"/>
        <v>7884.0417400156239</v>
      </c>
      <c r="G64" s="20">
        <f t="shared" si="25"/>
        <v>966.77255021959741</v>
      </c>
      <c r="H64" s="20">
        <f t="shared" si="25"/>
        <v>-10655.360347702941</v>
      </c>
      <c r="I64" s="20">
        <f t="shared" si="25"/>
        <v>380.48019653061783</v>
      </c>
      <c r="J64" s="20">
        <f t="shared" si="25"/>
        <v>1672.6621347039941</v>
      </c>
      <c r="K64" s="20">
        <f t="shared" si="25"/>
        <v>225.26043781705459</v>
      </c>
      <c r="L64" s="20">
        <f t="shared" si="25"/>
        <v>-605.69192414537201</v>
      </c>
    </row>
    <row r="65" spans="1:13" x14ac:dyDescent="0.2">
      <c r="A65" s="4" t="s">
        <v>41</v>
      </c>
      <c r="B65" s="20">
        <f t="shared" si="16"/>
        <v>8331.0472513930963</v>
      </c>
      <c r="C65" s="20">
        <f t="shared" ref="C65:L65" si="26">+C50*C34</f>
        <v>0</v>
      </c>
      <c r="D65" s="20">
        <f t="shared" si="26"/>
        <v>691.99020373781354</v>
      </c>
      <c r="E65" s="20">
        <f t="shared" si="26"/>
        <v>11692.076475816921</v>
      </c>
      <c r="F65" s="20">
        <f t="shared" si="26"/>
        <v>6600.2745273172213</v>
      </c>
      <c r="G65" s="20">
        <f t="shared" si="26"/>
        <v>816.27129893853578</v>
      </c>
      <c r="H65" s="20">
        <f t="shared" si="26"/>
        <v>-12936.057965684993</v>
      </c>
      <c r="I65" s="20">
        <f t="shared" si="26"/>
        <v>168.21591036943161</v>
      </c>
      <c r="J65" s="20">
        <f t="shared" si="26"/>
        <v>1794.8042388686656</v>
      </c>
      <c r="K65" s="20">
        <f t="shared" si="26"/>
        <v>179.43420154689042</v>
      </c>
      <c r="L65" s="20">
        <f t="shared" si="26"/>
        <v>-675.96163951738924</v>
      </c>
    </row>
    <row r="66" spans="1:13" x14ac:dyDescent="0.2">
      <c r="A66" s="4" t="s">
        <v>42</v>
      </c>
      <c r="B66" s="20">
        <f t="shared" si="16"/>
        <v>11511.411651125902</v>
      </c>
      <c r="C66" s="20">
        <f t="shared" ref="C66:L66" si="27">+C51*C35</f>
        <v>0</v>
      </c>
      <c r="D66" s="20">
        <f t="shared" si="27"/>
        <v>2415.0219467156962</v>
      </c>
      <c r="E66" s="20">
        <f t="shared" si="27"/>
        <v>13900.747099100347</v>
      </c>
      <c r="F66" s="20">
        <f t="shared" si="27"/>
        <v>7063.8387694616686</v>
      </c>
      <c r="G66" s="20">
        <f t="shared" si="27"/>
        <v>613.62419817831437</v>
      </c>
      <c r="H66" s="20">
        <f t="shared" si="27"/>
        <v>-14485.759768792861</v>
      </c>
      <c r="I66" s="20">
        <f t="shared" si="27"/>
        <v>72.469142992114669</v>
      </c>
      <c r="J66" s="20">
        <f t="shared" si="27"/>
        <v>2450.7354843662692</v>
      </c>
      <c r="K66" s="20">
        <f t="shared" si="27"/>
        <v>225.00759190543249</v>
      </c>
      <c r="L66" s="20">
        <f t="shared" si="27"/>
        <v>-744.27281280107832</v>
      </c>
    </row>
    <row r="67" spans="1:13" ht="15" x14ac:dyDescent="0.35">
      <c r="A67" s="4" t="s">
        <v>43</v>
      </c>
      <c r="B67" s="27">
        <f t="shared" si="16"/>
        <v>14952.420746726315</v>
      </c>
      <c r="C67" s="27">
        <f t="shared" ref="C67:L67" si="28">+C52*C36</f>
        <v>0</v>
      </c>
      <c r="D67" s="27">
        <f t="shared" si="28"/>
        <v>3176.526001741955</v>
      </c>
      <c r="E67" s="27">
        <f t="shared" si="28"/>
        <v>15362.476094946818</v>
      </c>
      <c r="F67" s="27">
        <f t="shared" si="28"/>
        <v>6080.9657147527414</v>
      </c>
      <c r="G67" s="27">
        <f t="shared" si="28"/>
        <v>722.38811030142608</v>
      </c>
      <c r="H67" s="27">
        <f t="shared" si="28"/>
        <v>-10475.948691711985</v>
      </c>
      <c r="I67" s="27">
        <f t="shared" si="28"/>
        <v>186.28406482164675</v>
      </c>
      <c r="J67" s="27">
        <f t="shared" si="28"/>
        <v>561.77803453458739</v>
      </c>
      <c r="K67" s="27">
        <f t="shared" si="28"/>
        <v>231.34998614087894</v>
      </c>
      <c r="L67" s="27">
        <f t="shared" si="28"/>
        <v>-893.39856880175194</v>
      </c>
    </row>
    <row r="68" spans="1:13" ht="15" x14ac:dyDescent="0.35">
      <c r="B68" s="39">
        <f t="shared" ref="B68" si="29">SUM(B56:B67)</f>
        <v>149498.84907231436</v>
      </c>
      <c r="C68" s="39">
        <f t="shared" ref="C68" si="30">SUM(C56:C67)</f>
        <v>0</v>
      </c>
      <c r="D68" s="39">
        <f>SUM(D56:D67)</f>
        <v>-3237.0201713486367</v>
      </c>
      <c r="E68" s="39">
        <f t="shared" ref="E68:L68" si="31">SUM(E56:E67)</f>
        <v>154864.98968381132</v>
      </c>
      <c r="F68" s="39">
        <f t="shared" si="31"/>
        <v>76855.812631364926</v>
      </c>
      <c r="G68" s="39">
        <f t="shared" si="31"/>
        <v>10067.343323342582</v>
      </c>
      <c r="H68" s="39">
        <f t="shared" si="31"/>
        <v>-119191.97396049894</v>
      </c>
      <c r="I68" s="39">
        <f t="shared" si="31"/>
        <v>6616.7296606929731</v>
      </c>
      <c r="J68" s="39">
        <f t="shared" si="31"/>
        <v>24672.22341947526</v>
      </c>
      <c r="K68" s="39">
        <f t="shared" si="31"/>
        <v>5192.6943181900779</v>
      </c>
      <c r="L68" s="39">
        <f t="shared" si="31"/>
        <v>-6341.9498327151759</v>
      </c>
    </row>
    <row r="70" spans="1:13" s="6" customFormat="1" ht="15" x14ac:dyDescent="0.35">
      <c r="A70" s="6" t="s">
        <v>111</v>
      </c>
      <c r="C70" s="34" t="e">
        <f t="shared" ref="C70:L70" si="32">+C68/C37</f>
        <v>#DIV/0!</v>
      </c>
      <c r="D70" s="34">
        <f t="shared" si="32"/>
        <v>-0.85223862674724682</v>
      </c>
      <c r="E70" s="34">
        <f t="shared" si="32"/>
        <v>75.592924919798733</v>
      </c>
      <c r="F70" s="34">
        <f t="shared" si="32"/>
        <v>817.69067214012773</v>
      </c>
      <c r="G70" s="34">
        <f t="shared" si="32"/>
        <v>100.45307412020841</v>
      </c>
      <c r="H70" s="34">
        <f t="shared" si="32"/>
        <v>-56.8089827254162</v>
      </c>
      <c r="I70" s="34">
        <f t="shared" si="32"/>
        <v>127.20061179549185</v>
      </c>
      <c r="J70" s="34">
        <f t="shared" si="32"/>
        <v>790.09331388196995</v>
      </c>
      <c r="K70" s="34">
        <f t="shared" si="32"/>
        <v>144.15243485892023</v>
      </c>
      <c r="L70" s="34">
        <f t="shared" si="32"/>
        <v>-187.5</v>
      </c>
      <c r="M70" s="261"/>
    </row>
    <row r="72" spans="1:13" x14ac:dyDescent="0.2">
      <c r="I72" s="222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3" x14ac:dyDescent="0.2">
      <c r="I74" s="17"/>
    </row>
    <row r="76" spans="1:13" x14ac:dyDescent="0.2">
      <c r="B76" s="2"/>
    </row>
    <row r="77" spans="1:13" x14ac:dyDescent="0.2">
      <c r="B77" s="2"/>
    </row>
    <row r="78" spans="1:13" x14ac:dyDescent="0.2">
      <c r="B78" s="41"/>
    </row>
    <row r="79" spans="1:13" x14ac:dyDescent="0.2">
      <c r="B79" s="41"/>
    </row>
    <row r="80" spans="1:13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CFAC-4FCF-4519-B0B0-1C3A9A3581EA}">
  <dimension ref="A1:AA20"/>
  <sheetViews>
    <sheetView workbookViewId="0">
      <selection activeCell="A16" sqref="A16"/>
    </sheetView>
  </sheetViews>
  <sheetFormatPr defaultRowHeight="12.75" x14ac:dyDescent="0.2"/>
  <cols>
    <col min="1" max="1" width="19.85546875" bestFit="1" customWidth="1"/>
    <col min="2" max="17" width="9.28515625" bestFit="1" customWidth="1"/>
    <col min="18" max="18" width="9.85546875" bestFit="1" customWidth="1"/>
    <col min="19" max="25" width="9.28515625" bestFit="1" customWidth="1"/>
    <col min="26" max="26" width="10.28515625" bestFit="1" customWidth="1"/>
    <col min="27" max="27" width="9.28515625" bestFit="1" customWidth="1"/>
  </cols>
  <sheetData>
    <row r="1" spans="1:27" ht="20.25" x14ac:dyDescent="0.3">
      <c r="A1" s="456" t="s">
        <v>139</v>
      </c>
    </row>
    <row r="2" spans="1:27" x14ac:dyDescent="0.2">
      <c r="A2" s="372"/>
    </row>
    <row r="3" spans="1:27" x14ac:dyDescent="0.2">
      <c r="A3" s="372"/>
      <c r="B3" s="493">
        <v>43709</v>
      </c>
      <c r="C3" s="493"/>
      <c r="D3" s="493">
        <v>43739</v>
      </c>
      <c r="E3" s="493"/>
      <c r="F3" s="493">
        <v>43770</v>
      </c>
      <c r="G3" s="493"/>
      <c r="H3" s="493">
        <v>43800</v>
      </c>
      <c r="I3" s="493"/>
      <c r="J3" s="493">
        <v>43831</v>
      </c>
      <c r="K3" s="493"/>
      <c r="L3" s="493">
        <v>43862</v>
      </c>
      <c r="M3" s="493"/>
      <c r="N3" s="493">
        <v>43891</v>
      </c>
      <c r="O3" s="493"/>
      <c r="P3" s="493">
        <v>43922</v>
      </c>
      <c r="Q3" s="493"/>
      <c r="R3" s="493">
        <v>43952</v>
      </c>
      <c r="S3" s="493"/>
      <c r="T3" s="493">
        <v>43983</v>
      </c>
      <c r="U3" s="493"/>
      <c r="V3" s="493">
        <v>44013</v>
      </c>
      <c r="W3" s="493"/>
      <c r="X3" s="493">
        <v>44044</v>
      </c>
      <c r="Y3" s="493"/>
      <c r="Z3" s="493" t="s">
        <v>22</v>
      </c>
      <c r="AA3" s="493"/>
    </row>
    <row r="4" spans="1:27" x14ac:dyDescent="0.2">
      <c r="A4" s="372"/>
      <c r="B4" s="441" t="s">
        <v>0</v>
      </c>
      <c r="C4" s="441" t="s">
        <v>94</v>
      </c>
      <c r="D4" s="441" t="s">
        <v>0</v>
      </c>
      <c r="E4" s="441" t="s">
        <v>94</v>
      </c>
      <c r="F4" s="441" t="s">
        <v>0</v>
      </c>
      <c r="G4" s="441" t="s">
        <v>94</v>
      </c>
      <c r="H4" s="441" t="s">
        <v>0</v>
      </c>
      <c r="I4" s="441" t="s">
        <v>94</v>
      </c>
      <c r="J4" s="441" t="s">
        <v>0</v>
      </c>
      <c r="K4" s="441" t="s">
        <v>94</v>
      </c>
      <c r="L4" s="441" t="s">
        <v>0</v>
      </c>
      <c r="M4" s="441" t="s">
        <v>94</v>
      </c>
      <c r="N4" s="441" t="s">
        <v>0</v>
      </c>
      <c r="O4" s="441" t="s">
        <v>94</v>
      </c>
      <c r="P4" s="441" t="s">
        <v>0</v>
      </c>
      <c r="Q4" s="441" t="s">
        <v>94</v>
      </c>
      <c r="R4" s="441" t="s">
        <v>0</v>
      </c>
      <c r="S4" s="441" t="s">
        <v>94</v>
      </c>
      <c r="T4" s="441" t="s">
        <v>0</v>
      </c>
      <c r="U4" s="441" t="s">
        <v>94</v>
      </c>
      <c r="V4" s="441" t="s">
        <v>0</v>
      </c>
      <c r="W4" s="441" t="s">
        <v>94</v>
      </c>
      <c r="X4" s="441" t="s">
        <v>0</v>
      </c>
      <c r="Y4" s="441" t="s">
        <v>94</v>
      </c>
      <c r="Z4" s="441" t="s">
        <v>0</v>
      </c>
      <c r="AA4" s="441" t="s">
        <v>94</v>
      </c>
    </row>
    <row r="5" spans="1:27" s="444" customFormat="1" x14ac:dyDescent="0.2">
      <c r="A5" s="439" t="s">
        <v>99</v>
      </c>
      <c r="B5" s="442">
        <v>0</v>
      </c>
      <c r="C5" s="440">
        <f>+B5/B$16</f>
        <v>0</v>
      </c>
      <c r="D5" s="442">
        <v>0</v>
      </c>
      <c r="E5" s="440">
        <f>+D5/D$16</f>
        <v>0</v>
      </c>
      <c r="F5" s="442">
        <v>0</v>
      </c>
      <c r="G5" s="440">
        <f>+F5/F$16</f>
        <v>0</v>
      </c>
      <c r="H5" s="442">
        <v>0</v>
      </c>
      <c r="I5" s="440">
        <f>+H5/H$16</f>
        <v>0</v>
      </c>
      <c r="J5" s="442">
        <v>0</v>
      </c>
      <c r="K5" s="440">
        <f>+J5/J$16</f>
        <v>0</v>
      </c>
      <c r="L5" s="443">
        <v>0</v>
      </c>
      <c r="M5" s="440">
        <f>+L5/L$16</f>
        <v>0</v>
      </c>
      <c r="N5" s="442">
        <v>0</v>
      </c>
      <c r="O5" s="440">
        <f>+N5/N$16</f>
        <v>0</v>
      </c>
      <c r="P5" s="442">
        <v>0</v>
      </c>
      <c r="Q5" s="440">
        <f>+P5/P$16</f>
        <v>0</v>
      </c>
      <c r="R5" s="442">
        <v>0</v>
      </c>
      <c r="S5" s="440">
        <f>+R5/R$16</f>
        <v>0</v>
      </c>
      <c r="T5" s="442">
        <v>0</v>
      </c>
      <c r="U5" s="440">
        <f>+T5/T$16</f>
        <v>0</v>
      </c>
      <c r="V5" s="442">
        <v>0</v>
      </c>
      <c r="W5" s="440">
        <f>+V5/V$16</f>
        <v>0</v>
      </c>
      <c r="X5" s="442">
        <f>+V5</f>
        <v>0</v>
      </c>
      <c r="Y5" s="440">
        <f>+X5/X$16</f>
        <v>0</v>
      </c>
      <c r="Z5" s="442">
        <f>+X5+V5+T5+R5+P5+N5+L5+J5+H5+F5+D5+B5</f>
        <v>0</v>
      </c>
      <c r="AA5" s="440">
        <f>+Z5/Z$16</f>
        <v>0</v>
      </c>
    </row>
    <row r="6" spans="1:27" s="444" customFormat="1" x14ac:dyDescent="0.2">
      <c r="A6" s="439" t="s">
        <v>140</v>
      </c>
      <c r="B6" s="442">
        <v>2540.0027529931258</v>
      </c>
      <c r="C6" s="440">
        <f t="shared" ref="C6:E15" si="0">+B6/B$16</f>
        <v>0.33210744484292809</v>
      </c>
      <c r="D6" s="442">
        <v>2379.1927858110125</v>
      </c>
      <c r="E6" s="440">
        <f t="shared" si="0"/>
        <v>0.30872960409494554</v>
      </c>
      <c r="F6" s="442">
        <v>2565.5818694978334</v>
      </c>
      <c r="G6" s="440">
        <f t="shared" ref="G6" si="1">+F6/F$16</f>
        <v>0.35549842167274731</v>
      </c>
      <c r="H6" s="442">
        <v>3250.0548423570476</v>
      </c>
      <c r="I6" s="440">
        <f t="shared" ref="I6" si="2">+H6/H$16</f>
        <v>0.38563459339255646</v>
      </c>
      <c r="J6" s="442">
        <v>3279.3047940652023</v>
      </c>
      <c r="K6" s="440">
        <f t="shared" ref="K6" si="3">+J6/J$16</f>
        <v>0.3672588509370322</v>
      </c>
      <c r="L6" s="443">
        <v>2739.0284352215635</v>
      </c>
      <c r="M6" s="440">
        <f t="shared" ref="M6" si="4">+L6/L$16</f>
        <v>0.3831179895691525</v>
      </c>
      <c r="N6" s="442">
        <v>3412.02944184941</v>
      </c>
      <c r="O6" s="440">
        <f t="shared" ref="O6" si="5">+N6/N$16</f>
        <v>0.43620922917573007</v>
      </c>
      <c r="P6" s="442">
        <v>3429.9354454287923</v>
      </c>
      <c r="Q6" s="440">
        <f t="shared" ref="Q6:U6" si="6">+P6/P$16</f>
        <v>0.41806893775614512</v>
      </c>
      <c r="R6" s="442">
        <v>3126.4165442946241</v>
      </c>
      <c r="S6" s="440">
        <f t="shared" si="6"/>
        <v>0.39530224015660886</v>
      </c>
      <c r="T6" s="442">
        <v>3008.1110416052693</v>
      </c>
      <c r="U6" s="440">
        <f t="shared" si="6"/>
        <v>0.35664075714142701</v>
      </c>
      <c r="V6" s="442">
        <v>3313.5397184971939</v>
      </c>
      <c r="W6" s="440">
        <f t="shared" ref="W6:W15" si="7">+V6/V$16</f>
        <v>0.391684864853033</v>
      </c>
      <c r="X6" s="442">
        <v>2784.57</v>
      </c>
      <c r="Y6" s="440">
        <f t="shared" ref="Y6:Y15" si="8">+X6/X$16</f>
        <v>0.36236331197857496</v>
      </c>
      <c r="Z6" s="442">
        <f t="shared" ref="Z6:Z15" si="9">+X6+V6+T6+R6+P6+N6+L6+J6+H6+F6+D6+B6</f>
        <v>35827.767671621077</v>
      </c>
      <c r="AA6" s="440">
        <f t="shared" ref="AA6:AA15" si="10">+Z6/Z$16</f>
        <v>0.37480054948553426</v>
      </c>
    </row>
    <row r="7" spans="1:27" s="444" customFormat="1" x14ac:dyDescent="0.2">
      <c r="A7" s="439" t="s">
        <v>50</v>
      </c>
      <c r="B7" s="442">
        <v>1808.391087775218</v>
      </c>
      <c r="C7" s="440">
        <f t="shared" si="0"/>
        <v>0.23644861909304252</v>
      </c>
      <c r="D7" s="442">
        <v>2057.2166006991879</v>
      </c>
      <c r="E7" s="440">
        <f t="shared" si="0"/>
        <v>0.2669492234757726</v>
      </c>
      <c r="F7" s="442">
        <v>1852.5743955589733</v>
      </c>
      <c r="G7" s="440">
        <f t="shared" ref="G7" si="11">+F7/F$16</f>
        <v>0.25670093848202374</v>
      </c>
      <c r="H7" s="442">
        <v>1969.9456958750391</v>
      </c>
      <c r="I7" s="440">
        <f t="shared" ref="I7" si="12">+H7/H$16</f>
        <v>0.23374350411983905</v>
      </c>
      <c r="J7" s="442">
        <v>1864.3212589024279</v>
      </c>
      <c r="K7" s="440">
        <f t="shared" ref="K7" si="13">+J7/J$16</f>
        <v>0.20879074264798983</v>
      </c>
      <c r="L7" s="443">
        <v>1539.4354252349403</v>
      </c>
      <c r="M7" s="440">
        <f t="shared" ref="M7" si="14">+L7/L$16</f>
        <v>0.2153264995731361</v>
      </c>
      <c r="N7" s="442">
        <v>1359.4634670521564</v>
      </c>
      <c r="O7" s="440">
        <f t="shared" ref="O7" si="15">+N7/N$16</f>
        <v>0.17379993964353349</v>
      </c>
      <c r="P7" s="442">
        <v>1190.7393234522667</v>
      </c>
      <c r="Q7" s="440">
        <f t="shared" ref="Q7:U7" si="16">+P7/P$16</f>
        <v>0.14513717007811683</v>
      </c>
      <c r="R7" s="442">
        <v>1195.6077769896681</v>
      </c>
      <c r="S7" s="440">
        <f t="shared" si="16"/>
        <v>0.15117193307308066</v>
      </c>
      <c r="T7" s="442">
        <v>1487.1396017808277</v>
      </c>
      <c r="U7" s="440">
        <f t="shared" si="16"/>
        <v>0.17631483220482508</v>
      </c>
      <c r="V7" s="442">
        <v>1480.7610692418434</v>
      </c>
      <c r="W7" s="440">
        <f t="shared" si="7"/>
        <v>0.17503689364214733</v>
      </c>
      <c r="X7" s="442">
        <v>1620.11</v>
      </c>
      <c r="Y7" s="440">
        <f t="shared" si="8"/>
        <v>0.21082911378403454</v>
      </c>
      <c r="Z7" s="442">
        <f t="shared" si="9"/>
        <v>19425.705702562547</v>
      </c>
      <c r="AA7" s="440">
        <f t="shared" si="10"/>
        <v>0.20321570794464436</v>
      </c>
    </row>
    <row r="8" spans="1:27" s="444" customFormat="1" x14ac:dyDescent="0.2">
      <c r="A8" s="439" t="s">
        <v>51</v>
      </c>
      <c r="B8" s="442">
        <v>57.963782674535587</v>
      </c>
      <c r="C8" s="440">
        <f t="shared" si="0"/>
        <v>7.5788121626192964E-3</v>
      </c>
      <c r="D8" s="445">
        <v>60.144038380576617</v>
      </c>
      <c r="E8" s="440">
        <f t="shared" si="0"/>
        <v>7.804430674405032E-3</v>
      </c>
      <c r="F8" s="442">
        <v>85.632200536100783</v>
      </c>
      <c r="G8" s="440">
        <f t="shared" ref="G8" si="17">+F8/F$16</f>
        <v>1.1865578135265864E-2</v>
      </c>
      <c r="H8" s="445">
        <v>52.985604687451819</v>
      </c>
      <c r="I8" s="440">
        <f t="shared" ref="I8" si="18">+H8/H$16</f>
        <v>6.2869961001905637E-3</v>
      </c>
      <c r="J8" s="442">
        <v>60.980042446298135</v>
      </c>
      <c r="K8" s="440">
        <f t="shared" ref="K8" si="19">+J8/J$16</f>
        <v>6.8293317411207413E-3</v>
      </c>
      <c r="L8" s="443">
        <v>55.484999567819884</v>
      </c>
      <c r="M8" s="440">
        <f t="shared" ref="M8" si="20">+L8/L$16</f>
        <v>7.7608911292477755E-3</v>
      </c>
      <c r="N8" s="445">
        <v>74.777721695934289</v>
      </c>
      <c r="O8" s="440">
        <f t="shared" ref="O8" si="21">+N8/N$16</f>
        <v>9.5599211250711105E-3</v>
      </c>
      <c r="P8" s="442">
        <v>104.47232613760886</v>
      </c>
      <c r="Q8" s="440">
        <f t="shared" ref="Q8:U8" si="22">+P8/P$16</f>
        <v>1.2733952317228955E-2</v>
      </c>
      <c r="R8" s="442">
        <v>100.71036356868134</v>
      </c>
      <c r="S8" s="440">
        <f t="shared" si="22"/>
        <v>1.2733758205808224E-2</v>
      </c>
      <c r="T8" s="442">
        <v>88.58479984330009</v>
      </c>
      <c r="U8" s="440">
        <f t="shared" si="22"/>
        <v>1.0502587720457562E-2</v>
      </c>
      <c r="V8" s="442">
        <v>76.919414783428124</v>
      </c>
      <c r="W8" s="440">
        <f t="shared" si="7"/>
        <v>9.0924428688259739E-3</v>
      </c>
      <c r="X8" s="442">
        <v>64.290000000000006</v>
      </c>
      <c r="Y8" s="440">
        <f t="shared" si="8"/>
        <v>8.3662243459861254E-3</v>
      </c>
      <c r="Z8" s="442">
        <f t="shared" si="9"/>
        <v>882.94529432173545</v>
      </c>
      <c r="AA8" s="440">
        <f t="shared" si="10"/>
        <v>9.2366452889438393E-3</v>
      </c>
    </row>
    <row r="9" spans="1:27" s="444" customFormat="1" x14ac:dyDescent="0.2">
      <c r="A9" s="439" t="s">
        <v>4</v>
      </c>
      <c r="B9" s="442">
        <v>1700.5399630566037</v>
      </c>
      <c r="C9" s="440">
        <f t="shared" si="0"/>
        <v>0.22234699600955293</v>
      </c>
      <c r="D9" s="445">
        <v>1750.5816545149539</v>
      </c>
      <c r="E9" s="440">
        <f t="shared" si="0"/>
        <v>0.22715955779516506</v>
      </c>
      <c r="F9" s="442">
        <v>1230.2020306775223</v>
      </c>
      <c r="G9" s="440">
        <f t="shared" ref="G9" si="23">+F9/F$16</f>
        <v>0.17046225865716313</v>
      </c>
      <c r="H9" s="445">
        <v>1632.9760951158146</v>
      </c>
      <c r="I9" s="440">
        <f t="shared" ref="I9" si="24">+H9/H$16</f>
        <v>0.19376044497853739</v>
      </c>
      <c r="J9" s="442">
        <v>1876.7315942315606</v>
      </c>
      <c r="K9" s="440">
        <f t="shared" ref="K9" si="25">+J9/J$16</f>
        <v>0.21018061208036745</v>
      </c>
      <c r="L9" s="446">
        <v>1298.8450766661888</v>
      </c>
      <c r="M9" s="440">
        <f t="shared" ref="M9" si="26">+L9/L$16</f>
        <v>0.18167424190829531</v>
      </c>
      <c r="N9" s="445">
        <v>1332.2545821809274</v>
      </c>
      <c r="O9" s="440">
        <f t="shared" ref="O9" si="27">+N9/N$16</f>
        <v>0.17032143311283462</v>
      </c>
      <c r="P9" s="442">
        <v>1629.9782906871467</v>
      </c>
      <c r="Q9" s="440">
        <f t="shared" ref="Q9:U9" si="28">+P9/P$16</f>
        <v>0.1986752530463331</v>
      </c>
      <c r="R9" s="442">
        <v>1769.6733335831202</v>
      </c>
      <c r="S9" s="440">
        <f t="shared" si="28"/>
        <v>0.22375643910515883</v>
      </c>
      <c r="T9" s="442">
        <v>2001.3847407470928</v>
      </c>
      <c r="U9" s="440">
        <f t="shared" si="28"/>
        <v>0.23728358408286609</v>
      </c>
      <c r="V9" s="442">
        <v>2012.5636535838159</v>
      </c>
      <c r="W9" s="440">
        <f t="shared" si="7"/>
        <v>0.237899886415009</v>
      </c>
      <c r="X9" s="442">
        <v>1537.3</v>
      </c>
      <c r="Y9" s="440">
        <f t="shared" si="8"/>
        <v>0.20005283383239181</v>
      </c>
      <c r="Z9" s="442">
        <f t="shared" si="9"/>
        <v>19773.031015044748</v>
      </c>
      <c r="AA9" s="440">
        <f t="shared" si="10"/>
        <v>0.2068491388399685</v>
      </c>
    </row>
    <row r="10" spans="1:27" s="444" customFormat="1" x14ac:dyDescent="0.2">
      <c r="A10" s="439" t="s">
        <v>3</v>
      </c>
      <c r="B10" s="442">
        <v>59.841353163102589</v>
      </c>
      <c r="C10" s="440">
        <f t="shared" si="0"/>
        <v>7.8243060451498106E-3</v>
      </c>
      <c r="D10" s="445">
        <v>40.456774692149274</v>
      </c>
      <c r="E10" s="440">
        <f t="shared" si="0"/>
        <v>5.2497654280706102E-3</v>
      </c>
      <c r="F10" s="442">
        <v>57.999378186939623</v>
      </c>
      <c r="G10" s="440">
        <f t="shared" ref="G10" si="29">+F10/F$16</f>
        <v>8.0366515091929384E-3</v>
      </c>
      <c r="H10" s="445">
        <v>22.41529870124214</v>
      </c>
      <c r="I10" s="440">
        <f t="shared" ref="I10" si="30">+H10/H$16</f>
        <v>2.6596826883564873E-3</v>
      </c>
      <c r="J10" s="442">
        <v>33.091692067214346</v>
      </c>
      <c r="K10" s="440">
        <f t="shared" ref="K10" si="31">+J10/J$16</f>
        <v>3.706034530904785E-3</v>
      </c>
      <c r="L10" s="446">
        <v>56.03374663080772</v>
      </c>
      <c r="M10" s="440">
        <f t="shared" ref="M10" si="32">+L10/L$16</f>
        <v>7.8376464008800221E-3</v>
      </c>
      <c r="N10" s="445">
        <v>54.785413533447404</v>
      </c>
      <c r="O10" s="440">
        <f t="shared" ref="O10" si="33">+N10/N$16</f>
        <v>7.0040143013963586E-3</v>
      </c>
      <c r="P10" s="442">
        <v>73.004812884971102</v>
      </c>
      <c r="Q10" s="440">
        <f t="shared" ref="Q10:U10" si="34">+P10/P$16</f>
        <v>8.8984311977598832E-3</v>
      </c>
      <c r="R10" s="442">
        <v>25.927860512504214</v>
      </c>
      <c r="S10" s="440">
        <f t="shared" si="34"/>
        <v>3.2783031940401379E-3</v>
      </c>
      <c r="T10" s="442">
        <v>18.648232757613346</v>
      </c>
      <c r="U10" s="440">
        <f t="shared" si="34"/>
        <v>2.2109289710514307E-3</v>
      </c>
      <c r="V10" s="442">
        <v>8.2913356036318966</v>
      </c>
      <c r="W10" s="440">
        <f t="shared" si="7"/>
        <v>9.8009709895150918E-4</v>
      </c>
      <c r="X10" s="442">
        <v>41.33</v>
      </c>
      <c r="Y10" s="440">
        <f t="shared" si="8"/>
        <v>5.3783800314140071E-3</v>
      </c>
      <c r="Z10" s="442">
        <f t="shared" si="9"/>
        <v>491.82589873362372</v>
      </c>
      <c r="AA10" s="440">
        <f t="shared" si="10"/>
        <v>5.1450768238231774E-3</v>
      </c>
    </row>
    <row r="11" spans="1:27" s="444" customFormat="1" x14ac:dyDescent="0.2">
      <c r="A11" s="439" t="s">
        <v>141</v>
      </c>
      <c r="B11" s="442">
        <v>23.811935233004306</v>
      </c>
      <c r="C11" s="440">
        <f t="shared" si="0"/>
        <v>3.1134300770656511E-3</v>
      </c>
      <c r="D11" s="445">
        <v>28.462232981060076</v>
      </c>
      <c r="E11" s="440">
        <f t="shared" si="0"/>
        <v>3.6933257247186236E-3</v>
      </c>
      <c r="F11" s="442">
        <v>19.01889541741016</v>
      </c>
      <c r="G11" s="440">
        <f t="shared" ref="G11" si="35">+F11/F$16</f>
        <v>2.6353426422411302E-3</v>
      </c>
      <c r="H11" s="445">
        <v>22.512891724820783</v>
      </c>
      <c r="I11" s="440">
        <f t="shared" ref="I11" si="36">+H11/H$16</f>
        <v>2.6712625686327244E-3</v>
      </c>
      <c r="J11" s="442">
        <v>43.251189356874569</v>
      </c>
      <c r="K11" s="440">
        <f t="shared" ref="K11" si="37">+J11/J$16</f>
        <v>4.8438260858255323E-3</v>
      </c>
      <c r="L11" s="446">
        <v>23.682501944023574</v>
      </c>
      <c r="M11" s="440">
        <f t="shared" ref="M11" si="38">+L11/L$16</f>
        <v>3.312558721949856E-3</v>
      </c>
      <c r="N11" s="445">
        <v>27.459262864189892</v>
      </c>
      <c r="O11" s="440">
        <f t="shared" ref="O11" si="39">+N11/N$16</f>
        <v>3.5105159823092384E-3</v>
      </c>
      <c r="P11" s="442">
        <v>23.201564750835132</v>
      </c>
      <c r="Q11" s="440">
        <f t="shared" ref="Q11:U11" si="40">+P11/P$16</f>
        <v>2.8279988600337755E-3</v>
      </c>
      <c r="R11" s="442">
        <v>23.152944366909381</v>
      </c>
      <c r="S11" s="440">
        <f t="shared" si="40"/>
        <v>2.9274444543107305E-3</v>
      </c>
      <c r="T11" s="442">
        <v>24.839372503200384</v>
      </c>
      <c r="U11" s="440">
        <f t="shared" si="40"/>
        <v>2.9449486717524538E-3</v>
      </c>
      <c r="V11" s="442">
        <v>29.416511720534515</v>
      </c>
      <c r="W11" s="440">
        <f t="shared" si="7"/>
        <v>3.4772489230733756E-3</v>
      </c>
      <c r="X11" s="442">
        <v>6.7</v>
      </c>
      <c r="Y11" s="440">
        <f t="shared" si="8"/>
        <v>8.7188836705719456E-4</v>
      </c>
      <c r="Z11" s="442">
        <f t="shared" si="9"/>
        <v>295.50930286286274</v>
      </c>
      <c r="AA11" s="440">
        <f t="shared" si="10"/>
        <v>3.0913745479827369E-3</v>
      </c>
    </row>
    <row r="12" spans="1:27" s="444" customFormat="1" x14ac:dyDescent="0.2">
      <c r="A12" s="439" t="s">
        <v>142</v>
      </c>
      <c r="B12" s="442">
        <v>25.594727802671578</v>
      </c>
      <c r="C12" s="440">
        <f t="shared" si="0"/>
        <v>3.3465316689042634E-3</v>
      </c>
      <c r="D12" s="445">
        <v>28.857152866493593</v>
      </c>
      <c r="E12" s="440">
        <f t="shared" si="0"/>
        <v>3.7445714499941187E-3</v>
      </c>
      <c r="F12" s="442">
        <v>34.092225140277634</v>
      </c>
      <c r="G12" s="440">
        <f t="shared" ref="G12" si="41">+F12/F$16</f>
        <v>4.7239701733053155E-3</v>
      </c>
      <c r="H12" s="445">
        <v>8.3880081604308874</v>
      </c>
      <c r="I12" s="440">
        <f t="shared" ref="I12" si="42">+H12/H$16</f>
        <v>9.9527739475783572E-4</v>
      </c>
      <c r="J12" s="442">
        <v>22.52545934487275</v>
      </c>
      <c r="K12" s="440">
        <f t="shared" ref="K12" si="43">+J12/J$16</f>
        <v>2.522691495709232E-3</v>
      </c>
      <c r="L12" s="446">
        <v>27.535974641576345</v>
      </c>
      <c r="M12" s="440">
        <f t="shared" ref="M12" si="44">+L12/L$16</f>
        <v>3.8515581327488221E-3</v>
      </c>
      <c r="N12" s="445">
        <v>28.497995514253599</v>
      </c>
      <c r="O12" s="440">
        <f t="shared" ref="O12" si="45">+N12/N$16</f>
        <v>3.6433122480877536E-3</v>
      </c>
      <c r="P12" s="442">
        <v>31.127045004315882</v>
      </c>
      <c r="Q12" s="440">
        <f t="shared" ref="Q12:U12" si="46">+P12/P$16</f>
        <v>3.7940220297105966E-3</v>
      </c>
      <c r="R12" s="442">
        <v>33.259188621604089</v>
      </c>
      <c r="S12" s="440">
        <f t="shared" si="46"/>
        <v>4.2052719404597413E-3</v>
      </c>
      <c r="T12" s="442">
        <v>29.380307216258764</v>
      </c>
      <c r="U12" s="440">
        <f t="shared" si="46"/>
        <v>3.4833205509137689E-3</v>
      </c>
      <c r="V12" s="442">
        <v>33.084760353496705</v>
      </c>
      <c r="W12" s="440">
        <f t="shared" si="7"/>
        <v>3.9108630011025223E-3</v>
      </c>
      <c r="X12" s="442">
        <v>35.93</v>
      </c>
      <c r="Y12" s="440">
        <f t="shared" si="8"/>
        <v>4.6756640340843286E-3</v>
      </c>
      <c r="Z12" s="442">
        <f t="shared" si="9"/>
        <v>338.27284466625184</v>
      </c>
      <c r="AA12" s="440">
        <f t="shared" si="10"/>
        <v>3.5387314448109297E-3</v>
      </c>
    </row>
    <row r="13" spans="1:27" s="444" customFormat="1" x14ac:dyDescent="0.2">
      <c r="A13" s="439" t="s">
        <v>143</v>
      </c>
      <c r="B13" s="442">
        <v>28.161231075135525</v>
      </c>
      <c r="C13" s="440">
        <f t="shared" si="0"/>
        <v>3.6821040784201999E-3</v>
      </c>
      <c r="D13" s="445">
        <v>21.196721539123793</v>
      </c>
      <c r="E13" s="440">
        <f t="shared" si="0"/>
        <v>2.7505360170524281E-3</v>
      </c>
      <c r="F13" s="442">
        <v>20.450273290076346</v>
      </c>
      <c r="G13" s="440">
        <f t="shared" ref="G13" si="47">+F13/F$16</f>
        <v>2.8336807193065573E-3</v>
      </c>
      <c r="H13" s="445">
        <v>19.294114007988167</v>
      </c>
      <c r="I13" s="440">
        <f t="shared" ref="I13" si="48">+H13/H$16</f>
        <v>2.2893391561799197E-3</v>
      </c>
      <c r="J13" s="442">
        <v>18.285318534670619</v>
      </c>
      <c r="K13" s="440">
        <f t="shared" ref="K13" si="49">+J13/J$16</f>
        <v>2.0478258337603083E-3</v>
      </c>
      <c r="L13" s="446">
        <v>17.173692739394433</v>
      </c>
      <c r="M13" s="440">
        <f t="shared" ref="M13" si="50">+L13/L$16</f>
        <v>2.4021476196405085E-3</v>
      </c>
      <c r="N13" s="445">
        <v>25.850106068191202</v>
      </c>
      <c r="O13" s="440">
        <f t="shared" ref="O13" si="51">+N13/N$16</f>
        <v>3.3047941215901783E-3</v>
      </c>
      <c r="P13" s="442">
        <v>24.101183081368166</v>
      </c>
      <c r="Q13" s="440">
        <f t="shared" ref="Q13:U13" si="52">+P13/P$16</f>
        <v>2.9376517925206384E-3</v>
      </c>
      <c r="R13" s="442">
        <v>28.617288890249075</v>
      </c>
      <c r="S13" s="440">
        <f t="shared" si="52"/>
        <v>3.6183529114725155E-3</v>
      </c>
      <c r="T13" s="442">
        <v>35.417926730517053</v>
      </c>
      <c r="U13" s="440">
        <f t="shared" si="52"/>
        <v>4.1991389383054288E-3</v>
      </c>
      <c r="V13" s="442">
        <v>35.019743027331444</v>
      </c>
      <c r="W13" s="440">
        <f t="shared" si="7"/>
        <v>4.1395922427841809E-3</v>
      </c>
      <c r="X13" s="442">
        <v>44.4</v>
      </c>
      <c r="Y13" s="440">
        <f t="shared" si="8"/>
        <v>5.7778870891551396E-3</v>
      </c>
      <c r="Z13" s="442">
        <f t="shared" si="9"/>
        <v>317.96759898404576</v>
      </c>
      <c r="AA13" s="440">
        <f t="shared" si="10"/>
        <v>3.3263147151703118E-3</v>
      </c>
    </row>
    <row r="14" spans="1:27" s="444" customFormat="1" x14ac:dyDescent="0.2">
      <c r="A14" s="439" t="s">
        <v>144</v>
      </c>
      <c r="B14" s="442">
        <v>62.70813922881279</v>
      </c>
      <c r="C14" s="440">
        <f t="shared" si="0"/>
        <v>8.1991406763612905E-3</v>
      </c>
      <c r="D14" s="445">
        <v>82.358416335135558</v>
      </c>
      <c r="E14" s="440">
        <f t="shared" si="0"/>
        <v>1.0687020161069373E-2</v>
      </c>
      <c r="F14" s="442">
        <v>51.40035881617122</v>
      </c>
      <c r="G14" s="440">
        <f t="shared" ref="G14" si="53">+F14/F$16</f>
        <v>7.1222620684243893E-3</v>
      </c>
      <c r="H14" s="445">
        <v>86.222950097151127</v>
      </c>
      <c r="I14" s="440">
        <f t="shared" ref="I14" si="54">+H14/H$16</f>
        <v>1.023076652999097E-2</v>
      </c>
      <c r="J14" s="442">
        <v>94.071962740017781</v>
      </c>
      <c r="K14" s="440">
        <f t="shared" ref="K14" si="55">+J14/J$16</f>
        <v>1.0535391831773508E-2</v>
      </c>
      <c r="L14" s="446">
        <v>74.176885675617271</v>
      </c>
      <c r="M14" s="440">
        <f t="shared" ref="M14" si="56">+L14/L$16</f>
        <v>1.0375394043780543E-2</v>
      </c>
      <c r="N14" s="445">
        <v>79.441881090290963</v>
      </c>
      <c r="O14" s="440">
        <f t="shared" ref="O14" si="57">+N14/N$16</f>
        <v>1.0156208293408757E-2</v>
      </c>
      <c r="P14" s="442">
        <v>107.26037083386107</v>
      </c>
      <c r="Q14" s="440">
        <f t="shared" ref="Q14:U14" si="58">+P14/P$16</f>
        <v>1.3073782294534285E-2</v>
      </c>
      <c r="R14" s="442">
        <v>95.097772597330646</v>
      </c>
      <c r="S14" s="440">
        <f t="shared" si="58"/>
        <v>1.2024105556321539E-2</v>
      </c>
      <c r="T14" s="442">
        <v>84.860400001531929</v>
      </c>
      <c r="U14" s="440">
        <f t="shared" si="58"/>
        <v>1.0061023974607017E-2</v>
      </c>
      <c r="V14" s="442">
        <v>60.264720929343454</v>
      </c>
      <c r="W14" s="440">
        <f t="shared" si="7"/>
        <v>7.123735062189396E-3</v>
      </c>
      <c r="X14" s="442">
        <v>67.12</v>
      </c>
      <c r="Y14" s="440">
        <f t="shared" si="8"/>
        <v>8.7344995816237159E-3</v>
      </c>
      <c r="Z14" s="442">
        <f t="shared" si="9"/>
        <v>944.9838583452638</v>
      </c>
      <c r="AA14" s="440">
        <f t="shared" si="10"/>
        <v>9.885641567428969E-3</v>
      </c>
    </row>
    <row r="15" spans="1:27" s="444" customFormat="1" ht="15" x14ac:dyDescent="0.35">
      <c r="A15" s="439" t="s">
        <v>87</v>
      </c>
      <c r="B15" s="448">
        <v>1341.1205699827826</v>
      </c>
      <c r="C15" s="450">
        <f t="shared" si="0"/>
        <v>0.17535261534595614</v>
      </c>
      <c r="D15" s="447">
        <v>1257.9302691287633</v>
      </c>
      <c r="E15" s="450">
        <f t="shared" si="0"/>
        <v>0.16323196517880673</v>
      </c>
      <c r="F15" s="448">
        <v>1299.9070509731087</v>
      </c>
      <c r="G15" s="450">
        <f t="shared" ref="G15" si="59">+F15/F$16</f>
        <v>0.18012089594032962</v>
      </c>
      <c r="H15" s="447">
        <v>1363.01387644851</v>
      </c>
      <c r="I15" s="450">
        <f t="shared" ref="I15" si="60">+H15/H$16</f>
        <v>0.1617281330709584</v>
      </c>
      <c r="J15" s="448">
        <v>1636.5742317582492</v>
      </c>
      <c r="K15" s="450">
        <f t="shared" ref="K15" si="61">+J15/J$16</f>
        <v>0.18328469281551638</v>
      </c>
      <c r="L15" s="451">
        <v>1317.9110723131819</v>
      </c>
      <c r="M15" s="450">
        <f t="shared" ref="M15" si="62">+L15/L$16</f>
        <v>0.18434107290116866</v>
      </c>
      <c r="N15" s="447">
        <v>1427.4420795928306</v>
      </c>
      <c r="O15" s="450">
        <f t="shared" ref="O15" si="63">+N15/N$16</f>
        <v>0.18249063199603865</v>
      </c>
      <c r="P15" s="448">
        <v>1590.4137619909316</v>
      </c>
      <c r="Q15" s="450">
        <f t="shared" ref="Q15:U15" si="64">+P15/P$16</f>
        <v>0.19385280062761673</v>
      </c>
      <c r="R15" s="448">
        <v>1510.4638859975864</v>
      </c>
      <c r="S15" s="450">
        <f t="shared" si="64"/>
        <v>0.19098215140273855</v>
      </c>
      <c r="T15" s="448">
        <v>1656.2024850796681</v>
      </c>
      <c r="U15" s="450">
        <f t="shared" si="64"/>
        <v>0.19635887774379399</v>
      </c>
      <c r="V15" s="448">
        <v>1409.8474139143284</v>
      </c>
      <c r="W15" s="450">
        <f t="shared" si="7"/>
        <v>0.16665437589288384</v>
      </c>
      <c r="X15" s="448">
        <f>1482.53+0.19</f>
        <v>1482.72</v>
      </c>
      <c r="Y15" s="450">
        <f t="shared" si="8"/>
        <v>0.19295019695567814</v>
      </c>
      <c r="Z15" s="448">
        <f t="shared" si="9"/>
        <v>17293.54669717994</v>
      </c>
      <c r="AA15" s="450">
        <f t="shared" si="10"/>
        <v>0.18091081934169295</v>
      </c>
    </row>
    <row r="16" spans="1:27" s="444" customFormat="1" ht="15" x14ac:dyDescent="0.35">
      <c r="A16" s="449"/>
      <c r="B16" s="452">
        <f t="shared" ref="B16:C16" si="65">SUM(B5:B15)</f>
        <v>7648.1355429849909</v>
      </c>
      <c r="C16" s="453">
        <f t="shared" si="65"/>
        <v>1.0000000000000002</v>
      </c>
      <c r="D16" s="454">
        <f t="shared" ref="D16:T16" si="66">SUM(D5:D15)</f>
        <v>7706.3966469484558</v>
      </c>
      <c r="E16" s="453">
        <f t="shared" ref="E16" si="67">SUM(E5:E15)</f>
        <v>1</v>
      </c>
      <c r="F16" s="454">
        <f t="shared" si="66"/>
        <v>7216.8586780944133</v>
      </c>
      <c r="G16" s="453">
        <f t="shared" ref="G16" si="68">SUM(G5:G15)</f>
        <v>1</v>
      </c>
      <c r="H16" s="454">
        <f t="shared" si="66"/>
        <v>8427.8093771754975</v>
      </c>
      <c r="I16" s="453">
        <f t="shared" ref="I16" si="69">SUM(I5:I15)</f>
        <v>0.99999999999999978</v>
      </c>
      <c r="J16" s="454">
        <f t="shared" si="66"/>
        <v>8929.1375434473885</v>
      </c>
      <c r="K16" s="453">
        <f t="shared" ref="K16" si="70">SUM(K5:K15)</f>
        <v>1</v>
      </c>
      <c r="L16" s="454">
        <f t="shared" si="66"/>
        <v>7149.3078106351131</v>
      </c>
      <c r="M16" s="453">
        <f t="shared" ref="M16" si="71">SUM(M5:M15)</f>
        <v>1.0000000000000002</v>
      </c>
      <c r="N16" s="454">
        <f t="shared" si="66"/>
        <v>7822.0019514416299</v>
      </c>
      <c r="O16" s="453">
        <f t="shared" ref="O16" si="72">SUM(O5:O15)</f>
        <v>1.0000000000000004</v>
      </c>
      <c r="P16" s="454">
        <f t="shared" si="66"/>
        <v>8204.2341242520979</v>
      </c>
      <c r="Q16" s="453">
        <f t="shared" ref="Q16:R16" si="73">SUM(Q5:Q15)</f>
        <v>0.99999999999999978</v>
      </c>
      <c r="R16" s="455">
        <f t="shared" si="73"/>
        <v>7908.9269594222797</v>
      </c>
      <c r="S16" s="453">
        <f t="shared" ref="S16:V16" si="74">SUM(S5:S15)</f>
        <v>0.99999999999999967</v>
      </c>
      <c r="T16" s="455">
        <f t="shared" si="66"/>
        <v>8434.5689082652807</v>
      </c>
      <c r="U16" s="453">
        <f t="shared" si="74"/>
        <v>0.99999999999999989</v>
      </c>
      <c r="V16" s="455">
        <f t="shared" si="74"/>
        <v>8459.7083416549467</v>
      </c>
      <c r="W16" s="453">
        <f t="shared" ref="W16:X16" si="75">SUM(W5:W15)</f>
        <v>1.0000000000000002</v>
      </c>
      <c r="X16" s="455">
        <f t="shared" si="75"/>
        <v>7684.47</v>
      </c>
      <c r="Y16" s="453">
        <f t="shared" ref="Y16:Z16" si="76">SUM(Y5:Y15)</f>
        <v>1</v>
      </c>
      <c r="Z16" s="455">
        <f t="shared" si="76"/>
        <v>95591.555884322093</v>
      </c>
      <c r="AA16" s="453">
        <f t="shared" ref="AA16" si="77">SUM(AA5:AA15)</f>
        <v>1</v>
      </c>
    </row>
    <row r="17" s="444" customFormat="1" x14ac:dyDescent="0.2"/>
    <row r="18" s="444" customFormat="1" x14ac:dyDescent="0.2"/>
    <row r="19" s="444" customFormat="1" x14ac:dyDescent="0.2"/>
    <row r="20" s="444" customFormat="1" x14ac:dyDescent="0.2"/>
  </sheetData>
  <mergeCells count="13">
    <mergeCell ref="B3:C3"/>
    <mergeCell ref="D3:E3"/>
    <mergeCell ref="F3:G3"/>
    <mergeCell ref="H3:I3"/>
    <mergeCell ref="J3:K3"/>
    <mergeCell ref="X3:Y3"/>
    <mergeCell ref="Z3:AA3"/>
    <mergeCell ref="L3:M3"/>
    <mergeCell ref="N3:O3"/>
    <mergeCell ref="P3:Q3"/>
    <mergeCell ref="R3:S3"/>
    <mergeCell ref="V3:W3"/>
    <mergeCell ref="T3:U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topLeftCell="A64" workbookViewId="0">
      <selection activeCell="A2" sqref="A2"/>
    </sheetView>
  </sheetViews>
  <sheetFormatPr defaultRowHeight="12.75" x14ac:dyDescent="0.2"/>
  <cols>
    <col min="2" max="2" width="9.7109375" bestFit="1" customWidth="1"/>
    <col min="3" max="3" width="9.7109375" customWidth="1"/>
    <col min="4" max="4" width="11.28515625" bestFit="1" customWidth="1"/>
    <col min="5" max="5" width="8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9" width="8.7109375" bestFit="1" customWidth="1"/>
    <col min="10" max="10" width="10.28515625" bestFit="1" customWidth="1"/>
    <col min="11" max="11" width="8.7109375" bestFit="1" customWidth="1"/>
    <col min="12" max="12" width="9.28515625" bestFit="1" customWidth="1"/>
  </cols>
  <sheetData>
    <row r="1" spans="1:13" ht="26.25" x14ac:dyDescent="0.4">
      <c r="A1" s="7" t="s">
        <v>18</v>
      </c>
    </row>
    <row r="2" spans="1:13" ht="18" x14ac:dyDescent="0.25">
      <c r="A2" s="5" t="s">
        <v>90</v>
      </c>
    </row>
    <row r="3" spans="1:13" x14ac:dyDescent="0.2">
      <c r="A3" s="6" t="s">
        <v>88</v>
      </c>
    </row>
    <row r="5" spans="1:13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13" x14ac:dyDescent="0.2">
      <c r="C6" s="2"/>
      <c r="D6" s="41" t="s">
        <v>46</v>
      </c>
      <c r="E6" s="41"/>
      <c r="F6" s="41" t="s">
        <v>1</v>
      </c>
      <c r="G6" s="41"/>
      <c r="H6" s="41" t="s">
        <v>47</v>
      </c>
      <c r="I6" s="41"/>
      <c r="J6" s="41" t="s">
        <v>2</v>
      </c>
      <c r="K6" s="41" t="s">
        <v>2</v>
      </c>
      <c r="L6" s="41" t="s">
        <v>48</v>
      </c>
    </row>
    <row r="7" spans="1:13" x14ac:dyDescent="0.2">
      <c r="B7" s="10" t="s">
        <v>22</v>
      </c>
      <c r="C7" s="10" t="s">
        <v>93</v>
      </c>
      <c r="D7" s="42" t="s">
        <v>49</v>
      </c>
      <c r="E7" s="42" t="s">
        <v>50</v>
      </c>
      <c r="F7" s="42" t="s">
        <v>51</v>
      </c>
      <c r="G7" s="42" t="s">
        <v>4</v>
      </c>
      <c r="H7" s="42" t="s">
        <v>52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87</v>
      </c>
    </row>
    <row r="8" spans="1:13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13" x14ac:dyDescent="0.2">
      <c r="A10" s="4" t="s">
        <v>58</v>
      </c>
      <c r="B10" s="63">
        <f t="shared" ref="B10:B21" si="0">SUM(C10:M10)</f>
        <v>1</v>
      </c>
      <c r="C10" s="58">
        <f>+'Reg. Res''l - SS Mix &amp; Prices'!C10</f>
        <v>0</v>
      </c>
      <c r="D10" s="58">
        <f>+'Reg. Res''l - SS Mix &amp; Prices'!D10</f>
        <v>0.33210744484292809</v>
      </c>
      <c r="E10" s="58">
        <f>+'Reg. Res''l - SS Mix &amp; Prices'!E10</f>
        <v>0.23644861909304252</v>
      </c>
      <c r="F10" s="58">
        <f>+'Reg. Res''l - SS Mix &amp; Prices'!F10</f>
        <v>7.5788121626192964E-3</v>
      </c>
      <c r="G10" s="58">
        <f>+'Reg. Res''l - SS Mix &amp; Prices'!H10</f>
        <v>0.22234699600955293</v>
      </c>
      <c r="H10" s="58">
        <f>+'Reg. Res''l - SS Mix &amp; Prices'!G10</f>
        <v>8.1991406763612905E-3</v>
      </c>
      <c r="I10" s="58">
        <f>+'Reg. Res''l - SS Mix &amp; Prices'!I10</f>
        <v>7.8243060451498106E-3</v>
      </c>
      <c r="J10" s="58">
        <f>+'Reg. Res''l - SS Mix &amp; Prices'!J10</f>
        <v>3.1134300770656511E-3</v>
      </c>
      <c r="K10" s="58">
        <f>+'Reg. Res''l - SS Mix &amp; Prices'!K10</f>
        <v>3.3465316689042634E-3</v>
      </c>
      <c r="L10" s="58">
        <f>+'Reg. Res''l - SS Mix &amp; Prices'!L10</f>
        <v>3.6821040784201999E-3</v>
      </c>
      <c r="M10" s="58">
        <f>+'Reg. Res''l - SS Mix &amp; Prices'!M10</f>
        <v>0.17535261534595592</v>
      </c>
    </row>
    <row r="11" spans="1:13" x14ac:dyDescent="0.2">
      <c r="A11" s="4" t="s">
        <v>35</v>
      </c>
      <c r="B11" s="63">
        <f t="shared" si="0"/>
        <v>1</v>
      </c>
      <c r="C11" s="58">
        <f>+'Reg. Res''l - SS Mix &amp; Prices'!C11</f>
        <v>0</v>
      </c>
      <c r="D11" s="58">
        <f>+'Reg. Res''l - SS Mix &amp; Prices'!D11</f>
        <v>0.30872960409494554</v>
      </c>
      <c r="E11" s="58">
        <f>+'Reg. Res''l - SS Mix &amp; Prices'!E11</f>
        <v>0.2669492234757726</v>
      </c>
      <c r="F11" s="58">
        <f>+'Reg. Res''l - SS Mix &amp; Prices'!F11</f>
        <v>7.804430674405032E-3</v>
      </c>
      <c r="G11" s="58">
        <f>+'Reg. Res''l - SS Mix &amp; Prices'!H11</f>
        <v>0.22715955779516506</v>
      </c>
      <c r="H11" s="58">
        <f>+'Reg. Res''l - SS Mix &amp; Prices'!G11</f>
        <v>1.0687020161069373E-2</v>
      </c>
      <c r="I11" s="58">
        <f>+'Reg. Res''l - SS Mix &amp; Prices'!I11</f>
        <v>5.2497654280706102E-3</v>
      </c>
      <c r="J11" s="58">
        <f>+'Reg. Res''l - SS Mix &amp; Prices'!J11</f>
        <v>3.6933257247186236E-3</v>
      </c>
      <c r="K11" s="58">
        <f>+'Reg. Res''l - SS Mix &amp; Prices'!K11</f>
        <v>3.7445714499941187E-3</v>
      </c>
      <c r="L11" s="58">
        <f>+'Reg. Res''l - SS Mix &amp; Prices'!L11</f>
        <v>2.7505360170524281E-3</v>
      </c>
      <c r="M11" s="58">
        <f>+'Reg. Res''l - SS Mix &amp; Prices'!M11</f>
        <v>0.16323196517880667</v>
      </c>
    </row>
    <row r="12" spans="1:13" x14ac:dyDescent="0.2">
      <c r="A12" s="4" t="s">
        <v>36</v>
      </c>
      <c r="B12" s="63">
        <f t="shared" si="0"/>
        <v>1</v>
      </c>
      <c r="C12" s="58">
        <f>+'Reg. Res''l - SS Mix &amp; Prices'!C12</f>
        <v>0</v>
      </c>
      <c r="D12" s="58">
        <f>+'Reg. Res''l - SS Mix &amp; Prices'!D12</f>
        <v>0.35549842167274731</v>
      </c>
      <c r="E12" s="58">
        <f>+'Reg. Res''l - SS Mix &amp; Prices'!E12</f>
        <v>0.25670093848202374</v>
      </c>
      <c r="F12" s="58">
        <f>+'Reg. Res''l - SS Mix &amp; Prices'!F12</f>
        <v>1.1865578135265864E-2</v>
      </c>
      <c r="G12" s="58">
        <f>+'Reg. Res''l - SS Mix &amp; Prices'!H12</f>
        <v>0.17046225865716313</v>
      </c>
      <c r="H12" s="58">
        <f>+'Reg. Res''l - SS Mix &amp; Prices'!G12</f>
        <v>7.1222620684243893E-3</v>
      </c>
      <c r="I12" s="58">
        <f>+'Reg. Res''l - SS Mix &amp; Prices'!I12</f>
        <v>8.0366515091929384E-3</v>
      </c>
      <c r="J12" s="58">
        <f>+'Reg. Res''l - SS Mix &amp; Prices'!J12</f>
        <v>2.6353426422411302E-3</v>
      </c>
      <c r="K12" s="58">
        <f>+'Reg. Res''l - SS Mix &amp; Prices'!K12</f>
        <v>4.7239701733053155E-3</v>
      </c>
      <c r="L12" s="58">
        <f>+'Reg. Res''l - SS Mix &amp; Prices'!L12</f>
        <v>2.8336807193065573E-3</v>
      </c>
      <c r="M12" s="58">
        <f>+'Reg. Res''l - SS Mix &amp; Prices'!M12</f>
        <v>0.18012089594032965</v>
      </c>
    </row>
    <row r="13" spans="1:13" x14ac:dyDescent="0.2">
      <c r="A13" s="4" t="s">
        <v>37</v>
      </c>
      <c r="B13" s="63">
        <f t="shared" si="0"/>
        <v>1</v>
      </c>
      <c r="C13" s="58">
        <f>+'Reg. Res''l - SS Mix &amp; Prices'!C13</f>
        <v>0</v>
      </c>
      <c r="D13" s="58">
        <f>+'Reg. Res''l - SS Mix &amp; Prices'!D13</f>
        <v>0.38563459339255646</v>
      </c>
      <c r="E13" s="58">
        <f>+'Reg. Res''l - SS Mix &amp; Prices'!E13</f>
        <v>0.23374350411983905</v>
      </c>
      <c r="F13" s="58">
        <f>+'Reg. Res''l - SS Mix &amp; Prices'!F13</f>
        <v>6.2869961001905637E-3</v>
      </c>
      <c r="G13" s="58">
        <f>+'Reg. Res''l - SS Mix &amp; Prices'!H13</f>
        <v>0.19376044497853739</v>
      </c>
      <c r="H13" s="58">
        <f>+'Reg. Res''l - SS Mix &amp; Prices'!G13</f>
        <v>1.023076652999097E-2</v>
      </c>
      <c r="I13" s="58">
        <f>+'Reg. Res''l - SS Mix &amp; Prices'!I13</f>
        <v>2.6596826883564873E-3</v>
      </c>
      <c r="J13" s="58">
        <f>+'Reg. Res''l - SS Mix &amp; Prices'!J13</f>
        <v>2.6712625686327244E-3</v>
      </c>
      <c r="K13" s="58">
        <f>+'Reg. Res''l - SS Mix &amp; Prices'!K13</f>
        <v>9.9527739475783572E-4</v>
      </c>
      <c r="L13" s="58">
        <f>+'Reg. Res''l - SS Mix &amp; Prices'!L13</f>
        <v>2.2893391561799197E-3</v>
      </c>
      <c r="M13" s="58">
        <f>+'Reg. Res''l - SS Mix &amp; Prices'!M13</f>
        <v>0.16172813307095868</v>
      </c>
    </row>
    <row r="14" spans="1:13" x14ac:dyDescent="0.2">
      <c r="A14" s="4" t="s">
        <v>45</v>
      </c>
      <c r="B14" s="63">
        <f t="shared" si="0"/>
        <v>1</v>
      </c>
      <c r="C14" s="58">
        <f>+'Reg. Res''l - SS Mix &amp; Prices'!C14</f>
        <v>0</v>
      </c>
      <c r="D14" s="58">
        <f>+'Reg. Res''l - SS Mix &amp; Prices'!D14</f>
        <v>0.3672588509370322</v>
      </c>
      <c r="E14" s="58">
        <f>+'Reg. Res''l - SS Mix &amp; Prices'!E14</f>
        <v>0.20879074264798983</v>
      </c>
      <c r="F14" s="58">
        <f>+'Reg. Res''l - SS Mix &amp; Prices'!F14</f>
        <v>6.8293317411207413E-3</v>
      </c>
      <c r="G14" s="58">
        <f>+'Reg. Res''l - SS Mix &amp; Prices'!H14</f>
        <v>0.21018061208036745</v>
      </c>
      <c r="H14" s="58">
        <f>+'Reg. Res''l - SS Mix &amp; Prices'!G14</f>
        <v>1.0535391831773508E-2</v>
      </c>
      <c r="I14" s="58">
        <f>+'Reg. Res''l - SS Mix &amp; Prices'!I14</f>
        <v>3.706034530904785E-3</v>
      </c>
      <c r="J14" s="58">
        <f>+'Reg. Res''l - SS Mix &amp; Prices'!J14</f>
        <v>4.8438260858255323E-3</v>
      </c>
      <c r="K14" s="58">
        <f>+'Reg. Res''l - SS Mix &amp; Prices'!K14</f>
        <v>2.522691495709232E-3</v>
      </c>
      <c r="L14" s="58">
        <f>+'Reg. Res''l - SS Mix &amp; Prices'!L14</f>
        <v>2.0478258337603083E-3</v>
      </c>
      <c r="M14" s="58">
        <f>+'Reg. Res''l - SS Mix &amp; Prices'!M14</f>
        <v>0.18328469281551629</v>
      </c>
    </row>
    <row r="15" spans="1:13" x14ac:dyDescent="0.2">
      <c r="A15" s="4" t="s">
        <v>38</v>
      </c>
      <c r="B15" s="63">
        <f t="shared" si="0"/>
        <v>1</v>
      </c>
      <c r="C15" s="58">
        <f>+'Reg. Res''l - SS Mix &amp; Prices'!C15</f>
        <v>0</v>
      </c>
      <c r="D15" s="58">
        <f>+'Reg. Res''l - SS Mix &amp; Prices'!D15</f>
        <v>0.3831179895691525</v>
      </c>
      <c r="E15" s="58">
        <f>+'Reg. Res''l - SS Mix &amp; Prices'!E15</f>
        <v>0.2153264995731361</v>
      </c>
      <c r="F15" s="58">
        <f>+'Reg. Res''l - SS Mix &amp; Prices'!F15</f>
        <v>7.7608911292477755E-3</v>
      </c>
      <c r="G15" s="58">
        <f>+'Reg. Res''l - SS Mix &amp; Prices'!H15</f>
        <v>0.18167424190829531</v>
      </c>
      <c r="H15" s="58">
        <f>+'Reg. Res''l - SS Mix &amp; Prices'!G15</f>
        <v>1.0375394043780543E-2</v>
      </c>
      <c r="I15" s="58">
        <f>+'Reg. Res''l - SS Mix &amp; Prices'!I15</f>
        <v>7.8376464008800221E-3</v>
      </c>
      <c r="J15" s="58">
        <f>+'Reg. Res''l - SS Mix &amp; Prices'!J15</f>
        <v>3.312558721949856E-3</v>
      </c>
      <c r="K15" s="58">
        <f>+'Reg. Res''l - SS Mix &amp; Prices'!K15</f>
        <v>3.8515581327488221E-3</v>
      </c>
      <c r="L15" s="58">
        <f>+'Reg. Res''l - SS Mix &amp; Prices'!L15</f>
        <v>2.4021476196405085E-3</v>
      </c>
      <c r="M15" s="58">
        <f>+'Reg. Res''l - SS Mix &amp; Prices'!M15</f>
        <v>0.18434107290116841</v>
      </c>
    </row>
    <row r="16" spans="1:13" x14ac:dyDescent="0.2">
      <c r="A16" s="4" t="s">
        <v>39</v>
      </c>
      <c r="B16" s="63">
        <f t="shared" si="0"/>
        <v>1</v>
      </c>
      <c r="C16" s="58">
        <f>+'Reg. Res''l - SS Mix &amp; Prices'!C16</f>
        <v>0</v>
      </c>
      <c r="D16" s="58">
        <f>+'Reg. Res''l - SS Mix &amp; Prices'!D16</f>
        <v>0.43620922917573007</v>
      </c>
      <c r="E16" s="58">
        <f>+'Reg. Res''l - SS Mix &amp; Prices'!E16</f>
        <v>0.17379993964353349</v>
      </c>
      <c r="F16" s="58">
        <f>+'Reg. Res''l - SS Mix &amp; Prices'!F16</f>
        <v>9.5599211250711105E-3</v>
      </c>
      <c r="G16" s="58">
        <f>+'Reg. Res''l - SS Mix &amp; Prices'!H16</f>
        <v>0.17032143311283462</v>
      </c>
      <c r="H16" s="58">
        <f>+'Reg. Res''l - SS Mix &amp; Prices'!G16</f>
        <v>1.0156208293408757E-2</v>
      </c>
      <c r="I16" s="58">
        <f>+'Reg. Res''l - SS Mix &amp; Prices'!I16</f>
        <v>7.0040143013963586E-3</v>
      </c>
      <c r="J16" s="58">
        <f>+'Reg. Res''l - SS Mix &amp; Prices'!J16</f>
        <v>3.5105159823092384E-3</v>
      </c>
      <c r="K16" s="58">
        <f>+'Reg. Res''l - SS Mix &amp; Prices'!K16</f>
        <v>3.6433122480877536E-3</v>
      </c>
      <c r="L16" s="58">
        <f>+'Reg. Res''l - SS Mix &amp; Prices'!L16</f>
        <v>3.3047941215901783E-3</v>
      </c>
      <c r="M16" s="58">
        <f>+'Reg. Res''l - SS Mix &amp; Prices'!M16</f>
        <v>0.18249063199603832</v>
      </c>
    </row>
    <row r="17" spans="1:17" x14ac:dyDescent="0.2">
      <c r="A17" s="4" t="s">
        <v>40</v>
      </c>
      <c r="B17" s="63">
        <f t="shared" si="0"/>
        <v>0.99999999999999989</v>
      </c>
      <c r="C17" s="58">
        <f>+'Reg. Res''l - SS Mix &amp; Prices'!C17</f>
        <v>0</v>
      </c>
      <c r="D17" s="58">
        <f>+'Reg. Res''l - SS Mix &amp; Prices'!D17</f>
        <v>0.41806893775614512</v>
      </c>
      <c r="E17" s="58">
        <f>+'Reg. Res''l - SS Mix &amp; Prices'!E17</f>
        <v>0.14513717007811683</v>
      </c>
      <c r="F17" s="58">
        <f>+'Reg. Res''l - SS Mix &amp; Prices'!F17</f>
        <v>1.2733952317228955E-2</v>
      </c>
      <c r="G17" s="58">
        <f>+'Reg. Res''l - SS Mix &amp; Prices'!H17</f>
        <v>0.1986752530463331</v>
      </c>
      <c r="H17" s="58">
        <f>+'Reg. Res''l - SS Mix &amp; Prices'!G17</f>
        <v>1.3073782294534285E-2</v>
      </c>
      <c r="I17" s="58">
        <f>+'Reg. Res''l - SS Mix &amp; Prices'!I17</f>
        <v>8.8984311977598832E-3</v>
      </c>
      <c r="J17" s="58">
        <f>+'Reg. Res''l - SS Mix &amp; Prices'!J17</f>
        <v>2.8279988600337755E-3</v>
      </c>
      <c r="K17" s="58">
        <f>+'Reg. Res''l - SS Mix &amp; Prices'!K17</f>
        <v>3.7940220297105966E-3</v>
      </c>
      <c r="L17" s="58">
        <f>+'Reg. Res''l - SS Mix &amp; Prices'!L17</f>
        <v>2.9376517925206384E-3</v>
      </c>
      <c r="M17" s="58">
        <f>+'Reg. Res''l - SS Mix &amp; Prices'!M17</f>
        <v>0.19385280062761678</v>
      </c>
    </row>
    <row r="18" spans="1:17" x14ac:dyDescent="0.2">
      <c r="A18" s="4" t="s">
        <v>10</v>
      </c>
      <c r="B18" s="63">
        <f t="shared" si="0"/>
        <v>1</v>
      </c>
      <c r="C18" s="58">
        <f>+'Reg. Res''l - SS Mix &amp; Prices'!C18</f>
        <v>0</v>
      </c>
      <c r="D18" s="58">
        <f>+'Reg. Res''l - SS Mix &amp; Prices'!D18</f>
        <v>0.39530224015660886</v>
      </c>
      <c r="E18" s="58">
        <f>+'Reg. Res''l - SS Mix &amp; Prices'!E18</f>
        <v>0.15117193307308066</v>
      </c>
      <c r="F18" s="58">
        <f>+'Reg. Res''l - SS Mix &amp; Prices'!F18</f>
        <v>1.2733758205808224E-2</v>
      </c>
      <c r="G18" s="58">
        <f>+'Reg. Res''l - SS Mix &amp; Prices'!H18</f>
        <v>0.22375643910515883</v>
      </c>
      <c r="H18" s="58">
        <f>+'Reg. Res''l - SS Mix &amp; Prices'!G18</f>
        <v>1.2024105556321539E-2</v>
      </c>
      <c r="I18" s="58">
        <f>+'Reg. Res''l - SS Mix &amp; Prices'!I18</f>
        <v>3.2783031940401379E-3</v>
      </c>
      <c r="J18" s="58">
        <f>+'Reg. Res''l - SS Mix &amp; Prices'!J18</f>
        <v>2.9274444543107305E-3</v>
      </c>
      <c r="K18" s="58">
        <f>+'Reg. Res''l - SS Mix &amp; Prices'!K18</f>
        <v>4.2052719404597413E-3</v>
      </c>
      <c r="L18" s="58">
        <f>+'Reg. Res''l - SS Mix &amp; Prices'!L18</f>
        <v>3.6183529114725155E-3</v>
      </c>
      <c r="M18" s="58">
        <f>+'Reg. Res''l - SS Mix &amp; Prices'!M18</f>
        <v>0.19098215140273889</v>
      </c>
    </row>
    <row r="19" spans="1:17" x14ac:dyDescent="0.2">
      <c r="A19" s="4" t="s">
        <v>41</v>
      </c>
      <c r="B19" s="63">
        <f t="shared" si="0"/>
        <v>1</v>
      </c>
      <c r="C19" s="58">
        <f>+'Reg. Res''l - SS Mix &amp; Prices'!C19</f>
        <v>0</v>
      </c>
      <c r="D19" s="58">
        <f>+'Reg. Res''l - SS Mix &amp; Prices'!D19</f>
        <v>0.35664075714142701</v>
      </c>
      <c r="E19" s="58">
        <f>+'Reg. Res''l - SS Mix &amp; Prices'!E19</f>
        <v>0.17631483220482508</v>
      </c>
      <c r="F19" s="58">
        <f>+'Reg. Res''l - SS Mix &amp; Prices'!F19</f>
        <v>1.0502587720457562E-2</v>
      </c>
      <c r="G19" s="58">
        <f>+'Reg. Res''l - SS Mix &amp; Prices'!H19</f>
        <v>0.23728358408286609</v>
      </c>
      <c r="H19" s="58">
        <f>+'Reg. Res''l - SS Mix &amp; Prices'!G19</f>
        <v>1.0061023974607017E-2</v>
      </c>
      <c r="I19" s="58">
        <f>+'Reg. Res''l - SS Mix &amp; Prices'!I19</f>
        <v>2.2109289710514307E-3</v>
      </c>
      <c r="J19" s="58">
        <f>+'Reg. Res''l - SS Mix &amp; Prices'!J19</f>
        <v>2.9449486717524538E-3</v>
      </c>
      <c r="K19" s="58">
        <f>+'Reg. Res''l - SS Mix &amp; Prices'!K19</f>
        <v>3.4833205509137689E-3</v>
      </c>
      <c r="L19" s="58">
        <f>+'Reg. Res''l - SS Mix &amp; Prices'!L19</f>
        <v>4.1991389383054288E-3</v>
      </c>
      <c r="M19" s="58">
        <f>+'Reg. Res''l - SS Mix &amp; Prices'!M19</f>
        <v>0.19635887774379412</v>
      </c>
    </row>
    <row r="20" spans="1:17" x14ac:dyDescent="0.2">
      <c r="A20" s="4" t="s">
        <v>42</v>
      </c>
      <c r="B20" s="63">
        <f t="shared" si="0"/>
        <v>1</v>
      </c>
      <c r="C20" s="58">
        <f>+'Reg. Res''l - SS Mix &amp; Prices'!C20</f>
        <v>0</v>
      </c>
      <c r="D20" s="58">
        <f>+'Reg. Res''l - SS Mix &amp; Prices'!D20</f>
        <v>0.391684864853033</v>
      </c>
      <c r="E20" s="58">
        <f>+'Reg. Res''l - SS Mix &amp; Prices'!E20</f>
        <v>0.17503689364214733</v>
      </c>
      <c r="F20" s="58">
        <f>+'Reg. Res''l - SS Mix &amp; Prices'!F20</f>
        <v>9.0924428688259739E-3</v>
      </c>
      <c r="G20" s="58">
        <f>+'Reg. Res''l - SS Mix &amp; Prices'!H20</f>
        <v>0.237899886415009</v>
      </c>
      <c r="H20" s="58">
        <f>+'Reg. Res''l - SS Mix &amp; Prices'!G20</f>
        <v>7.123735062189396E-3</v>
      </c>
      <c r="I20" s="58">
        <f>+'Reg. Res''l - SS Mix &amp; Prices'!I20</f>
        <v>9.8009709895150918E-4</v>
      </c>
      <c r="J20" s="58">
        <f>+'Reg. Res''l - SS Mix &amp; Prices'!J20</f>
        <v>3.4772489230733756E-3</v>
      </c>
      <c r="K20" s="58">
        <f>+'Reg. Res''l - SS Mix &amp; Prices'!K20</f>
        <v>3.9108630011025223E-3</v>
      </c>
      <c r="L20" s="58">
        <f>+'Reg. Res''l - SS Mix &amp; Prices'!L20</f>
        <v>4.1395922427841809E-3</v>
      </c>
      <c r="M20" s="58">
        <f>+'Reg. Res''l - SS Mix &amp; Prices'!M20</f>
        <v>0.16665437589288368</v>
      </c>
    </row>
    <row r="21" spans="1:17" x14ac:dyDescent="0.2">
      <c r="A21" s="4" t="s">
        <v>43</v>
      </c>
      <c r="B21" s="63">
        <f t="shared" si="0"/>
        <v>1</v>
      </c>
      <c r="C21" s="58">
        <f>+'Reg. Res''l - SS Mix &amp; Prices'!C21</f>
        <v>0</v>
      </c>
      <c r="D21" s="58">
        <f>+'Reg. Res''l - SS Mix &amp; Prices'!D21</f>
        <v>0.36236331197857496</v>
      </c>
      <c r="E21" s="58">
        <f>+'Reg. Res''l - SS Mix &amp; Prices'!E21</f>
        <v>0.21082911378403454</v>
      </c>
      <c r="F21" s="58">
        <f>+'Reg. Res''l - SS Mix &amp; Prices'!F21</f>
        <v>8.3662243459861254E-3</v>
      </c>
      <c r="G21" s="58">
        <f>+'Reg. Res''l - SS Mix &amp; Prices'!H21</f>
        <v>0.20005283383239181</v>
      </c>
      <c r="H21" s="58">
        <f>+'Reg. Res''l - SS Mix &amp; Prices'!G21</f>
        <v>8.7344995816237159E-3</v>
      </c>
      <c r="I21" s="58">
        <f>+'Reg. Res''l - SS Mix &amp; Prices'!I21</f>
        <v>5.3783800314140071E-3</v>
      </c>
      <c r="J21" s="58">
        <f>+'Reg. Res''l - SS Mix &amp; Prices'!J21</f>
        <v>8.7188836705719456E-4</v>
      </c>
      <c r="K21" s="58">
        <f>+'Reg. Res''l - SS Mix &amp; Prices'!K21</f>
        <v>4.6756640340843286E-3</v>
      </c>
      <c r="L21" s="58">
        <f>+'Reg. Res''l - SS Mix &amp; Prices'!L21</f>
        <v>5.7778870891551396E-3</v>
      </c>
      <c r="M21" s="58">
        <f>+'Reg. Res''l - SS Mix &amp; Prices'!M21</f>
        <v>0.19295019695567805</v>
      </c>
    </row>
    <row r="24" spans="1:17" x14ac:dyDescent="0.2">
      <c r="A24" s="12" t="s">
        <v>59</v>
      </c>
    </row>
    <row r="25" spans="1:17" x14ac:dyDescent="0.2">
      <c r="A25" s="4" t="s">
        <v>58</v>
      </c>
      <c r="B25" s="68">
        <f>+'Calculation of Revenue'!D33</f>
        <v>54.19</v>
      </c>
      <c r="C25" s="21">
        <f t="shared" ref="C25:M25" si="1">+$B25*C10</f>
        <v>0</v>
      </c>
      <c r="D25" s="21">
        <f t="shared" si="1"/>
        <v>17.996902436038273</v>
      </c>
      <c r="E25" s="21">
        <f t="shared" si="1"/>
        <v>12.813150668651973</v>
      </c>
      <c r="F25" s="21">
        <f t="shared" si="1"/>
        <v>0.41069583109233965</v>
      </c>
      <c r="G25" s="21">
        <f t="shared" si="1"/>
        <v>12.048983713757673</v>
      </c>
      <c r="H25" s="21">
        <f t="shared" si="1"/>
        <v>0.44431143325201833</v>
      </c>
      <c r="I25" s="21">
        <f t="shared" si="1"/>
        <v>0.42399914458666821</v>
      </c>
      <c r="J25" s="21">
        <f t="shared" si="1"/>
        <v>0.16871677587618764</v>
      </c>
      <c r="K25" s="21">
        <f t="shared" si="1"/>
        <v>0.18134855113792203</v>
      </c>
      <c r="L25" s="21">
        <f t="shared" si="1"/>
        <v>0.19953322000959062</v>
      </c>
      <c r="M25" s="21">
        <f t="shared" si="1"/>
        <v>9.5023582255973515</v>
      </c>
      <c r="O25" s="68"/>
      <c r="Q25" s="69"/>
    </row>
    <row r="26" spans="1:17" x14ac:dyDescent="0.2">
      <c r="A26" s="4" t="s">
        <v>35</v>
      </c>
      <c r="B26" s="68">
        <f>+'Calculation of Revenue'!D34</f>
        <v>52.47</v>
      </c>
      <c r="C26" s="21">
        <f t="shared" ref="C26:M26" si="2">+$B26*C11</f>
        <v>0</v>
      </c>
      <c r="D26" s="21">
        <f t="shared" si="2"/>
        <v>16.199042326861793</v>
      </c>
      <c r="E26" s="21">
        <f t="shared" si="2"/>
        <v>14.006825755773788</v>
      </c>
      <c r="F26" s="21">
        <f t="shared" si="2"/>
        <v>0.40949847748603202</v>
      </c>
      <c r="G26" s="21">
        <f t="shared" si="2"/>
        <v>11.91906199751231</v>
      </c>
      <c r="H26" s="21">
        <f t="shared" si="2"/>
        <v>0.56074794785130999</v>
      </c>
      <c r="I26" s="21">
        <f t="shared" si="2"/>
        <v>0.27545519201086494</v>
      </c>
      <c r="J26" s="21">
        <f t="shared" si="2"/>
        <v>0.19378880077598618</v>
      </c>
      <c r="K26" s="21">
        <f t="shared" si="2"/>
        <v>0.1964776639811914</v>
      </c>
      <c r="L26" s="21">
        <f t="shared" si="2"/>
        <v>0.14432062481474089</v>
      </c>
      <c r="M26" s="21">
        <f t="shared" si="2"/>
        <v>8.5647812129319867</v>
      </c>
      <c r="O26" s="68"/>
      <c r="Q26" s="69"/>
    </row>
    <row r="27" spans="1:17" x14ac:dyDescent="0.2">
      <c r="A27" s="4" t="s">
        <v>36</v>
      </c>
      <c r="B27" s="68">
        <f>+'Calculation of Revenue'!D35</f>
        <v>47.61</v>
      </c>
      <c r="C27" s="21">
        <f t="shared" ref="C27:M27" si="3">+$B27*C12</f>
        <v>0</v>
      </c>
      <c r="D27" s="21">
        <f t="shared" si="3"/>
        <v>16.925279855839499</v>
      </c>
      <c r="E27" s="21">
        <f t="shared" si="3"/>
        <v>12.22153168112915</v>
      </c>
      <c r="F27" s="21">
        <f t="shared" si="3"/>
        <v>0.5649201750200078</v>
      </c>
      <c r="G27" s="21">
        <f t="shared" si="3"/>
        <v>8.1157081346675373</v>
      </c>
      <c r="H27" s="21">
        <f t="shared" si="3"/>
        <v>0.33909089707768519</v>
      </c>
      <c r="I27" s="21">
        <f t="shared" si="3"/>
        <v>0.38262497835267578</v>
      </c>
      <c r="J27" s="21">
        <f t="shared" si="3"/>
        <v>0.12546866319710021</v>
      </c>
      <c r="K27" s="21">
        <f t="shared" si="3"/>
        <v>0.22490821995106608</v>
      </c>
      <c r="L27" s="21">
        <f t="shared" si="3"/>
        <v>0.13491153904618519</v>
      </c>
      <c r="M27" s="21">
        <f t="shared" si="3"/>
        <v>8.5755558557190952</v>
      </c>
      <c r="O27" s="68"/>
      <c r="Q27" s="69"/>
    </row>
    <row r="28" spans="1:17" x14ac:dyDescent="0.2">
      <c r="A28" s="4" t="s">
        <v>37</v>
      </c>
      <c r="B28" s="68">
        <f>+'Calculation of Revenue'!D36</f>
        <v>54.97</v>
      </c>
      <c r="C28" s="21">
        <f t="shared" ref="C28:M28" si="4">+$B28*C13</f>
        <v>0</v>
      </c>
      <c r="D28" s="21">
        <f t="shared" si="4"/>
        <v>21.198333598788828</v>
      </c>
      <c r="E28" s="21">
        <f t="shared" si="4"/>
        <v>12.848880421467552</v>
      </c>
      <c r="F28" s="21">
        <f t="shared" si="4"/>
        <v>0.3455961756274753</v>
      </c>
      <c r="G28" s="21">
        <f t="shared" si="4"/>
        <v>10.6510116604702</v>
      </c>
      <c r="H28" s="21">
        <f t="shared" si="4"/>
        <v>0.56238523615360358</v>
      </c>
      <c r="I28" s="21">
        <f t="shared" si="4"/>
        <v>0.14620275737895611</v>
      </c>
      <c r="J28" s="21">
        <f t="shared" si="4"/>
        <v>0.14683930339774087</v>
      </c>
      <c r="K28" s="21">
        <f t="shared" si="4"/>
        <v>5.4710398389838232E-2</v>
      </c>
      <c r="L28" s="21">
        <f t="shared" si="4"/>
        <v>0.1258449734152102</v>
      </c>
      <c r="M28" s="21">
        <f t="shared" si="4"/>
        <v>8.8901954749105983</v>
      </c>
      <c r="O28" s="68"/>
      <c r="Q28" s="69"/>
    </row>
    <row r="29" spans="1:17" x14ac:dyDescent="0.2">
      <c r="A29" s="4" t="s">
        <v>45</v>
      </c>
      <c r="B29" s="68">
        <f>+'Calculation of Revenue'!D37</f>
        <v>56.89</v>
      </c>
      <c r="C29" s="21">
        <f t="shared" ref="C29:M29" si="5">+$B29*C14</f>
        <v>0</v>
      </c>
      <c r="D29" s="21">
        <f t="shared" si="5"/>
        <v>20.893356029807762</v>
      </c>
      <c r="E29" s="21">
        <f t="shared" si="5"/>
        <v>11.878105349244141</v>
      </c>
      <c r="F29" s="21">
        <f t="shared" si="5"/>
        <v>0.38852068275235896</v>
      </c>
      <c r="G29" s="21">
        <f t="shared" si="5"/>
        <v>11.957175021252105</v>
      </c>
      <c r="H29" s="21">
        <f t="shared" si="5"/>
        <v>0.59935844130959481</v>
      </c>
      <c r="I29" s="21">
        <f t="shared" si="5"/>
        <v>0.21083630446317322</v>
      </c>
      <c r="J29" s="21">
        <f t="shared" si="5"/>
        <v>0.27556526602261455</v>
      </c>
      <c r="K29" s="21">
        <f t="shared" si="5"/>
        <v>0.14351591919089821</v>
      </c>
      <c r="L29" s="21">
        <f t="shared" si="5"/>
        <v>0.11650081168262394</v>
      </c>
      <c r="M29" s="21">
        <f t="shared" si="5"/>
        <v>10.427066174274723</v>
      </c>
      <c r="O29" s="68"/>
      <c r="Q29" s="69"/>
    </row>
    <row r="30" spans="1:17" x14ac:dyDescent="0.2">
      <c r="A30" s="4" t="s">
        <v>38</v>
      </c>
      <c r="B30" s="68">
        <f>+'Calculation of Revenue'!D38</f>
        <v>42.8</v>
      </c>
      <c r="C30" s="21">
        <f t="shared" ref="C30:M30" si="6">+$B30*C15</f>
        <v>0</v>
      </c>
      <c r="D30" s="21">
        <f t="shared" si="6"/>
        <v>16.397449953559725</v>
      </c>
      <c r="E30" s="21">
        <f t="shared" si="6"/>
        <v>9.2159741817302248</v>
      </c>
      <c r="F30" s="21">
        <f t="shared" si="6"/>
        <v>0.33216614033180475</v>
      </c>
      <c r="G30" s="21">
        <f t="shared" si="6"/>
        <v>7.775657553675039</v>
      </c>
      <c r="H30" s="21">
        <f t="shared" si="6"/>
        <v>0.44406686507380722</v>
      </c>
      <c r="I30" s="21">
        <f t="shared" si="6"/>
        <v>0.33545126595766495</v>
      </c>
      <c r="J30" s="21">
        <f t="shared" si="6"/>
        <v>0.14177751329945382</v>
      </c>
      <c r="K30" s="21">
        <f t="shared" si="6"/>
        <v>0.16484668808164957</v>
      </c>
      <c r="L30" s="21">
        <f t="shared" si="6"/>
        <v>0.10281191812061376</v>
      </c>
      <c r="M30" s="21">
        <f t="shared" si="6"/>
        <v>7.8897979201700075</v>
      </c>
      <c r="O30" s="68"/>
      <c r="Q30" s="69"/>
    </row>
    <row r="31" spans="1:17" x14ac:dyDescent="0.2">
      <c r="A31" s="4" t="s">
        <v>39</v>
      </c>
      <c r="B31" s="68">
        <f>+'Calculation of Revenue'!D39</f>
        <v>49.69</v>
      </c>
      <c r="C31" s="21">
        <f t="shared" ref="C31:M31" si="7">+$B31*C16</f>
        <v>0</v>
      </c>
      <c r="D31" s="21">
        <f t="shared" si="7"/>
        <v>21.675236597742025</v>
      </c>
      <c r="E31" s="21">
        <f t="shared" si="7"/>
        <v>8.6361190008871791</v>
      </c>
      <c r="F31" s="21">
        <f t="shared" si="7"/>
        <v>0.47503248070478343</v>
      </c>
      <c r="G31" s="21">
        <f t="shared" si="7"/>
        <v>8.4632720113767519</v>
      </c>
      <c r="H31" s="21">
        <f t="shared" si="7"/>
        <v>0.50466199009948109</v>
      </c>
      <c r="I31" s="21">
        <f t="shared" si="7"/>
        <v>0.34802947063638506</v>
      </c>
      <c r="J31" s="21">
        <f t="shared" si="7"/>
        <v>0.17443753916094604</v>
      </c>
      <c r="K31" s="21">
        <f t="shared" si="7"/>
        <v>0.18103618560748047</v>
      </c>
      <c r="L31" s="21">
        <f t="shared" si="7"/>
        <v>0.16421521990181595</v>
      </c>
      <c r="M31" s="21">
        <f t="shared" si="7"/>
        <v>9.0679595038831433</v>
      </c>
      <c r="O31" s="68"/>
      <c r="Q31" s="69"/>
    </row>
    <row r="32" spans="1:17" x14ac:dyDescent="0.2">
      <c r="A32" s="4" t="s">
        <v>40</v>
      </c>
      <c r="B32" s="68">
        <f>+'Calculation of Revenue'!D40</f>
        <v>49.96</v>
      </c>
      <c r="C32" s="21">
        <f t="shared" ref="C32:M32" si="8">+$B32*C17</f>
        <v>0</v>
      </c>
      <c r="D32" s="21">
        <f t="shared" si="8"/>
        <v>20.886724130297011</v>
      </c>
      <c r="E32" s="21">
        <f t="shared" si="8"/>
        <v>7.2510530171027172</v>
      </c>
      <c r="F32" s="21">
        <f t="shared" si="8"/>
        <v>0.63618825776875854</v>
      </c>
      <c r="G32" s="21">
        <f t="shared" si="8"/>
        <v>9.9258156421948023</v>
      </c>
      <c r="H32" s="21">
        <f t="shared" si="8"/>
        <v>0.65316616343493283</v>
      </c>
      <c r="I32" s="21">
        <f t="shared" si="8"/>
        <v>0.44456562264008376</v>
      </c>
      <c r="J32" s="21">
        <f t="shared" si="8"/>
        <v>0.14128682304728743</v>
      </c>
      <c r="K32" s="21">
        <f t="shared" si="8"/>
        <v>0.18954934060434142</v>
      </c>
      <c r="L32" s="21">
        <f t="shared" si="8"/>
        <v>0.1467650835543311</v>
      </c>
      <c r="M32" s="21">
        <f t="shared" si="8"/>
        <v>9.6848859193557342</v>
      </c>
      <c r="O32" s="68"/>
      <c r="Q32" s="69"/>
    </row>
    <row r="33" spans="1:17" x14ac:dyDescent="0.2">
      <c r="A33" s="4" t="s">
        <v>10</v>
      </c>
      <c r="B33" s="68">
        <f>+'Calculation of Revenue'!D41</f>
        <v>51.22</v>
      </c>
      <c r="C33" s="21">
        <f t="shared" ref="C33:M33" si="9">+$B33*C18</f>
        <v>0</v>
      </c>
      <c r="D33" s="21">
        <f t="shared" si="9"/>
        <v>20.247380740821505</v>
      </c>
      <c r="E33" s="21">
        <f t="shared" si="9"/>
        <v>7.7430264120031911</v>
      </c>
      <c r="F33" s="21">
        <f t="shared" si="9"/>
        <v>0.65222309530149725</v>
      </c>
      <c r="G33" s="21">
        <f t="shared" si="9"/>
        <v>11.460804810966234</v>
      </c>
      <c r="H33" s="21">
        <f t="shared" si="9"/>
        <v>0.61587468659478928</v>
      </c>
      <c r="I33" s="21">
        <f t="shared" si="9"/>
        <v>0.16791468959873587</v>
      </c>
      <c r="J33" s="21">
        <f t="shared" si="9"/>
        <v>0.14994370494979561</v>
      </c>
      <c r="K33" s="21">
        <f t="shared" si="9"/>
        <v>0.21539402879034794</v>
      </c>
      <c r="L33" s="21">
        <f t="shared" si="9"/>
        <v>0.18533203612562224</v>
      </c>
      <c r="M33" s="21">
        <f t="shared" si="9"/>
        <v>9.7821057948482864</v>
      </c>
      <c r="O33" s="68"/>
      <c r="Q33" s="69"/>
    </row>
    <row r="34" spans="1:17" x14ac:dyDescent="0.2">
      <c r="A34" s="4" t="s">
        <v>41</v>
      </c>
      <c r="B34" s="68">
        <f>+'Calculation of Revenue'!D42</f>
        <v>52.82</v>
      </c>
      <c r="C34" s="21">
        <f t="shared" ref="C34:M34" si="10">+$B34*C19</f>
        <v>0</v>
      </c>
      <c r="D34" s="21">
        <f t="shared" si="10"/>
        <v>18.837764792210177</v>
      </c>
      <c r="E34" s="21">
        <f t="shared" si="10"/>
        <v>9.3129494370588599</v>
      </c>
      <c r="F34" s="21">
        <f t="shared" si="10"/>
        <v>0.55474668339456845</v>
      </c>
      <c r="G34" s="21">
        <f t="shared" si="10"/>
        <v>12.533318911256988</v>
      </c>
      <c r="H34" s="21">
        <f t="shared" si="10"/>
        <v>0.5314232863387427</v>
      </c>
      <c r="I34" s="21">
        <f t="shared" si="10"/>
        <v>0.11678126825093657</v>
      </c>
      <c r="J34" s="21">
        <f t="shared" si="10"/>
        <v>0.15555218884196462</v>
      </c>
      <c r="K34" s="21">
        <f t="shared" si="10"/>
        <v>0.18398899149926526</v>
      </c>
      <c r="L34" s="21">
        <f t="shared" si="10"/>
        <v>0.22179851872129275</v>
      </c>
      <c r="M34" s="21">
        <f t="shared" si="10"/>
        <v>10.371675922427206</v>
      </c>
      <c r="O34" s="68"/>
      <c r="Q34" s="69"/>
    </row>
    <row r="35" spans="1:17" x14ac:dyDescent="0.2">
      <c r="A35" s="4" t="s">
        <v>42</v>
      </c>
      <c r="B35" s="68">
        <f>+'Calculation of Revenue'!D43</f>
        <v>58</v>
      </c>
      <c r="C35" s="21">
        <f t="shared" ref="C35:M35" si="11">+$B35*C20</f>
        <v>0</v>
      </c>
      <c r="D35" s="21">
        <f t="shared" si="11"/>
        <v>22.717722161475915</v>
      </c>
      <c r="E35" s="21">
        <f t="shared" si="11"/>
        <v>10.152139831244545</v>
      </c>
      <c r="F35" s="21">
        <f t="shared" si="11"/>
        <v>0.5273616863919065</v>
      </c>
      <c r="G35" s="21">
        <f t="shared" si="11"/>
        <v>13.798193412070523</v>
      </c>
      <c r="H35" s="21">
        <f t="shared" si="11"/>
        <v>0.41317663360698498</v>
      </c>
      <c r="I35" s="21">
        <f t="shared" si="11"/>
        <v>5.6845631739187531E-2</v>
      </c>
      <c r="J35" s="21">
        <f t="shared" si="11"/>
        <v>0.20168043753825579</v>
      </c>
      <c r="K35" s="21">
        <f t="shared" si="11"/>
        <v>0.2268300540639463</v>
      </c>
      <c r="L35" s="21">
        <f t="shared" si="11"/>
        <v>0.2400963500814825</v>
      </c>
      <c r="M35" s="21">
        <f t="shared" si="11"/>
        <v>9.6659538017872535</v>
      </c>
      <c r="O35" s="68"/>
      <c r="Q35" s="69"/>
    </row>
    <row r="36" spans="1:17" ht="15" x14ac:dyDescent="0.35">
      <c r="A36" s="4" t="s">
        <v>43</v>
      </c>
      <c r="B36" s="71">
        <f>+'Calculation of Revenue'!D44</f>
        <v>48.24</v>
      </c>
      <c r="C36" s="28">
        <f t="shared" ref="C36:M36" si="12">+$B36*C21</f>
        <v>0</v>
      </c>
      <c r="D36" s="28">
        <f t="shared" si="12"/>
        <v>17.480406169846457</v>
      </c>
      <c r="E36" s="28">
        <f t="shared" si="12"/>
        <v>10.170396448941826</v>
      </c>
      <c r="F36" s="28">
        <f t="shared" si="12"/>
        <v>0.40358666245037073</v>
      </c>
      <c r="G36" s="28">
        <f t="shared" si="12"/>
        <v>9.6505487040745805</v>
      </c>
      <c r="H36" s="28">
        <f t="shared" si="12"/>
        <v>0.42135225981752805</v>
      </c>
      <c r="I36" s="28">
        <f t="shared" si="12"/>
        <v>0.25945305271541169</v>
      </c>
      <c r="J36" s="28">
        <f t="shared" si="12"/>
        <v>4.205989482683907E-2</v>
      </c>
      <c r="K36" s="28">
        <f t="shared" si="12"/>
        <v>0.22555403300422802</v>
      </c>
      <c r="L36" s="28">
        <f t="shared" si="12"/>
        <v>0.27872527318084395</v>
      </c>
      <c r="M36" s="28">
        <f t="shared" si="12"/>
        <v>9.30791750114191</v>
      </c>
      <c r="O36" s="71"/>
      <c r="Q36" s="69"/>
    </row>
    <row r="37" spans="1:17" ht="15" x14ac:dyDescent="0.35">
      <c r="B37" s="31">
        <f>SUM(B25:B36)</f>
        <v>618.86</v>
      </c>
      <c r="C37" s="31">
        <f>SUM(C25:C36)</f>
        <v>0</v>
      </c>
      <c r="D37" s="31">
        <f t="shared" ref="D37:L37" si="13">SUM(D25:D36)</f>
        <v>231.45559879328897</v>
      </c>
      <c r="E37" s="31">
        <f t="shared" si="13"/>
        <v>126.25015220523514</v>
      </c>
      <c r="F37" s="31">
        <f t="shared" si="13"/>
        <v>5.7005363483219034</v>
      </c>
      <c r="G37" s="31">
        <f>SUM(G25:G36)</f>
        <v>128.29955157327475</v>
      </c>
      <c r="H37" s="31">
        <f t="shared" si="13"/>
        <v>6.0896158406104783</v>
      </c>
      <c r="I37" s="31">
        <f t="shared" si="13"/>
        <v>3.1681593783307442</v>
      </c>
      <c r="J37" s="31">
        <f t="shared" si="13"/>
        <v>1.9171169109341719</v>
      </c>
      <c r="K37" s="31">
        <f t="shared" si="13"/>
        <v>2.188160074302175</v>
      </c>
      <c r="L37" s="31">
        <f t="shared" si="13"/>
        <v>2.060855568654353</v>
      </c>
      <c r="M37" s="31">
        <f t="shared" ref="M37" si="14">SUM(M25:M36)</f>
        <v>111.73025330704731</v>
      </c>
      <c r="O37" s="31"/>
      <c r="Q37" s="69"/>
    </row>
    <row r="40" spans="1:17" x14ac:dyDescent="0.2">
      <c r="A40" s="12" t="s">
        <v>57</v>
      </c>
    </row>
    <row r="41" spans="1:17" x14ac:dyDescent="0.2">
      <c r="A41" s="4" t="s">
        <v>58</v>
      </c>
      <c r="C41" s="18">
        <f>+'Reg. Res''l - SS Mix &amp; Prices'!C41</f>
        <v>0</v>
      </c>
      <c r="D41" s="18">
        <f>+'Reg. Res''l - SS Mix &amp; Prices'!D41</f>
        <v>2.75</v>
      </c>
      <c r="E41" s="18">
        <f>+'Reg. Res''l - SS Mix &amp; Prices'!E41</f>
        <v>70.22</v>
      </c>
      <c r="F41" s="18">
        <f>+'Reg. Res''l - SS Mix &amp; Prices'!F41</f>
        <v>895.29</v>
      </c>
      <c r="G41" s="18">
        <f>+'Reg. Res''l - SS Mix &amp; Prices'!H41</f>
        <v>-53.34</v>
      </c>
      <c r="H41" s="18">
        <f>+'Reg. Res''l - SS Mix &amp; Prices'!G41</f>
        <v>114.65</v>
      </c>
      <c r="I41" s="18">
        <f>+'Reg. Res''l - SS Mix &amp; Prices'!I41</f>
        <v>113.9</v>
      </c>
      <c r="J41" s="18">
        <f>+'Reg. Res''l - SS Mix &amp; Prices'!J41</f>
        <v>500</v>
      </c>
      <c r="K41" s="18">
        <f>+'Reg. Res''l - SS Mix &amp; Prices'!K41</f>
        <v>220</v>
      </c>
      <c r="L41" s="18">
        <f>+'Reg. Res''l - SS Mix &amp; Prices'!L41</f>
        <v>-187.5</v>
      </c>
    </row>
    <row r="42" spans="1:17" x14ac:dyDescent="0.2">
      <c r="A42" s="4" t="s">
        <v>35</v>
      </c>
      <c r="C42" s="18">
        <f>+'Reg. Res''l - SS Mix &amp; Prices'!C42</f>
        <v>0</v>
      </c>
      <c r="D42" s="18">
        <f>+'Reg. Res''l - SS Mix &amp; Prices'!D42</f>
        <v>5.74</v>
      </c>
      <c r="E42" s="18">
        <f>+'Reg. Res''l - SS Mix &amp; Prices'!E42</f>
        <v>65.28</v>
      </c>
      <c r="F42" s="18">
        <f>+'Reg. Res''l - SS Mix &amp; Prices'!F42</f>
        <v>908.42</v>
      </c>
      <c r="G42" s="18">
        <f>+'Reg. Res''l - SS Mix &amp; Prices'!H42</f>
        <v>-53.34</v>
      </c>
      <c r="H42" s="18">
        <f>+'Reg. Res''l - SS Mix &amp; Prices'!G42</f>
        <v>87.32</v>
      </c>
      <c r="I42" s="18">
        <f>+'Reg. Res''l - SS Mix &amp; Prices'!I42</f>
        <v>88.05</v>
      </c>
      <c r="J42" s="18">
        <f>+'Reg. Res''l - SS Mix &amp; Prices'!J42</f>
        <v>790</v>
      </c>
      <c r="K42" s="18">
        <f>+'Reg. Res''l - SS Mix &amp; Prices'!K42</f>
        <v>239.85</v>
      </c>
      <c r="L42" s="18">
        <f>+'Reg. Res''l - SS Mix &amp; Prices'!L42</f>
        <v>-187.5</v>
      </c>
    </row>
    <row r="43" spans="1:17" x14ac:dyDescent="0.2">
      <c r="A43" s="4" t="s">
        <v>36</v>
      </c>
      <c r="C43" s="18">
        <f>+'Reg. Res''l - SS Mix &amp; Prices'!C43</f>
        <v>0</v>
      </c>
      <c r="D43" s="18">
        <f>+'Reg. Res''l - SS Mix &amp; Prices'!D43</f>
        <v>-3.75</v>
      </c>
      <c r="E43" s="18">
        <f>+'Reg. Res''l - SS Mix &amp; Prices'!E43</f>
        <v>62.34</v>
      </c>
      <c r="F43" s="18">
        <f>+'Reg. Res''l - SS Mix &amp; Prices'!F43</f>
        <v>850.71</v>
      </c>
      <c r="G43" s="18">
        <f>+'Reg. Res''l - SS Mix &amp; Prices'!H43</f>
        <v>-53.34</v>
      </c>
      <c r="H43" s="18">
        <f>+'Reg. Res''l - SS Mix &amp; Prices'!G43</f>
        <v>96.2</v>
      </c>
      <c r="I43" s="18">
        <f>+'Reg. Res''l - SS Mix &amp; Prices'!I43</f>
        <v>79</v>
      </c>
      <c r="J43" s="18">
        <f>+'Reg. Res''l - SS Mix &amp; Prices'!J43</f>
        <v>860</v>
      </c>
      <c r="K43" s="18">
        <f>+'Reg. Res''l - SS Mix &amp; Prices'!K43</f>
        <v>310</v>
      </c>
      <c r="L43" s="18">
        <f>+'Reg. Res''l - SS Mix &amp; Prices'!L43</f>
        <v>-187.5</v>
      </c>
    </row>
    <row r="44" spans="1:17" x14ac:dyDescent="0.2">
      <c r="A44" s="4" t="s">
        <v>37</v>
      </c>
      <c r="C44" s="18">
        <f>+'Reg. Res''l - SS Mix &amp; Prices'!C44</f>
        <v>0</v>
      </c>
      <c r="D44" s="18">
        <f>+'Reg. Res''l - SS Mix &amp; Prices'!D44</f>
        <v>2.31</v>
      </c>
      <c r="E44" s="18">
        <f>+'Reg. Res''l - SS Mix &amp; Prices'!E44</f>
        <v>59.14</v>
      </c>
      <c r="F44" s="18">
        <f>+'Reg. Res''l - SS Mix &amp; Prices'!F44</f>
        <v>860.47</v>
      </c>
      <c r="G44" s="18">
        <f>+'Reg. Res''l - SS Mix &amp; Prices'!H44</f>
        <v>-53.34</v>
      </c>
      <c r="H44" s="18">
        <f>+'Reg. Res''l - SS Mix &amp; Prices'!G44</f>
        <v>109.31</v>
      </c>
      <c r="I44" s="18">
        <f>+'Reg. Res''l - SS Mix &amp; Prices'!I44</f>
        <v>152.85</v>
      </c>
      <c r="J44" s="18">
        <f>+'Reg. Res''l - SS Mix &amp; Prices'!J44</f>
        <v>938.43</v>
      </c>
      <c r="K44" s="18">
        <f>+'Reg. Res''l - SS Mix &amp; Prices'!K44</f>
        <v>260</v>
      </c>
      <c r="L44" s="18">
        <f>+'Reg. Res''l - SS Mix &amp; Prices'!L44</f>
        <v>-187.5</v>
      </c>
    </row>
    <row r="45" spans="1:17" x14ac:dyDescent="0.2">
      <c r="A45" s="4" t="s">
        <v>45</v>
      </c>
      <c r="C45" s="18">
        <f>+'Reg. Res''l - SS Mix &amp; Prices'!C45</f>
        <v>0</v>
      </c>
      <c r="D45" s="18">
        <f>+'Reg. Res''l - SS Mix &amp; Prices'!D45</f>
        <v>-0.11</v>
      </c>
      <c r="E45" s="18">
        <f>+'Reg. Res''l - SS Mix &amp; Prices'!E45</f>
        <v>66.25</v>
      </c>
      <c r="F45" s="18">
        <f>+'Reg. Res''l - SS Mix &amp; Prices'!F45</f>
        <v>864.23</v>
      </c>
      <c r="G45" s="18">
        <f>+'Reg. Res''l - SS Mix &amp; Prices'!H45</f>
        <v>-53.34</v>
      </c>
      <c r="H45" s="18">
        <f>+'Reg. Res''l - SS Mix &amp; Prices'!G45</f>
        <v>126.19</v>
      </c>
      <c r="I45" s="18">
        <f>+'Reg. Res''l - SS Mix &amp; Prices'!I45</f>
        <v>180</v>
      </c>
      <c r="J45" s="18">
        <f>+'Reg. Res''l - SS Mix &amp; Prices'!J45</f>
        <v>1020</v>
      </c>
      <c r="K45" s="18">
        <f>+'Reg. Res''l - SS Mix &amp; Prices'!K45</f>
        <v>260</v>
      </c>
      <c r="L45" s="18">
        <f>+'Reg. Res''l - SS Mix &amp; Prices'!L45</f>
        <v>-187.5</v>
      </c>
    </row>
    <row r="46" spans="1:17" x14ac:dyDescent="0.2">
      <c r="A46" s="4" t="s">
        <v>38</v>
      </c>
      <c r="C46" s="18">
        <f>+'Reg. Res''l - SS Mix &amp; Prices'!C46</f>
        <v>0</v>
      </c>
      <c r="D46" s="18">
        <f>+'Reg. Res''l - SS Mix &amp; Prices'!D46</f>
        <v>2.08</v>
      </c>
      <c r="E46" s="18">
        <f>+'Reg. Res''l - SS Mix &amp; Prices'!E46</f>
        <v>78.12</v>
      </c>
      <c r="F46" s="18">
        <f>+'Reg. Res''l - SS Mix &amp; Prices'!F46</f>
        <v>799.14</v>
      </c>
      <c r="G46" s="18">
        <f>+'Reg. Res''l - SS Mix &amp; Prices'!H46</f>
        <v>-53.34</v>
      </c>
      <c r="H46" s="18">
        <f>+'Reg. Res''l - SS Mix &amp; Prices'!G46</f>
        <v>110.02</v>
      </c>
      <c r="I46" s="18">
        <f>+'Reg. Res''l - SS Mix &amp; Prices'!I46</f>
        <v>180</v>
      </c>
      <c r="J46" s="18">
        <f>+'Reg. Res''l - SS Mix &amp; Prices'!J46</f>
        <v>1072.69</v>
      </c>
      <c r="K46" s="18">
        <f>+'Reg. Res''l - SS Mix &amp; Prices'!K46</f>
        <v>160</v>
      </c>
      <c r="L46" s="18">
        <f>+'Reg. Res''l - SS Mix &amp; Prices'!L46</f>
        <v>-187.5</v>
      </c>
    </row>
    <row r="47" spans="1:17" x14ac:dyDescent="0.2">
      <c r="A47" s="4" t="s">
        <v>39</v>
      </c>
      <c r="C47" s="18">
        <f>+'Reg. Res''l - SS Mix &amp; Prices'!C47</f>
        <v>0</v>
      </c>
      <c r="D47" s="18">
        <f>+'Reg. Res''l - SS Mix &amp; Prices'!D47</f>
        <v>-17.27</v>
      </c>
      <c r="E47" s="18">
        <f>+'Reg. Res''l - SS Mix &amp; Prices'!E47</f>
        <v>82.04</v>
      </c>
      <c r="F47" s="18">
        <f>+'Reg. Res''l - SS Mix &amp; Prices'!F47</f>
        <v>832.47</v>
      </c>
      <c r="G47" s="18">
        <f>+'Reg. Res''l - SS Mix &amp; Prices'!H47</f>
        <v>-53.34</v>
      </c>
      <c r="H47" s="18">
        <f>+'Reg. Res''l - SS Mix &amp; Prices'!G47</f>
        <v>119.1</v>
      </c>
      <c r="I47" s="18">
        <f>+'Reg. Res''l - SS Mix &amp; Prices'!I47</f>
        <v>180</v>
      </c>
      <c r="J47" s="18">
        <f>+'Reg. Res''l - SS Mix &amp; Prices'!J47</f>
        <v>649.80999999999995</v>
      </c>
      <c r="K47" s="18">
        <f>+'Reg. Res''l - SS Mix &amp; Prices'!K47</f>
        <v>150</v>
      </c>
      <c r="L47" s="18">
        <f>+'Reg. Res''l - SS Mix &amp; Prices'!L47</f>
        <v>-187.5</v>
      </c>
      <c r="M47" s="38"/>
    </row>
    <row r="48" spans="1:17" x14ac:dyDescent="0.2">
      <c r="A48" s="4" t="s">
        <v>40</v>
      </c>
      <c r="C48" s="18">
        <f>+'Reg. Res''l - SS Mix &amp; Prices'!C48</f>
        <v>0</v>
      </c>
      <c r="D48" s="18">
        <f>+'Reg. Res''l - SS Mix &amp; Prices'!D48</f>
        <v>-10.76</v>
      </c>
      <c r="E48" s="18">
        <f>+'Reg. Res''l - SS Mix &amp; Prices'!E48</f>
        <v>84.21</v>
      </c>
      <c r="F48" s="18">
        <f>+'Reg. Res''l - SS Mix &amp; Prices'!F48</f>
        <v>813.28</v>
      </c>
      <c r="G48" s="18">
        <f>+'Reg. Res''l - SS Mix &amp; Prices'!H48</f>
        <v>-59.96</v>
      </c>
      <c r="H48" s="18">
        <f>+'Reg. Res''l - SS Mix &amp; Prices'!G48</f>
        <v>78.25</v>
      </c>
      <c r="I48" s="18">
        <f>+'Reg. Res''l - SS Mix &amp; Prices'!I48</f>
        <v>150</v>
      </c>
      <c r="J48" s="18">
        <f>+'Reg. Res''l - SS Mix &amp; Prices'!J48</f>
        <v>680</v>
      </c>
      <c r="K48" s="18">
        <f>+'Reg. Res''l - SS Mix &amp; Prices'!K48</f>
        <v>60</v>
      </c>
      <c r="L48" s="18">
        <f>+'Reg. Res''l - SS Mix &amp; Prices'!L48</f>
        <v>-187.5</v>
      </c>
    </row>
    <row r="49" spans="1:12" x14ac:dyDescent="0.2">
      <c r="A49" s="4" t="s">
        <v>10</v>
      </c>
      <c r="C49" s="18">
        <f>+'Reg. Res''l - SS Mix &amp; Prices'!C49</f>
        <v>0</v>
      </c>
      <c r="D49" s="18">
        <f>+'Reg. Res''l - SS Mix &amp; Prices'!D49</f>
        <v>-5.37</v>
      </c>
      <c r="E49" s="18">
        <f>+'Reg. Res''l - SS Mix &amp; Prices'!E49</f>
        <v>110.43</v>
      </c>
      <c r="F49" s="18">
        <f>+'Reg. Res''l - SS Mix &amp; Prices'!F49</f>
        <v>693.51</v>
      </c>
      <c r="G49" s="18">
        <f>+'Reg. Res''l - SS Mix &amp; Prices'!H49</f>
        <v>-53.34</v>
      </c>
      <c r="H49" s="18">
        <f>+'Reg. Res''l - SS Mix &amp; Prices'!G49</f>
        <v>90.06</v>
      </c>
      <c r="I49" s="18">
        <f>+'Reg. Res''l - SS Mix &amp; Prices'!I49</f>
        <v>130</v>
      </c>
      <c r="J49" s="18">
        <f>+'Reg. Res''l - SS Mix &amp; Prices'!J49</f>
        <v>640</v>
      </c>
      <c r="K49" s="18">
        <f>+'Reg. Res''l - SS Mix &amp; Prices'!K49</f>
        <v>60</v>
      </c>
      <c r="L49" s="18">
        <f>+'Reg. Res''l - SS Mix &amp; Prices'!L49</f>
        <v>-187.5</v>
      </c>
    </row>
    <row r="50" spans="1:12" x14ac:dyDescent="0.2">
      <c r="A50" s="4" t="s">
        <v>41</v>
      </c>
      <c r="C50" s="18">
        <f>+'Reg. Res''l - SS Mix &amp; Prices'!C50</f>
        <v>0</v>
      </c>
      <c r="D50" s="18">
        <f>+'Reg. Res''l - SS Mix &amp; Prices'!D50</f>
        <v>2.2599999999999998</v>
      </c>
      <c r="E50" s="18">
        <f>+'Reg. Res''l - SS Mix &amp; Prices'!E50</f>
        <v>77.239999999999995</v>
      </c>
      <c r="F50" s="18">
        <f>+'Reg. Res''l - SS Mix &amp; Prices'!F50</f>
        <v>731.99</v>
      </c>
      <c r="G50" s="18">
        <f>+'Reg. Res''l - SS Mix &amp; Prices'!H50</f>
        <v>-63.5</v>
      </c>
      <c r="H50" s="18">
        <f>+'Reg. Res''l - SS Mix &amp; Prices'!G50</f>
        <v>94.5</v>
      </c>
      <c r="I50" s="18">
        <f>+'Reg. Res''l - SS Mix &amp; Prices'!I50</f>
        <v>88.62</v>
      </c>
      <c r="J50" s="18">
        <f>+'Reg. Res''l - SS Mix &amp; Prices'!J50</f>
        <v>709.87</v>
      </c>
      <c r="K50" s="18">
        <f>+'Reg. Res''l - SS Mix &amp; Prices'!K50</f>
        <v>60</v>
      </c>
      <c r="L50" s="18">
        <f>+'Reg. Res''l - SS Mix &amp; Prices'!L50</f>
        <v>-187.5</v>
      </c>
    </row>
    <row r="51" spans="1:12" x14ac:dyDescent="0.2">
      <c r="A51" s="4" t="s">
        <v>42</v>
      </c>
      <c r="C51" s="18">
        <f>+'Reg. Res''l - SS Mix &amp; Prices'!C51</f>
        <v>0</v>
      </c>
      <c r="D51" s="18">
        <f>+'Reg. Res''l - SS Mix &amp; Prices'!D51</f>
        <v>6.43</v>
      </c>
      <c r="E51" s="18">
        <f>+'Reg. Res''l - SS Mix &amp; Prices'!E51</f>
        <v>82.82</v>
      </c>
      <c r="F51" s="18">
        <f>+'Reg. Res''l - SS Mix &amp; Prices'!F51</f>
        <v>810.19</v>
      </c>
      <c r="G51" s="18">
        <f>+'Reg. Res''l - SS Mix &amp; Prices'!H51</f>
        <v>-63.5</v>
      </c>
      <c r="H51" s="18">
        <f>+'Reg. Res''l - SS Mix &amp; Prices'!G51</f>
        <v>89.83</v>
      </c>
      <c r="I51" s="18">
        <f>+'Reg. Res''l - SS Mix &amp; Prices'!I51</f>
        <v>77.11</v>
      </c>
      <c r="J51" s="18">
        <f>+'Reg. Res''l - SS Mix &amp; Prices'!J51</f>
        <v>735</v>
      </c>
      <c r="K51" s="18">
        <f>+'Reg. Res''l - SS Mix &amp; Prices'!K51</f>
        <v>60</v>
      </c>
      <c r="L51" s="18">
        <f>+'Reg. Res''l - SS Mix &amp; Prices'!L51</f>
        <v>-187.5</v>
      </c>
    </row>
    <row r="52" spans="1:12" x14ac:dyDescent="0.2">
      <c r="A52" s="4" t="s">
        <v>43</v>
      </c>
      <c r="C52" s="18">
        <f>+'Reg. Res''l - SS Mix &amp; Prices'!C52</f>
        <v>0</v>
      </c>
      <c r="D52" s="18">
        <f>+'Reg. Res''l - SS Mix &amp; Prices'!D52</f>
        <v>10.63</v>
      </c>
      <c r="E52" s="18">
        <f>+'Reg. Res''l - SS Mix &amp; Prices'!E52</f>
        <v>88.36</v>
      </c>
      <c r="F52" s="18">
        <f>+'Reg. Res''l - SS Mix &amp; Prices'!F52</f>
        <v>881.39</v>
      </c>
      <c r="G52" s="18">
        <f>+'Reg. Res''l - SS Mix &amp; Prices'!H52</f>
        <v>-63.5</v>
      </c>
      <c r="H52" s="18">
        <f>+'Reg. Res''l - SS Mix &amp; Prices'!G52</f>
        <v>100.29</v>
      </c>
      <c r="I52" s="18">
        <f>+'Reg. Res''l - SS Mix &amp; Prices'!I52</f>
        <v>42</v>
      </c>
      <c r="J52" s="18">
        <f>+'Reg. Res''l - SS Mix &amp; Prices'!J52</f>
        <v>781.32</v>
      </c>
      <c r="K52" s="18">
        <f>+'Reg. Res''l - SS Mix &amp; Prices'!K52</f>
        <v>60</v>
      </c>
      <c r="L52" s="18">
        <f>+'Reg. Res''l - SS Mix &amp; Prices'!L52</f>
        <v>-187.5</v>
      </c>
    </row>
    <row r="55" spans="1:12" x14ac:dyDescent="0.2">
      <c r="A55" s="12" t="s">
        <v>60</v>
      </c>
    </row>
    <row r="56" spans="1:12" x14ac:dyDescent="0.2">
      <c r="A56" s="4" t="s">
        <v>58</v>
      </c>
      <c r="B56" s="20">
        <f t="shared" ref="B56:B67" si="15">SUM(C56:L56)</f>
        <v>860.30639980607714</v>
      </c>
      <c r="C56" s="20">
        <f t="shared" ref="C56:L56" si="16">+C41*C25</f>
        <v>0</v>
      </c>
      <c r="D56" s="20">
        <f t="shared" si="16"/>
        <v>49.49148169910525</v>
      </c>
      <c r="E56" s="20">
        <f t="shared" si="16"/>
        <v>899.73943995274158</v>
      </c>
      <c r="F56" s="20">
        <f t="shared" si="16"/>
        <v>367.69187061866074</v>
      </c>
      <c r="G56" s="20">
        <f t="shared" si="16"/>
        <v>-642.69279129183428</v>
      </c>
      <c r="H56" s="20">
        <f t="shared" si="16"/>
        <v>50.940305822343902</v>
      </c>
      <c r="I56" s="20">
        <f t="shared" si="16"/>
        <v>48.293502568421509</v>
      </c>
      <c r="J56" s="20">
        <f t="shared" si="16"/>
        <v>84.358387938093813</v>
      </c>
      <c r="K56" s="20">
        <f t="shared" si="16"/>
        <v>39.896681250342844</v>
      </c>
      <c r="L56" s="20">
        <f t="shared" si="16"/>
        <v>-37.41247875179824</v>
      </c>
    </row>
    <row r="57" spans="1:12" x14ac:dyDescent="0.2">
      <c r="A57" s="4" t="s">
        <v>35</v>
      </c>
      <c r="B57" s="20">
        <f t="shared" si="15"/>
        <v>989.95847189274082</v>
      </c>
      <c r="C57" s="20">
        <f t="shared" ref="C57:L57" si="17">+C42*C26</f>
        <v>0</v>
      </c>
      <c r="D57" s="20">
        <f t="shared" si="17"/>
        <v>92.982502956186693</v>
      </c>
      <c r="E57" s="20">
        <f t="shared" si="17"/>
        <v>914.36558533691289</v>
      </c>
      <c r="F57" s="20">
        <f t="shared" si="17"/>
        <v>371.99660691786119</v>
      </c>
      <c r="G57" s="20">
        <f t="shared" si="17"/>
        <v>-635.76276694730666</v>
      </c>
      <c r="H57" s="20">
        <f t="shared" si="17"/>
        <v>48.964510806376381</v>
      </c>
      <c r="I57" s="20">
        <f t="shared" si="17"/>
        <v>24.253829656556658</v>
      </c>
      <c r="J57" s="20">
        <f t="shared" si="17"/>
        <v>153.09315261302908</v>
      </c>
      <c r="K57" s="20">
        <f t="shared" si="17"/>
        <v>47.125167705888757</v>
      </c>
      <c r="L57" s="20">
        <f t="shared" si="17"/>
        <v>-27.060117152763919</v>
      </c>
    </row>
    <row r="58" spans="1:12" x14ac:dyDescent="0.2">
      <c r="A58" s="4" t="s">
        <v>36</v>
      </c>
      <c r="B58" s="20">
        <f t="shared" si="15"/>
        <v>961.28845828220915</v>
      </c>
      <c r="C58" s="20">
        <f t="shared" ref="C58:L58" si="18">+C43*C27</f>
        <v>0</v>
      </c>
      <c r="D58" s="20">
        <f t="shared" si="18"/>
        <v>-63.469799459398118</v>
      </c>
      <c r="E58" s="20">
        <f t="shared" si="18"/>
        <v>761.89028500159122</v>
      </c>
      <c r="F58" s="20">
        <f t="shared" si="18"/>
        <v>480.58324209127085</v>
      </c>
      <c r="G58" s="20">
        <f t="shared" si="18"/>
        <v>-432.89187190316648</v>
      </c>
      <c r="H58" s="20">
        <f t="shared" si="18"/>
        <v>32.62054429887332</v>
      </c>
      <c r="I58" s="20">
        <f t="shared" si="18"/>
        <v>30.227373289861386</v>
      </c>
      <c r="J58" s="20">
        <f t="shared" si="18"/>
        <v>107.90305034950617</v>
      </c>
      <c r="K58" s="20">
        <f t="shared" si="18"/>
        <v>69.721548184830482</v>
      </c>
      <c r="L58" s="20">
        <f t="shared" si="18"/>
        <v>-25.295913571159723</v>
      </c>
    </row>
    <row r="59" spans="1:12" x14ac:dyDescent="0.2">
      <c r="A59" s="4" t="s">
        <v>37</v>
      </c>
      <c r="B59" s="20">
        <f t="shared" si="15"/>
        <v>750.34971819435827</v>
      </c>
      <c r="C59" s="20">
        <f t="shared" ref="C59:L59" si="19">+C44*C28</f>
        <v>0</v>
      </c>
      <c r="D59" s="20">
        <f t="shared" si="19"/>
        <v>48.968150613202191</v>
      </c>
      <c r="E59" s="20">
        <f t="shared" si="19"/>
        <v>759.88278812559099</v>
      </c>
      <c r="F59" s="20">
        <f t="shared" si="19"/>
        <v>297.3751412421737</v>
      </c>
      <c r="G59" s="20">
        <f t="shared" si="19"/>
        <v>-568.12496196948052</v>
      </c>
      <c r="H59" s="20">
        <f t="shared" si="19"/>
        <v>61.474330163950412</v>
      </c>
      <c r="I59" s="20">
        <f t="shared" si="19"/>
        <v>22.347091465373438</v>
      </c>
      <c r="J59" s="20">
        <f t="shared" si="19"/>
        <v>137.79840748754197</v>
      </c>
      <c r="K59" s="20">
        <f t="shared" si="19"/>
        <v>14.224703581357939</v>
      </c>
      <c r="L59" s="20">
        <f t="shared" si="19"/>
        <v>-23.595932515351912</v>
      </c>
    </row>
    <row r="60" spans="1:12" x14ac:dyDescent="0.2">
      <c r="A60" s="4" t="s">
        <v>45</v>
      </c>
      <c r="B60" s="20">
        <f t="shared" si="15"/>
        <v>892.73210890006658</v>
      </c>
      <c r="C60" s="20">
        <f t="shared" ref="C60:L60" si="20">+C45*C29</f>
        <v>0</v>
      </c>
      <c r="D60" s="20">
        <f t="shared" si="20"/>
        <v>-2.2982691632788539</v>
      </c>
      <c r="E60" s="20">
        <f t="shared" si="20"/>
        <v>786.9244793874243</v>
      </c>
      <c r="F60" s="20">
        <f t="shared" si="20"/>
        <v>335.77122965507118</v>
      </c>
      <c r="G60" s="20">
        <f t="shared" si="20"/>
        <v>-637.79571563358729</v>
      </c>
      <c r="H60" s="20">
        <f t="shared" si="20"/>
        <v>75.633041708857775</v>
      </c>
      <c r="I60" s="20">
        <f t="shared" si="20"/>
        <v>37.950534803371177</v>
      </c>
      <c r="J60" s="20">
        <f t="shared" si="20"/>
        <v>281.07657134306686</v>
      </c>
      <c r="K60" s="20">
        <f t="shared" si="20"/>
        <v>37.314138989633534</v>
      </c>
      <c r="L60" s="20">
        <f t="shared" si="20"/>
        <v>-21.843902190491988</v>
      </c>
    </row>
    <row r="61" spans="1:12" x14ac:dyDescent="0.2">
      <c r="A61" s="4" t="s">
        <v>38</v>
      </c>
      <c r="B61" s="20">
        <f t="shared" si="15"/>
        <v>873.1712950063411</v>
      </c>
      <c r="C61" s="20">
        <f t="shared" ref="C61:L61" si="21">+C46*C30</f>
        <v>0</v>
      </c>
      <c r="D61" s="20">
        <f t="shared" si="21"/>
        <v>34.10669590340423</v>
      </c>
      <c r="E61" s="20">
        <f t="shared" si="21"/>
        <v>719.95190307676523</v>
      </c>
      <c r="F61" s="20">
        <f t="shared" si="21"/>
        <v>265.44724938475844</v>
      </c>
      <c r="G61" s="20">
        <f t="shared" si="21"/>
        <v>-414.75357391302663</v>
      </c>
      <c r="H61" s="20">
        <f t="shared" si="21"/>
        <v>48.856236495420269</v>
      </c>
      <c r="I61" s="20">
        <f t="shared" si="21"/>
        <v>60.381227872379689</v>
      </c>
      <c r="J61" s="20">
        <f t="shared" si="21"/>
        <v>152.08332074119113</v>
      </c>
      <c r="K61" s="20">
        <f t="shared" si="21"/>
        <v>26.375470093063932</v>
      </c>
      <c r="L61" s="20">
        <f t="shared" si="21"/>
        <v>-19.277234647615078</v>
      </c>
    </row>
    <row r="62" spans="1:12" x14ac:dyDescent="0.2">
      <c r="A62" s="4" t="s">
        <v>39</v>
      </c>
      <c r="B62" s="20">
        <f t="shared" si="15"/>
        <v>510.66210608235804</v>
      </c>
      <c r="C62" s="20">
        <f t="shared" ref="C62:L62" si="22">+C47*C31</f>
        <v>0</v>
      </c>
      <c r="D62" s="20">
        <f t="shared" si="22"/>
        <v>-374.33133604300474</v>
      </c>
      <c r="E62" s="20">
        <f t="shared" si="22"/>
        <v>708.50720283278417</v>
      </c>
      <c r="F62" s="20">
        <f t="shared" si="22"/>
        <v>395.45028921231108</v>
      </c>
      <c r="G62" s="20">
        <f t="shared" si="22"/>
        <v>-451.43092908683599</v>
      </c>
      <c r="H62" s="20">
        <f t="shared" si="22"/>
        <v>60.105243020848192</v>
      </c>
      <c r="I62" s="20">
        <f t="shared" si="22"/>
        <v>62.645304714549312</v>
      </c>
      <c r="J62" s="20">
        <f t="shared" si="22"/>
        <v>113.35125732217433</v>
      </c>
      <c r="K62" s="20">
        <f t="shared" si="22"/>
        <v>27.155427841122069</v>
      </c>
      <c r="L62" s="20">
        <f t="shared" si="22"/>
        <v>-30.790353731590489</v>
      </c>
    </row>
    <row r="63" spans="1:12" x14ac:dyDescent="0.2">
      <c r="A63" s="4" t="s">
        <v>40</v>
      </c>
      <c r="B63" s="20">
        <f t="shared" si="15"/>
        <v>505.84194592717438</v>
      </c>
      <c r="C63" s="20">
        <f t="shared" ref="C63:L63" si="23">+C48*C32</f>
        <v>0</v>
      </c>
      <c r="D63" s="20">
        <f t="shared" si="23"/>
        <v>-224.74115164199583</v>
      </c>
      <c r="E63" s="20">
        <f t="shared" si="23"/>
        <v>610.61117457021976</v>
      </c>
      <c r="F63" s="20">
        <f t="shared" si="23"/>
        <v>517.39918627817588</v>
      </c>
      <c r="G63" s="20">
        <f t="shared" si="23"/>
        <v>-595.15190590600037</v>
      </c>
      <c r="H63" s="20">
        <f t="shared" si="23"/>
        <v>51.110252288783492</v>
      </c>
      <c r="I63" s="20">
        <f t="shared" si="23"/>
        <v>66.684843396012567</v>
      </c>
      <c r="J63" s="20">
        <f t="shared" si="23"/>
        <v>96.075039672155455</v>
      </c>
      <c r="K63" s="20">
        <f t="shared" si="23"/>
        <v>11.372960436260485</v>
      </c>
      <c r="L63" s="20">
        <f t="shared" si="23"/>
        <v>-27.51845316643708</v>
      </c>
    </row>
    <row r="64" spans="1:12" x14ac:dyDescent="0.2">
      <c r="A64" s="4" t="s">
        <v>10</v>
      </c>
      <c r="B64" s="20">
        <f t="shared" si="15"/>
        <v>738.77032234920171</v>
      </c>
      <c r="C64" s="20">
        <f t="shared" ref="C64:L64" si="24">+C49*C33</f>
        <v>0</v>
      </c>
      <c r="D64" s="20">
        <f t="shared" si="24"/>
        <v>-108.72843457821149</v>
      </c>
      <c r="E64" s="20">
        <f t="shared" si="24"/>
        <v>855.0624066775124</v>
      </c>
      <c r="F64" s="20">
        <f t="shared" si="24"/>
        <v>452.32323882254133</v>
      </c>
      <c r="G64" s="20">
        <f t="shared" si="24"/>
        <v>-611.31932861693895</v>
      </c>
      <c r="H64" s="20">
        <f t="shared" si="24"/>
        <v>55.465674274726723</v>
      </c>
      <c r="I64" s="20">
        <f t="shared" si="24"/>
        <v>21.828909647835662</v>
      </c>
      <c r="J64" s="20">
        <f t="shared" si="24"/>
        <v>95.96397116786919</v>
      </c>
      <c r="K64" s="20">
        <f t="shared" si="24"/>
        <v>12.923641727420877</v>
      </c>
      <c r="L64" s="20">
        <f t="shared" si="24"/>
        <v>-34.749756773554168</v>
      </c>
    </row>
    <row r="65" spans="1:12" x14ac:dyDescent="0.2">
      <c r="A65" s="4" t="s">
        <v>41</v>
      </c>
      <c r="B65" s="20">
        <f t="shared" si="15"/>
        <v>512.5514429363609</v>
      </c>
      <c r="C65" s="20">
        <f t="shared" ref="C65:L65" si="25">+C50*C34</f>
        <v>0</v>
      </c>
      <c r="D65" s="20">
        <f t="shared" si="25"/>
        <v>42.573348430394994</v>
      </c>
      <c r="E65" s="20">
        <f t="shared" si="25"/>
        <v>719.33221451842633</v>
      </c>
      <c r="F65" s="20">
        <f t="shared" si="25"/>
        <v>406.06902477799019</v>
      </c>
      <c r="G65" s="20">
        <f t="shared" si="25"/>
        <v>-795.86575086481866</v>
      </c>
      <c r="H65" s="20">
        <f t="shared" si="25"/>
        <v>50.219500559011188</v>
      </c>
      <c r="I65" s="20">
        <f t="shared" si="25"/>
        <v>10.349155992398</v>
      </c>
      <c r="J65" s="20">
        <f t="shared" si="25"/>
        <v>110.42183229324543</v>
      </c>
      <c r="K65" s="20">
        <f t="shared" si="25"/>
        <v>11.039339489955916</v>
      </c>
      <c r="L65" s="20">
        <f t="shared" si="25"/>
        <v>-41.587222260242392</v>
      </c>
    </row>
    <row r="66" spans="1:12" x14ac:dyDescent="0.2">
      <c r="A66" s="4" t="s">
        <v>42</v>
      </c>
      <c r="B66" s="20">
        <f t="shared" si="15"/>
        <v>696.27894020784481</v>
      </c>
      <c r="C66" s="20">
        <f t="shared" ref="C66:L66" si="26">+C51*C35</f>
        <v>0</v>
      </c>
      <c r="D66" s="20">
        <f t="shared" si="26"/>
        <v>146.07495349829014</v>
      </c>
      <c r="E66" s="20">
        <f t="shared" si="26"/>
        <v>840.80022082367316</v>
      </c>
      <c r="F66" s="20">
        <f t="shared" si="26"/>
        <v>427.26316469785877</v>
      </c>
      <c r="G66" s="20">
        <f t="shared" si="26"/>
        <v>-876.1852816664782</v>
      </c>
      <c r="H66" s="20">
        <f t="shared" si="26"/>
        <v>37.115656996915462</v>
      </c>
      <c r="I66" s="20">
        <f t="shared" si="26"/>
        <v>4.3833666634087507</v>
      </c>
      <c r="J66" s="20">
        <f t="shared" si="26"/>
        <v>148.23512159061801</v>
      </c>
      <c r="K66" s="20">
        <f t="shared" si="26"/>
        <v>13.609803243836778</v>
      </c>
      <c r="L66" s="20">
        <f t="shared" si="26"/>
        <v>-45.018065640277968</v>
      </c>
    </row>
    <row r="67" spans="1:12" ht="15" x14ac:dyDescent="0.35">
      <c r="A67" s="4" t="s">
        <v>43</v>
      </c>
      <c r="B67" s="27">
        <f t="shared" si="15"/>
        <v>874.66929015846245</v>
      </c>
      <c r="C67" s="27">
        <f t="shared" ref="C67:L67" si="27">+C52*C36</f>
        <v>0</v>
      </c>
      <c r="D67" s="27">
        <f t="shared" si="27"/>
        <v>185.81671758546784</v>
      </c>
      <c r="E67" s="27">
        <f t="shared" si="27"/>
        <v>898.65623022849979</v>
      </c>
      <c r="F67" s="27">
        <f t="shared" si="27"/>
        <v>355.71724841713223</v>
      </c>
      <c r="G67" s="27">
        <f t="shared" si="27"/>
        <v>-612.80984270873591</v>
      </c>
      <c r="H67" s="27">
        <f t="shared" si="27"/>
        <v>42.25741813709989</v>
      </c>
      <c r="I67" s="27">
        <f t="shared" si="27"/>
        <v>10.897028214047291</v>
      </c>
      <c r="J67" s="27">
        <f t="shared" si="27"/>
        <v>32.862237026105902</v>
      </c>
      <c r="K67" s="27">
        <f t="shared" si="27"/>
        <v>13.533241980253681</v>
      </c>
      <c r="L67" s="27">
        <f t="shared" si="27"/>
        <v>-52.260988721408239</v>
      </c>
    </row>
    <row r="68" spans="1:12" ht="15" x14ac:dyDescent="0.35">
      <c r="B68" s="39">
        <f t="shared" ref="B68" si="28">SUM(B56:B67)</f>
        <v>9166.5804997431969</v>
      </c>
      <c r="C68" s="39">
        <f t="shared" ref="C68" si="29">SUM(C56:C67)</f>
        <v>0</v>
      </c>
      <c r="D68" s="39">
        <f>SUM(D56:D67)</f>
        <v>-173.55514019983767</v>
      </c>
      <c r="E68" s="39">
        <f t="shared" ref="E68:L68" si="30">SUM(E56:E67)</f>
        <v>9475.7239305321436</v>
      </c>
      <c r="F68" s="39">
        <f t="shared" si="30"/>
        <v>4673.0874921158056</v>
      </c>
      <c r="G68" s="39">
        <f>SUM(G56:G67)</f>
        <v>-7274.7847205082098</v>
      </c>
      <c r="H68" s="39">
        <f t="shared" si="30"/>
        <v>614.76271457320706</v>
      </c>
      <c r="I68" s="39">
        <f t="shared" si="30"/>
        <v>400.24216828421544</v>
      </c>
      <c r="J68" s="39">
        <f t="shared" si="30"/>
        <v>1513.2223495445976</v>
      </c>
      <c r="K68" s="39">
        <f t="shared" si="30"/>
        <v>324.29212452396735</v>
      </c>
      <c r="L68" s="39">
        <f t="shared" si="30"/>
        <v>-386.41041912269122</v>
      </c>
    </row>
  </sheetData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1"/>
  <sheetViews>
    <sheetView workbookViewId="0">
      <selection activeCell="A2" sqref="A2"/>
    </sheetView>
  </sheetViews>
  <sheetFormatPr defaultRowHeight="12.75" x14ac:dyDescent="0.2"/>
  <cols>
    <col min="1" max="1" width="9.140625" style="148"/>
    <col min="2" max="2" width="10.42578125" style="148" bestFit="1" customWidth="1"/>
    <col min="3" max="3" width="9.28515625" style="148" bestFit="1" customWidth="1"/>
    <col min="4" max="4" width="10.42578125" style="148" bestFit="1" customWidth="1"/>
    <col min="5" max="5" width="4.85546875" style="148" customWidth="1"/>
    <col min="6" max="9" width="10.42578125" style="148" customWidth="1"/>
    <col min="10" max="10" width="11.140625" style="148" bestFit="1" customWidth="1"/>
    <col min="11" max="12" width="9.28515625" style="148" bestFit="1" customWidth="1"/>
    <col min="13" max="13" width="10.28515625" style="148" bestFit="1" customWidth="1"/>
    <col min="14" max="14" width="9.28515625" style="148" bestFit="1" customWidth="1"/>
    <col min="15" max="15" width="10.7109375" style="148" bestFit="1" customWidth="1"/>
    <col min="16" max="17" width="7.7109375" style="148" bestFit="1" customWidth="1"/>
    <col min="18" max="18" width="8.140625" style="148" bestFit="1" customWidth="1"/>
    <col min="19" max="19" width="7.85546875" style="148" bestFit="1" customWidth="1"/>
    <col min="20" max="20" width="9.28515625" style="148" bestFit="1" customWidth="1"/>
    <col min="21" max="21" width="3.5703125" style="148" customWidth="1"/>
    <col min="22" max="22" width="11.140625" style="148" bestFit="1" customWidth="1"/>
    <col min="23" max="23" width="11.140625" style="148" customWidth="1"/>
    <col min="24" max="24" width="12.42578125" style="148" bestFit="1" customWidth="1"/>
    <col min="25" max="16384" width="9.140625" style="148"/>
  </cols>
  <sheetData>
    <row r="1" spans="1:36" ht="26.25" x14ac:dyDescent="0.4">
      <c r="A1" s="147" t="s">
        <v>18</v>
      </c>
    </row>
    <row r="2" spans="1:36" ht="15" x14ac:dyDescent="0.25">
      <c r="A2" s="149" t="s">
        <v>162</v>
      </c>
    </row>
    <row r="5" spans="1:36" x14ac:dyDescent="0.2">
      <c r="B5" s="495" t="s">
        <v>130</v>
      </c>
      <c r="C5" s="495"/>
      <c r="D5" s="495"/>
      <c r="E5" s="10"/>
      <c r="F5" s="495" t="s">
        <v>91</v>
      </c>
      <c r="G5" s="495"/>
      <c r="H5" s="495"/>
      <c r="I5" s="495"/>
    </row>
    <row r="6" spans="1:36" x14ac:dyDescent="0.2">
      <c r="B6" s="2" t="s">
        <v>22</v>
      </c>
      <c r="D6" s="2" t="s">
        <v>102</v>
      </c>
      <c r="E6" s="364"/>
      <c r="F6" s="364" t="s">
        <v>102</v>
      </c>
      <c r="G6" s="364"/>
      <c r="H6" s="364"/>
      <c r="I6" s="364"/>
      <c r="X6" s="363" t="s">
        <v>91</v>
      </c>
    </row>
    <row r="7" spans="1:36" x14ac:dyDescent="0.2">
      <c r="B7" s="2" t="s">
        <v>100</v>
      </c>
      <c r="C7" s="2" t="s">
        <v>24</v>
      </c>
      <c r="D7" s="2" t="s">
        <v>103</v>
      </c>
      <c r="E7" s="364"/>
      <c r="F7" s="364" t="s">
        <v>103</v>
      </c>
      <c r="G7" s="364"/>
      <c r="H7" s="364" t="s">
        <v>24</v>
      </c>
      <c r="I7" s="364"/>
      <c r="J7" s="270" t="s">
        <v>99</v>
      </c>
      <c r="K7" s="41" t="s">
        <v>46</v>
      </c>
      <c r="L7" s="41"/>
      <c r="M7" s="41" t="s">
        <v>1</v>
      </c>
      <c r="N7" s="41"/>
      <c r="O7" s="41"/>
      <c r="P7" s="41"/>
      <c r="Q7" s="41" t="s">
        <v>2</v>
      </c>
      <c r="R7" s="41" t="s">
        <v>2</v>
      </c>
      <c r="S7" s="41" t="s">
        <v>48</v>
      </c>
      <c r="X7" s="363" t="s">
        <v>24</v>
      </c>
      <c r="Y7" s="2"/>
    </row>
    <row r="8" spans="1:36" x14ac:dyDescent="0.2">
      <c r="B8" s="10" t="s">
        <v>0</v>
      </c>
      <c r="C8" s="10" t="s">
        <v>0</v>
      </c>
      <c r="D8" s="10" t="s">
        <v>0</v>
      </c>
      <c r="E8" s="10"/>
      <c r="F8" s="10" t="s">
        <v>0</v>
      </c>
      <c r="G8" s="10" t="s">
        <v>94</v>
      </c>
      <c r="H8" s="10" t="s">
        <v>0</v>
      </c>
      <c r="I8" s="10" t="s">
        <v>94</v>
      </c>
      <c r="J8" s="42" t="s">
        <v>93</v>
      </c>
      <c r="K8" s="42" t="s">
        <v>49</v>
      </c>
      <c r="L8" s="42" t="s">
        <v>50</v>
      </c>
      <c r="M8" s="42" t="s">
        <v>51</v>
      </c>
      <c r="N8" s="42" t="s">
        <v>4</v>
      </c>
      <c r="O8" s="42" t="s">
        <v>52</v>
      </c>
      <c r="P8" s="42" t="s">
        <v>3</v>
      </c>
      <c r="Q8" s="42" t="s">
        <v>53</v>
      </c>
      <c r="R8" s="42" t="s">
        <v>54</v>
      </c>
      <c r="S8" s="42" t="s">
        <v>55</v>
      </c>
      <c r="T8" s="59" t="s">
        <v>87</v>
      </c>
      <c r="X8" s="10" t="s">
        <v>0</v>
      </c>
      <c r="Y8" s="10" t="s">
        <v>94</v>
      </c>
    </row>
    <row r="9" spans="1:36" x14ac:dyDescent="0.2">
      <c r="B9" s="10"/>
      <c r="C9" s="10"/>
      <c r="D9" s="10"/>
      <c r="E9" s="10"/>
      <c r="F9" s="10"/>
      <c r="G9" s="10"/>
      <c r="H9" s="10"/>
      <c r="I9" s="10"/>
      <c r="J9" s="42"/>
      <c r="K9" s="42"/>
      <c r="L9" s="42"/>
      <c r="M9" s="42"/>
      <c r="N9" s="42"/>
      <c r="O9" s="42"/>
      <c r="P9" s="42"/>
      <c r="Q9" s="42"/>
      <c r="R9" s="42"/>
      <c r="S9" s="42"/>
      <c r="T9" s="59"/>
      <c r="X9" s="10"/>
      <c r="Y9" s="10"/>
    </row>
    <row r="10" spans="1:36" x14ac:dyDescent="0.2">
      <c r="A10" s="150" t="s">
        <v>134</v>
      </c>
      <c r="B10" s="151">
        <v>1130.49</v>
      </c>
      <c r="C10" s="189">
        <v>91.81</v>
      </c>
      <c r="D10" s="151">
        <f>+B10-C10</f>
        <v>1038.68</v>
      </c>
      <c r="E10" s="151"/>
      <c r="F10" s="159">
        <v>802.01</v>
      </c>
      <c r="G10" s="221">
        <f>+F10/D10</f>
        <v>0.77214348981399461</v>
      </c>
      <c r="H10" s="189">
        <v>54.19</v>
      </c>
      <c r="I10" s="366">
        <f>+H10/C10</f>
        <v>0.59024071451911553</v>
      </c>
      <c r="J10" s="140">
        <v>0</v>
      </c>
      <c r="K10" s="140">
        <f>+Composition!C$6</f>
        <v>0.33210744484292809</v>
      </c>
      <c r="L10" s="140">
        <f>+Composition!C$7</f>
        <v>0.23644861909304252</v>
      </c>
      <c r="M10" s="140">
        <f>+Composition!C$8</f>
        <v>7.5788121626192964E-3</v>
      </c>
      <c r="N10" s="140">
        <f>+Composition!C$9</f>
        <v>0.22234699600955293</v>
      </c>
      <c r="O10" s="140">
        <f>+Composition!C$14</f>
        <v>8.1991406763612905E-3</v>
      </c>
      <c r="P10" s="140">
        <f>+Composition!C$10</f>
        <v>7.8243060451498106E-3</v>
      </c>
      <c r="Q10" s="140">
        <f>+Composition!C$11</f>
        <v>3.1134300770656511E-3</v>
      </c>
      <c r="R10" s="140">
        <f>+Composition!C$12</f>
        <v>3.3465316689042634E-3</v>
      </c>
      <c r="S10" s="140">
        <f>+Composition!C$13</f>
        <v>3.6821040784201999E-3</v>
      </c>
      <c r="T10" s="140">
        <f>1-SUM(J10:S10)</f>
        <v>0.17535261534595592</v>
      </c>
      <c r="V10" s="158"/>
      <c r="W10" s="159">
        <v>751.99</v>
      </c>
      <c r="X10" s="189">
        <v>46.59</v>
      </c>
      <c r="Y10" s="366">
        <f t="shared" ref="Y10:Y19" si="0">+X10/C10</f>
        <v>0.50746106088661369</v>
      </c>
      <c r="AA10" s="151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1:36" x14ac:dyDescent="0.2">
      <c r="A11" s="150" t="s">
        <v>35</v>
      </c>
      <c r="B11" s="151">
        <v>1156.6300000000001</v>
      </c>
      <c r="C11" s="189">
        <v>94.23</v>
      </c>
      <c r="D11" s="151">
        <f t="shared" ref="D11:D21" si="1">+B11-C11</f>
        <v>1062.4000000000001</v>
      </c>
      <c r="E11" s="151"/>
      <c r="F11" s="151">
        <v>817.05</v>
      </c>
      <c r="G11" s="221">
        <f t="shared" ref="G11:G22" si="2">+F11/D11</f>
        <v>0.76906061746987942</v>
      </c>
      <c r="H11" s="189">
        <v>52.47</v>
      </c>
      <c r="I11" s="366">
        <f t="shared" ref="I11:I22" si="3">+H11/C11</f>
        <v>0.55682903533906392</v>
      </c>
      <c r="J11" s="140">
        <v>0</v>
      </c>
      <c r="K11" s="140">
        <f>+Composition!E$6</f>
        <v>0.30872960409494554</v>
      </c>
      <c r="L11" s="140">
        <f>+Composition!E$7</f>
        <v>0.2669492234757726</v>
      </c>
      <c r="M11" s="140">
        <f>+Composition!E$8</f>
        <v>7.804430674405032E-3</v>
      </c>
      <c r="N11" s="140">
        <f>+Composition!E$9</f>
        <v>0.22715955779516506</v>
      </c>
      <c r="O11" s="140">
        <f>+Composition!E$14</f>
        <v>1.0687020161069373E-2</v>
      </c>
      <c r="P11" s="140">
        <f>+Composition!E$10</f>
        <v>5.2497654280706102E-3</v>
      </c>
      <c r="Q11" s="140">
        <f>+Composition!E$11</f>
        <v>3.6933257247186236E-3</v>
      </c>
      <c r="R11" s="140">
        <f>+Composition!E$12</f>
        <v>3.7445714499941187E-3</v>
      </c>
      <c r="S11" s="140">
        <f>+Composition!E$13</f>
        <v>2.7505360170524281E-3</v>
      </c>
      <c r="T11" s="140">
        <f t="shared" ref="T11:T21" si="4">1-SUM(J11:S11)</f>
        <v>0.16323196517880667</v>
      </c>
      <c r="U11" s="373" t="s">
        <v>145</v>
      </c>
      <c r="V11" s="158"/>
      <c r="W11" s="158"/>
      <c r="X11" s="189">
        <v>55.76</v>
      </c>
      <c r="Y11" s="366">
        <f t="shared" si="0"/>
        <v>0.59174360607025356</v>
      </c>
      <c r="AA11" s="151"/>
      <c r="AB11" s="140"/>
      <c r="AC11" s="140"/>
      <c r="AD11" s="140"/>
      <c r="AE11" s="140"/>
      <c r="AF11" s="140"/>
      <c r="AG11" s="140"/>
      <c r="AH11" s="140"/>
      <c r="AI11" s="140"/>
      <c r="AJ11" s="140"/>
    </row>
    <row r="12" spans="1:36" x14ac:dyDescent="0.2">
      <c r="A12" s="150" t="s">
        <v>36</v>
      </c>
      <c r="B12" s="151">
        <v>1050.83</v>
      </c>
      <c r="C12" s="189">
        <v>86.43</v>
      </c>
      <c r="D12" s="151">
        <f t="shared" si="1"/>
        <v>964.39999999999986</v>
      </c>
      <c r="E12" s="151"/>
      <c r="F12" s="151">
        <v>739.92</v>
      </c>
      <c r="G12" s="221">
        <f t="shared" si="2"/>
        <v>0.76723351306511822</v>
      </c>
      <c r="H12" s="189">
        <v>47.61</v>
      </c>
      <c r="I12" s="366">
        <f t="shared" si="3"/>
        <v>0.55085039916695588</v>
      </c>
      <c r="J12" s="140">
        <v>0</v>
      </c>
      <c r="K12" s="140">
        <f>+Composition!G$6</f>
        <v>0.35549842167274731</v>
      </c>
      <c r="L12" s="140">
        <f>+Composition!G$7</f>
        <v>0.25670093848202374</v>
      </c>
      <c r="M12" s="140">
        <f>+Composition!G$8</f>
        <v>1.1865578135265864E-2</v>
      </c>
      <c r="N12" s="140">
        <f>+Composition!G$9</f>
        <v>0.17046225865716313</v>
      </c>
      <c r="O12" s="140">
        <f>+Composition!G$14</f>
        <v>7.1222620684243893E-3</v>
      </c>
      <c r="P12" s="140">
        <f>+Composition!G$10</f>
        <v>8.0366515091929384E-3</v>
      </c>
      <c r="Q12" s="140">
        <f>+Composition!G$11</f>
        <v>2.6353426422411302E-3</v>
      </c>
      <c r="R12" s="140">
        <f>+Composition!G$12</f>
        <v>4.7239701733053155E-3</v>
      </c>
      <c r="S12" s="140">
        <f>+Composition!G$13</f>
        <v>2.8336807193065573E-3</v>
      </c>
      <c r="T12" s="140">
        <f t="shared" si="4"/>
        <v>0.18012089594032965</v>
      </c>
      <c r="U12" s="373" t="s">
        <v>146</v>
      </c>
      <c r="V12" s="158"/>
      <c r="W12" s="158"/>
      <c r="X12" s="189">
        <v>51.05</v>
      </c>
      <c r="Y12" s="366">
        <f t="shared" si="0"/>
        <v>0.59065139419183144</v>
      </c>
      <c r="AA12" s="151"/>
      <c r="AB12" s="140"/>
      <c r="AC12" s="140"/>
      <c r="AD12" s="140"/>
      <c r="AE12" s="140"/>
      <c r="AF12" s="140"/>
      <c r="AG12" s="140"/>
      <c r="AH12" s="140"/>
      <c r="AI12" s="140"/>
      <c r="AJ12" s="140"/>
    </row>
    <row r="13" spans="1:36" x14ac:dyDescent="0.2">
      <c r="A13" s="150" t="s">
        <v>37</v>
      </c>
      <c r="B13" s="151">
        <v>1208.1600000000001</v>
      </c>
      <c r="C13" s="189">
        <v>98.34</v>
      </c>
      <c r="D13" s="151">
        <f t="shared" si="1"/>
        <v>1109.8200000000002</v>
      </c>
      <c r="E13" s="151"/>
      <c r="F13" s="151">
        <v>853.36</v>
      </c>
      <c r="G13" s="221">
        <f t="shared" si="2"/>
        <v>0.76891748211421662</v>
      </c>
      <c r="H13" s="189">
        <v>54.97</v>
      </c>
      <c r="I13" s="366">
        <f t="shared" si="3"/>
        <v>0.55897905226764288</v>
      </c>
      <c r="J13" s="140">
        <v>0</v>
      </c>
      <c r="K13" s="140">
        <f>+Composition!I$6</f>
        <v>0.38563459339255646</v>
      </c>
      <c r="L13" s="140">
        <f>+Composition!I$7</f>
        <v>0.23374350411983905</v>
      </c>
      <c r="M13" s="140">
        <f>+Composition!I$8</f>
        <v>6.2869961001905637E-3</v>
      </c>
      <c r="N13" s="140">
        <f>+Composition!I$9</f>
        <v>0.19376044497853739</v>
      </c>
      <c r="O13" s="140">
        <f>+Composition!I$14</f>
        <v>1.023076652999097E-2</v>
      </c>
      <c r="P13" s="140">
        <f>+Composition!I$10</f>
        <v>2.6596826883564873E-3</v>
      </c>
      <c r="Q13" s="140">
        <f>+Composition!I$11</f>
        <v>2.6712625686327244E-3</v>
      </c>
      <c r="R13" s="140">
        <f>+Composition!I$12</f>
        <v>9.9527739475783572E-4</v>
      </c>
      <c r="S13" s="140">
        <f>+Composition!I$13</f>
        <v>2.2893391561799197E-3</v>
      </c>
      <c r="T13" s="140">
        <f t="shared" si="4"/>
        <v>0.16172813307095868</v>
      </c>
      <c r="U13" s="373" t="s">
        <v>147</v>
      </c>
      <c r="V13" s="158"/>
      <c r="W13" s="158"/>
      <c r="X13" s="189">
        <v>55.96</v>
      </c>
      <c r="Y13" s="366">
        <f t="shared" si="0"/>
        <v>0.56904616636160255</v>
      </c>
      <c r="AA13" s="151"/>
      <c r="AB13" s="140"/>
      <c r="AC13" s="140"/>
      <c r="AD13" s="140"/>
      <c r="AE13" s="140"/>
      <c r="AF13" s="140"/>
      <c r="AG13" s="140"/>
      <c r="AH13" s="140"/>
      <c r="AI13" s="140"/>
      <c r="AJ13" s="140"/>
    </row>
    <row r="14" spans="1:36" x14ac:dyDescent="0.2">
      <c r="A14" s="150" t="s">
        <v>135</v>
      </c>
      <c r="B14" s="151">
        <v>1296.71</v>
      </c>
      <c r="C14" s="189">
        <v>108.41</v>
      </c>
      <c r="D14" s="151">
        <f t="shared" si="1"/>
        <v>1188.3</v>
      </c>
      <c r="E14" s="151"/>
      <c r="F14" s="151">
        <v>907.77</v>
      </c>
      <c r="G14" s="221">
        <f t="shared" si="2"/>
        <v>0.76392325170411512</v>
      </c>
      <c r="H14" s="189">
        <v>56.89</v>
      </c>
      <c r="I14" s="366">
        <f t="shared" si="3"/>
        <v>0.52476708790701965</v>
      </c>
      <c r="J14" s="140">
        <v>0</v>
      </c>
      <c r="K14" s="140">
        <f>+Composition!K$6</f>
        <v>0.3672588509370322</v>
      </c>
      <c r="L14" s="140">
        <f>+Composition!K$7</f>
        <v>0.20879074264798983</v>
      </c>
      <c r="M14" s="140">
        <f>+Composition!K$8</f>
        <v>6.8293317411207413E-3</v>
      </c>
      <c r="N14" s="140">
        <f>+Composition!K$9</f>
        <v>0.21018061208036745</v>
      </c>
      <c r="O14" s="140">
        <f>+Composition!K$14</f>
        <v>1.0535391831773508E-2</v>
      </c>
      <c r="P14" s="140">
        <f>+Composition!K$10</f>
        <v>3.706034530904785E-3</v>
      </c>
      <c r="Q14" s="140">
        <f>+Composition!K$11</f>
        <v>4.8438260858255323E-3</v>
      </c>
      <c r="R14" s="140">
        <f>+Composition!K$12</f>
        <v>2.522691495709232E-3</v>
      </c>
      <c r="S14" s="140">
        <f>+Composition!K$13</f>
        <v>2.0478258337603083E-3</v>
      </c>
      <c r="T14" s="140">
        <f t="shared" si="4"/>
        <v>0.18328469281551629</v>
      </c>
      <c r="U14" s="373" t="s">
        <v>148</v>
      </c>
      <c r="V14" s="158"/>
      <c r="W14" s="158"/>
      <c r="X14" s="189">
        <v>61.72</v>
      </c>
      <c r="Y14" s="366">
        <f t="shared" si="0"/>
        <v>0.5693201734157366</v>
      </c>
      <c r="AA14" s="151"/>
      <c r="AB14" s="140"/>
      <c r="AC14" s="140"/>
      <c r="AD14" s="140"/>
      <c r="AE14" s="140"/>
      <c r="AF14" s="140"/>
      <c r="AG14" s="140"/>
      <c r="AH14" s="140"/>
      <c r="AI14" s="140"/>
      <c r="AJ14" s="140"/>
    </row>
    <row r="15" spans="1:36" x14ac:dyDescent="0.2">
      <c r="A15" s="150" t="s">
        <v>38</v>
      </c>
      <c r="B15" s="151">
        <v>969.98</v>
      </c>
      <c r="C15" s="189">
        <v>80.83</v>
      </c>
      <c r="D15" s="151">
        <f t="shared" si="1"/>
        <v>889.15</v>
      </c>
      <c r="E15" s="151"/>
      <c r="F15" s="151">
        <v>751.31</v>
      </c>
      <c r="G15" s="221">
        <f t="shared" si="2"/>
        <v>0.84497553843558448</v>
      </c>
      <c r="H15" s="152">
        <v>42.8</v>
      </c>
      <c r="I15" s="366">
        <f t="shared" si="3"/>
        <v>0.5295063713967586</v>
      </c>
      <c r="J15" s="140">
        <v>0</v>
      </c>
      <c r="K15" s="140">
        <f>+Composition!M$6</f>
        <v>0.3831179895691525</v>
      </c>
      <c r="L15" s="140">
        <f>+Composition!M$7</f>
        <v>0.2153264995731361</v>
      </c>
      <c r="M15" s="140">
        <f>+Composition!M$8</f>
        <v>7.7608911292477755E-3</v>
      </c>
      <c r="N15" s="140">
        <f>+Composition!M$9</f>
        <v>0.18167424190829531</v>
      </c>
      <c r="O15" s="140">
        <f>+Composition!M$14</f>
        <v>1.0375394043780543E-2</v>
      </c>
      <c r="P15" s="140">
        <f>+Composition!M$10</f>
        <v>7.8376464008800221E-3</v>
      </c>
      <c r="Q15" s="140">
        <f>+Composition!M$11</f>
        <v>3.312558721949856E-3</v>
      </c>
      <c r="R15" s="140">
        <f>+Composition!M$12</f>
        <v>3.8515581327488221E-3</v>
      </c>
      <c r="S15" s="140">
        <f>+Composition!M$13</f>
        <v>2.4021476196405085E-3</v>
      </c>
      <c r="T15" s="140">
        <f t="shared" si="4"/>
        <v>0.18434107290116841</v>
      </c>
      <c r="U15" s="373" t="s">
        <v>149</v>
      </c>
      <c r="V15" s="158"/>
      <c r="W15" s="158"/>
      <c r="X15" s="152">
        <v>41.19</v>
      </c>
      <c r="Y15" s="366">
        <f t="shared" si="0"/>
        <v>0.50958802424842264</v>
      </c>
      <c r="AA15" s="151"/>
      <c r="AB15" s="140"/>
      <c r="AC15" s="140"/>
      <c r="AD15" s="140"/>
      <c r="AE15" s="140"/>
      <c r="AF15" s="140"/>
      <c r="AG15" s="140"/>
      <c r="AH15" s="140"/>
      <c r="AI15" s="140"/>
      <c r="AJ15" s="140"/>
    </row>
    <row r="16" spans="1:36" x14ac:dyDescent="0.2">
      <c r="A16" s="150" t="s">
        <v>39</v>
      </c>
      <c r="B16" s="151">
        <v>1034.0999999999999</v>
      </c>
      <c r="C16" s="189">
        <v>92.6</v>
      </c>
      <c r="D16" s="151">
        <f t="shared" si="1"/>
        <v>941.49999999999989</v>
      </c>
      <c r="E16" s="151"/>
      <c r="F16" s="151">
        <v>794.74</v>
      </c>
      <c r="G16" s="221">
        <f t="shared" si="2"/>
        <v>0.84412108337758907</v>
      </c>
      <c r="H16" s="152">
        <v>49.69</v>
      </c>
      <c r="I16" s="366">
        <f t="shared" si="3"/>
        <v>0.53660907127429802</v>
      </c>
      <c r="J16" s="140">
        <v>0</v>
      </c>
      <c r="K16" s="140">
        <f>+Composition!O$6</f>
        <v>0.43620922917573007</v>
      </c>
      <c r="L16" s="140">
        <f>+Composition!O$7</f>
        <v>0.17379993964353349</v>
      </c>
      <c r="M16" s="140">
        <f>+Composition!O$8</f>
        <v>9.5599211250711105E-3</v>
      </c>
      <c r="N16" s="140">
        <f>+Composition!O$9</f>
        <v>0.17032143311283462</v>
      </c>
      <c r="O16" s="140">
        <f>+Composition!O$14</f>
        <v>1.0156208293408757E-2</v>
      </c>
      <c r="P16" s="140">
        <f>+Composition!O$10</f>
        <v>7.0040143013963586E-3</v>
      </c>
      <c r="Q16" s="140">
        <f>+Composition!O$11</f>
        <v>3.5105159823092384E-3</v>
      </c>
      <c r="R16" s="140">
        <f>+Composition!O$12</f>
        <v>3.6433122480877536E-3</v>
      </c>
      <c r="S16" s="140">
        <f>+Composition!O$13</f>
        <v>3.3047941215901783E-3</v>
      </c>
      <c r="T16" s="140">
        <f t="shared" si="4"/>
        <v>0.18249063199603832</v>
      </c>
      <c r="U16" s="373" t="s">
        <v>150</v>
      </c>
      <c r="V16" s="158"/>
      <c r="W16" s="158"/>
      <c r="X16" s="152">
        <v>42.81</v>
      </c>
      <c r="Y16" s="366">
        <f t="shared" si="0"/>
        <v>0.46231101511879052</v>
      </c>
      <c r="AA16" s="151"/>
      <c r="AB16" s="140"/>
      <c r="AC16" s="140"/>
      <c r="AD16" s="140"/>
      <c r="AE16" s="140"/>
      <c r="AF16" s="140"/>
      <c r="AG16" s="140"/>
      <c r="AH16" s="140"/>
      <c r="AI16" s="140"/>
      <c r="AJ16" s="140"/>
    </row>
    <row r="17" spans="1:36" x14ac:dyDescent="0.2">
      <c r="A17" s="150" t="s">
        <v>40</v>
      </c>
      <c r="B17" s="151">
        <v>1203.06</v>
      </c>
      <c r="C17" s="189">
        <v>95.58</v>
      </c>
      <c r="D17" s="151">
        <f t="shared" si="1"/>
        <v>1107.48</v>
      </c>
      <c r="E17" s="151"/>
      <c r="F17" s="151">
        <v>923.56</v>
      </c>
      <c r="G17" s="221">
        <f t="shared" si="2"/>
        <v>0.83392928088994833</v>
      </c>
      <c r="H17" s="152">
        <v>49.96</v>
      </c>
      <c r="I17" s="366">
        <f t="shared" si="3"/>
        <v>0.52270349445490694</v>
      </c>
      <c r="J17" s="140">
        <v>0</v>
      </c>
      <c r="K17" s="140">
        <f>+Composition!Q$6</f>
        <v>0.41806893775614512</v>
      </c>
      <c r="L17" s="140">
        <f>+Composition!Q$7</f>
        <v>0.14513717007811683</v>
      </c>
      <c r="M17" s="140">
        <f>+Composition!Q$8</f>
        <v>1.2733952317228955E-2</v>
      </c>
      <c r="N17" s="140">
        <f>+Composition!Q$9</f>
        <v>0.1986752530463331</v>
      </c>
      <c r="O17" s="140">
        <f>+Composition!Q$14</f>
        <v>1.3073782294534285E-2</v>
      </c>
      <c r="P17" s="140">
        <f>+Composition!Q$10</f>
        <v>8.8984311977598832E-3</v>
      </c>
      <c r="Q17" s="140">
        <f>+Composition!Q$11</f>
        <v>2.8279988600337755E-3</v>
      </c>
      <c r="R17" s="140">
        <f>+Composition!Q$12</f>
        <v>3.7940220297105966E-3</v>
      </c>
      <c r="S17" s="140">
        <f>+Composition!Q$13</f>
        <v>2.9376517925206384E-3</v>
      </c>
      <c r="T17" s="140">
        <f t="shared" si="4"/>
        <v>0.19385280062761689</v>
      </c>
      <c r="U17" s="373" t="s">
        <v>151</v>
      </c>
      <c r="V17" s="158"/>
      <c r="W17" s="158"/>
      <c r="X17" s="152">
        <v>55.29</v>
      </c>
      <c r="Y17" s="366">
        <f t="shared" si="0"/>
        <v>0.5784682988072819</v>
      </c>
      <c r="AA17" s="151"/>
      <c r="AB17" s="140"/>
      <c r="AC17" s="140"/>
      <c r="AD17" s="140"/>
      <c r="AE17" s="140"/>
      <c r="AF17" s="140"/>
      <c r="AG17" s="140"/>
      <c r="AH17" s="140"/>
      <c r="AI17" s="140"/>
      <c r="AJ17" s="140"/>
    </row>
    <row r="18" spans="1:36" x14ac:dyDescent="0.2">
      <c r="A18" s="150" t="s">
        <v>10</v>
      </c>
      <c r="B18" s="225">
        <v>1155.97</v>
      </c>
      <c r="C18" s="225">
        <v>97.74</v>
      </c>
      <c r="D18" s="151">
        <f t="shared" si="1"/>
        <v>1058.23</v>
      </c>
      <c r="E18" s="151"/>
      <c r="F18" s="151">
        <v>892.77</v>
      </c>
      <c r="G18" s="221">
        <f t="shared" si="2"/>
        <v>0.84364457632083756</v>
      </c>
      <c r="H18" s="152">
        <v>51.22</v>
      </c>
      <c r="I18" s="366">
        <f t="shared" si="3"/>
        <v>0.52404338039697163</v>
      </c>
      <c r="J18" s="140">
        <v>0</v>
      </c>
      <c r="K18" s="140">
        <f>+Composition!S$6</f>
        <v>0.39530224015660886</v>
      </c>
      <c r="L18" s="140">
        <f>+Composition!S$7</f>
        <v>0.15117193307308066</v>
      </c>
      <c r="M18" s="140">
        <f>+Composition!S$8</f>
        <v>1.2733758205808224E-2</v>
      </c>
      <c r="N18" s="140">
        <f>+Composition!S$9</f>
        <v>0.22375643910515883</v>
      </c>
      <c r="O18" s="140">
        <f>+Composition!S$14</f>
        <v>1.2024105556321539E-2</v>
      </c>
      <c r="P18" s="140">
        <f>+Composition!S$10</f>
        <v>3.2783031940401379E-3</v>
      </c>
      <c r="Q18" s="140">
        <f>+Composition!S$11</f>
        <v>2.9274444543107305E-3</v>
      </c>
      <c r="R18" s="140">
        <f>+Composition!S$12</f>
        <v>4.2052719404597413E-3</v>
      </c>
      <c r="S18" s="140">
        <f>+Composition!S$13</f>
        <v>3.6183529114725155E-3</v>
      </c>
      <c r="T18" s="140">
        <f t="shared" si="4"/>
        <v>0.19098215140273889</v>
      </c>
      <c r="U18" s="373" t="s">
        <v>152</v>
      </c>
      <c r="V18" s="158"/>
      <c r="W18" s="158"/>
      <c r="X18" s="152">
        <v>50.07</v>
      </c>
      <c r="Y18" s="366">
        <f t="shared" si="0"/>
        <v>0.51227747084100683</v>
      </c>
      <c r="AA18" s="151"/>
      <c r="AB18" s="140"/>
      <c r="AC18" s="140"/>
      <c r="AD18" s="140"/>
      <c r="AE18" s="140"/>
      <c r="AF18" s="140"/>
      <c r="AG18" s="140"/>
      <c r="AH18" s="140"/>
      <c r="AI18" s="140"/>
      <c r="AJ18" s="140"/>
    </row>
    <row r="19" spans="1:36" x14ac:dyDescent="0.2">
      <c r="A19" s="150" t="s">
        <v>41</v>
      </c>
      <c r="B19" s="268">
        <v>1121.24</v>
      </c>
      <c r="C19" s="225">
        <v>101.18</v>
      </c>
      <c r="D19" s="151">
        <f t="shared" si="1"/>
        <v>1020.06</v>
      </c>
      <c r="E19" s="151"/>
      <c r="F19" s="151">
        <v>858.54</v>
      </c>
      <c r="G19" s="221">
        <f t="shared" si="2"/>
        <v>0.84165637315452035</v>
      </c>
      <c r="H19" s="152">
        <v>52.82</v>
      </c>
      <c r="I19" s="366">
        <f t="shared" si="3"/>
        <v>0.52203992883969164</v>
      </c>
      <c r="J19" s="269">
        <v>0</v>
      </c>
      <c r="K19" s="140">
        <f>+Composition!U$6</f>
        <v>0.35664075714142701</v>
      </c>
      <c r="L19" s="140">
        <f>+Composition!U$7</f>
        <v>0.17631483220482508</v>
      </c>
      <c r="M19" s="140">
        <f>+Composition!U$8</f>
        <v>1.0502587720457562E-2</v>
      </c>
      <c r="N19" s="140">
        <f>+Composition!U$9</f>
        <v>0.23728358408286609</v>
      </c>
      <c r="O19" s="140">
        <f>+Composition!U$14</f>
        <v>1.0061023974607017E-2</v>
      </c>
      <c r="P19" s="140">
        <f>+Composition!U$10</f>
        <v>2.2109289710514307E-3</v>
      </c>
      <c r="Q19" s="140">
        <f>+Composition!U$11</f>
        <v>2.9449486717524538E-3</v>
      </c>
      <c r="R19" s="140">
        <f>+Composition!U$12</f>
        <v>3.4833205509137689E-3</v>
      </c>
      <c r="S19" s="140">
        <f>+Composition!U$13</f>
        <v>4.1991389383054288E-3</v>
      </c>
      <c r="T19" s="140">
        <f t="shared" si="4"/>
        <v>0.19635887774379412</v>
      </c>
      <c r="U19" s="373" t="s">
        <v>153</v>
      </c>
      <c r="V19" s="158"/>
      <c r="W19" s="158"/>
      <c r="X19" s="152">
        <v>43.47</v>
      </c>
      <c r="Y19" s="366">
        <f t="shared" si="0"/>
        <v>0.42963036173156749</v>
      </c>
      <c r="AA19" s="151"/>
      <c r="AB19" s="140"/>
      <c r="AC19" s="140"/>
      <c r="AD19" s="140"/>
      <c r="AE19" s="140"/>
      <c r="AF19" s="140"/>
      <c r="AG19" s="140"/>
      <c r="AH19" s="140"/>
      <c r="AI19" s="140"/>
      <c r="AJ19" s="140"/>
    </row>
    <row r="20" spans="1:36" x14ac:dyDescent="0.2">
      <c r="A20" s="150" t="s">
        <v>42</v>
      </c>
      <c r="B20" s="268">
        <v>1331.55</v>
      </c>
      <c r="C20" s="225">
        <v>103.96</v>
      </c>
      <c r="D20" s="151">
        <f t="shared" si="1"/>
        <v>1227.5899999999999</v>
      </c>
      <c r="E20" s="151"/>
      <c r="F20" s="151">
        <v>958.9</v>
      </c>
      <c r="G20" s="221">
        <f t="shared" si="2"/>
        <v>0.78112399090901685</v>
      </c>
      <c r="H20" s="152">
        <v>58</v>
      </c>
      <c r="I20" s="366">
        <f t="shared" si="3"/>
        <v>0.55790688726433246</v>
      </c>
      <c r="J20" s="269">
        <f>+J19</f>
        <v>0</v>
      </c>
      <c r="K20" s="140">
        <f>+Composition!W$6</f>
        <v>0.391684864853033</v>
      </c>
      <c r="L20" s="140">
        <f>+Composition!W$7</f>
        <v>0.17503689364214733</v>
      </c>
      <c r="M20" s="140">
        <f>+Composition!W$8</f>
        <v>9.0924428688259739E-3</v>
      </c>
      <c r="N20" s="140">
        <f>+Composition!W$9</f>
        <v>0.237899886415009</v>
      </c>
      <c r="O20" s="140">
        <f>+Composition!W$14</f>
        <v>7.123735062189396E-3</v>
      </c>
      <c r="P20" s="140">
        <f>+Composition!W$10</f>
        <v>9.8009709895150918E-4</v>
      </c>
      <c r="Q20" s="140">
        <f>+Composition!W$11</f>
        <v>3.4772489230733756E-3</v>
      </c>
      <c r="R20" s="140">
        <f>+Composition!W$12</f>
        <v>3.9108630011025223E-3</v>
      </c>
      <c r="S20" s="140">
        <f>+Composition!W$13</f>
        <v>4.1395922427841809E-3</v>
      </c>
      <c r="T20" s="140">
        <f t="shared" si="4"/>
        <v>0.16665437589288368</v>
      </c>
      <c r="U20" s="373" t="s">
        <v>154</v>
      </c>
      <c r="V20" s="158"/>
      <c r="W20" s="158"/>
      <c r="X20" s="152">
        <v>52.99</v>
      </c>
      <c r="Y20" s="366">
        <f>+X20/C20</f>
        <v>0.50971527510580994</v>
      </c>
      <c r="AA20" s="225"/>
      <c r="AB20" s="140"/>
      <c r="AC20" s="140"/>
      <c r="AD20" s="140"/>
      <c r="AE20" s="140"/>
      <c r="AF20" s="140"/>
      <c r="AG20" s="140"/>
      <c r="AH20" s="140"/>
      <c r="AI20" s="140"/>
      <c r="AJ20" s="140"/>
    </row>
    <row r="21" spans="1:36" ht="15" x14ac:dyDescent="0.35">
      <c r="A21" s="150" t="s">
        <v>43</v>
      </c>
      <c r="B21" s="232">
        <v>1163.69</v>
      </c>
      <c r="C21" s="190">
        <v>90.2</v>
      </c>
      <c r="D21" s="190">
        <f t="shared" si="1"/>
        <v>1073.49</v>
      </c>
      <c r="E21" s="190"/>
      <c r="F21" s="190">
        <v>824.66</v>
      </c>
      <c r="G21" s="367">
        <f t="shared" si="2"/>
        <v>0.76820464093750285</v>
      </c>
      <c r="H21" s="191">
        <v>48.24</v>
      </c>
      <c r="I21" s="367">
        <f t="shared" si="3"/>
        <v>0.53481152993348113</v>
      </c>
      <c r="J21" s="192">
        <f>+J20</f>
        <v>0</v>
      </c>
      <c r="K21" s="192">
        <f>+Composition!Y$6</f>
        <v>0.36236331197857496</v>
      </c>
      <c r="L21" s="192">
        <f>+Composition!Y$7</f>
        <v>0.21082911378403454</v>
      </c>
      <c r="M21" s="192">
        <f>+Composition!Y$8</f>
        <v>8.3662243459861254E-3</v>
      </c>
      <c r="N21" s="192">
        <f>+Composition!Y$9</f>
        <v>0.20005283383239181</v>
      </c>
      <c r="O21" s="192">
        <f>+Composition!Y$14</f>
        <v>8.7344995816237159E-3</v>
      </c>
      <c r="P21" s="192">
        <f>+Composition!Y$10</f>
        <v>5.3783800314140071E-3</v>
      </c>
      <c r="Q21" s="192">
        <f>+Composition!Y$11</f>
        <v>8.7188836705719456E-4</v>
      </c>
      <c r="R21" s="192">
        <f>+Composition!Y$12</f>
        <v>4.6756640340843286E-3</v>
      </c>
      <c r="S21" s="192">
        <f>+Composition!Y$13</f>
        <v>5.7778870891551396E-3</v>
      </c>
      <c r="T21" s="192">
        <f t="shared" si="4"/>
        <v>0.19295019695567805</v>
      </c>
      <c r="U21" s="373" t="s">
        <v>155</v>
      </c>
      <c r="V21" s="158"/>
      <c r="W21" s="158"/>
      <c r="X21" s="191">
        <f>+X20</f>
        <v>52.99</v>
      </c>
      <c r="Y21" s="367">
        <f>+X21/C21</f>
        <v>0.58747228381374728</v>
      </c>
      <c r="AA21" s="232"/>
      <c r="AB21" s="192"/>
      <c r="AC21" s="192"/>
      <c r="AD21" s="192"/>
      <c r="AE21" s="192"/>
      <c r="AF21" s="192"/>
      <c r="AG21" s="192"/>
      <c r="AH21" s="192"/>
      <c r="AI21" s="192"/>
      <c r="AJ21" s="192"/>
    </row>
    <row r="22" spans="1:36" ht="15" x14ac:dyDescent="0.35">
      <c r="A22" s="150"/>
      <c r="B22" s="154">
        <f>SUM(B10:B21)</f>
        <v>13822.409999999998</v>
      </c>
      <c r="C22" s="371">
        <f>SUM(C10:C21)</f>
        <v>1141.3100000000002</v>
      </c>
      <c r="D22" s="154">
        <f>SUM(D10:D21)</f>
        <v>12681.099999999999</v>
      </c>
      <c r="E22" s="154"/>
      <c r="F22" s="154">
        <f>SUM(F10:F21)</f>
        <v>10124.589999999998</v>
      </c>
      <c r="G22" s="156">
        <f t="shared" si="2"/>
        <v>0.79839998107419696</v>
      </c>
      <c r="H22" s="155">
        <f>SUM(H10:H21)</f>
        <v>618.86</v>
      </c>
      <c r="I22" s="156">
        <f t="shared" si="3"/>
        <v>0.54223655273326254</v>
      </c>
      <c r="J22" s="156">
        <f>+J42/$D$42</f>
        <v>0</v>
      </c>
      <c r="K22" s="156">
        <f t="shared" ref="K22:T22" si="5">+K42/$D$42</f>
        <v>0.37429480560049916</v>
      </c>
      <c r="L22" s="156">
        <f t="shared" si="5"/>
        <v>0.20354169027040978</v>
      </c>
      <c r="M22" s="156">
        <f t="shared" si="5"/>
        <v>9.229049887547764E-3</v>
      </c>
      <c r="N22" s="156">
        <f t="shared" si="5"/>
        <v>0.20731813414040889</v>
      </c>
      <c r="O22" s="156">
        <f t="shared" si="5"/>
        <v>9.856183136852428E-3</v>
      </c>
      <c r="P22" s="156">
        <f t="shared" si="5"/>
        <v>5.1201968678865886E-3</v>
      </c>
      <c r="Q22" s="156">
        <f t="shared" si="5"/>
        <v>3.0840154486888685E-3</v>
      </c>
      <c r="R22" s="156">
        <f t="shared" si="5"/>
        <v>3.5479925885791358E-3</v>
      </c>
      <c r="S22" s="156">
        <f t="shared" si="5"/>
        <v>3.3396990784073516E-3</v>
      </c>
      <c r="T22" s="156">
        <f t="shared" si="5"/>
        <v>0.18066823298072041</v>
      </c>
      <c r="V22" s="158"/>
      <c r="W22" s="158"/>
      <c r="X22" s="155">
        <f>SUM(X10:X21)</f>
        <v>609.89</v>
      </c>
      <c r="Y22" s="156">
        <f>+X22/C22</f>
        <v>0.53437716308452554</v>
      </c>
    </row>
    <row r="23" spans="1:36" x14ac:dyDescent="0.2">
      <c r="B23" s="152"/>
      <c r="C23" s="152"/>
      <c r="X23" s="157"/>
    </row>
    <row r="24" spans="1:36" x14ac:dyDescent="0.2">
      <c r="B24" s="159"/>
      <c r="C24" s="159"/>
      <c r="D24" s="159"/>
      <c r="E24" s="159"/>
      <c r="F24" s="159"/>
      <c r="G24" s="159"/>
      <c r="H24" s="159"/>
      <c r="I24" s="159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X24" s="157"/>
    </row>
    <row r="26" spans="1:36" ht="15" x14ac:dyDescent="0.2">
      <c r="D26" s="2" t="s">
        <v>102</v>
      </c>
      <c r="E26" s="364"/>
      <c r="F26" s="364"/>
      <c r="G26" s="364"/>
      <c r="H26" s="364"/>
      <c r="I26" s="364"/>
      <c r="J26" s="494" t="s">
        <v>104</v>
      </c>
      <c r="K26" s="494"/>
      <c r="L26" s="494"/>
      <c r="M26" s="494"/>
      <c r="N26" s="494"/>
      <c r="O26" s="494"/>
      <c r="P26" s="494"/>
      <c r="Q26" s="494"/>
      <c r="R26" s="494"/>
      <c r="S26" s="494"/>
      <c r="T26" s="494"/>
    </row>
    <row r="27" spans="1:36" x14ac:dyDescent="0.2">
      <c r="D27" s="2" t="s">
        <v>103</v>
      </c>
      <c r="E27" s="364"/>
      <c r="F27" s="364"/>
      <c r="G27" s="364"/>
      <c r="H27" s="364"/>
      <c r="I27" s="364"/>
      <c r="J27" s="41" t="s">
        <v>99</v>
      </c>
      <c r="K27" s="41" t="s">
        <v>46</v>
      </c>
      <c r="L27" s="41"/>
      <c r="M27" s="41" t="s">
        <v>1</v>
      </c>
      <c r="N27" s="41"/>
      <c r="O27" s="41" t="s">
        <v>47</v>
      </c>
      <c r="P27" s="41"/>
      <c r="Q27" s="41" t="s">
        <v>2</v>
      </c>
      <c r="R27" s="41" t="s">
        <v>2</v>
      </c>
      <c r="S27" s="41" t="s">
        <v>48</v>
      </c>
    </row>
    <row r="28" spans="1:36" x14ac:dyDescent="0.2">
      <c r="C28" s="152"/>
      <c r="D28" s="10" t="s">
        <v>0</v>
      </c>
      <c r="E28" s="10"/>
      <c r="F28" s="10"/>
      <c r="G28" s="10"/>
      <c r="H28" s="10"/>
      <c r="I28" s="10"/>
      <c r="J28" s="42" t="s">
        <v>93</v>
      </c>
      <c r="K28" s="42" t="s">
        <v>49</v>
      </c>
      <c r="L28" s="42" t="s">
        <v>50</v>
      </c>
      <c r="M28" s="42" t="s">
        <v>51</v>
      </c>
      <c r="N28" s="42" t="s">
        <v>4</v>
      </c>
      <c r="O28" s="42" t="s">
        <v>52</v>
      </c>
      <c r="P28" s="42" t="s">
        <v>3</v>
      </c>
      <c r="Q28" s="42" t="s">
        <v>53</v>
      </c>
      <c r="R28" s="42" t="s">
        <v>54</v>
      </c>
      <c r="S28" s="42" t="s">
        <v>55</v>
      </c>
      <c r="T28" s="59" t="s">
        <v>87</v>
      </c>
    </row>
    <row r="29" spans="1:36" x14ac:dyDescent="0.2">
      <c r="C29" s="152"/>
      <c r="D29" s="152"/>
      <c r="E29" s="152"/>
      <c r="F29" s="152"/>
      <c r="G29" s="152"/>
      <c r="H29" s="152"/>
      <c r="I29" s="15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9"/>
    </row>
    <row r="30" spans="1:36" x14ac:dyDescent="0.2">
      <c r="A30" s="150" t="s">
        <v>134</v>
      </c>
      <c r="C30" s="152"/>
      <c r="D30" s="159">
        <f t="shared" ref="D30:D41" si="6">SUM(J30:T30)</f>
        <v>1038.68</v>
      </c>
      <c r="E30" s="159"/>
      <c r="F30" s="159"/>
      <c r="G30" s="159"/>
      <c r="H30" s="159"/>
      <c r="I30" s="159"/>
      <c r="J30" s="159">
        <f t="shared" ref="J30:T30" si="7">+$D10*J10</f>
        <v>0</v>
      </c>
      <c r="K30" s="159">
        <f t="shared" si="7"/>
        <v>344.95336080945259</v>
      </c>
      <c r="L30" s="159">
        <f t="shared" si="7"/>
        <v>245.59445167956142</v>
      </c>
      <c r="M30" s="159">
        <f t="shared" si="7"/>
        <v>7.8719606170694112</v>
      </c>
      <c r="N30" s="159">
        <f t="shared" si="7"/>
        <v>230.94737781520246</v>
      </c>
      <c r="O30" s="159">
        <f t="shared" si="7"/>
        <v>8.5162834377229455</v>
      </c>
      <c r="P30" s="159">
        <f t="shared" si="7"/>
        <v>8.1269502029762055</v>
      </c>
      <c r="Q30" s="159">
        <f t="shared" si="7"/>
        <v>3.2338575524465507</v>
      </c>
      <c r="R30" s="159">
        <f t="shared" si="7"/>
        <v>3.4759755138574806</v>
      </c>
      <c r="S30" s="159">
        <f t="shared" si="7"/>
        <v>3.8245278641734934</v>
      </c>
      <c r="T30" s="159">
        <f t="shared" si="7"/>
        <v>182.1352545075375</v>
      </c>
    </row>
    <row r="31" spans="1:36" x14ac:dyDescent="0.2">
      <c r="A31" s="150" t="s">
        <v>35</v>
      </c>
      <c r="C31" s="152"/>
      <c r="D31" s="159">
        <f t="shared" si="6"/>
        <v>1062.4000000000001</v>
      </c>
      <c r="E31" s="159"/>
      <c r="F31" s="159"/>
      <c r="G31" s="159"/>
      <c r="H31" s="159"/>
      <c r="I31" s="159"/>
      <c r="J31" s="159">
        <f t="shared" ref="J31:T31" si="8">+$D11*J11</f>
        <v>0</v>
      </c>
      <c r="K31" s="159">
        <f t="shared" si="8"/>
        <v>327.99433139047017</v>
      </c>
      <c r="L31" s="159">
        <f t="shared" si="8"/>
        <v>283.60685502066082</v>
      </c>
      <c r="M31" s="159">
        <f t="shared" si="8"/>
        <v>8.291427148487907</v>
      </c>
      <c r="N31" s="159">
        <f t="shared" si="8"/>
        <v>241.33431420158337</v>
      </c>
      <c r="O31" s="159">
        <f t="shared" si="8"/>
        <v>11.353890219120103</v>
      </c>
      <c r="P31" s="159">
        <f t="shared" si="8"/>
        <v>5.5773507907822166</v>
      </c>
      <c r="Q31" s="159">
        <f t="shared" si="8"/>
        <v>3.9237892499410658</v>
      </c>
      <c r="R31" s="159">
        <f t="shared" si="8"/>
        <v>3.9782327084737519</v>
      </c>
      <c r="S31" s="159">
        <f t="shared" si="8"/>
        <v>2.9221694645164997</v>
      </c>
      <c r="T31" s="159">
        <f t="shared" si="8"/>
        <v>173.41763980596423</v>
      </c>
    </row>
    <row r="32" spans="1:36" x14ac:dyDescent="0.2">
      <c r="A32" s="150" t="s">
        <v>36</v>
      </c>
      <c r="C32" s="152"/>
      <c r="D32" s="159">
        <f t="shared" si="6"/>
        <v>964.39999999999986</v>
      </c>
      <c r="E32" s="159"/>
      <c r="F32" s="159"/>
      <c r="G32" s="159"/>
      <c r="H32" s="159"/>
      <c r="I32" s="159"/>
      <c r="J32" s="159">
        <f t="shared" ref="J32:T32" si="9">+$D12*J12</f>
        <v>0</v>
      </c>
      <c r="K32" s="159">
        <f t="shared" si="9"/>
        <v>342.84267786119744</v>
      </c>
      <c r="L32" s="159">
        <f t="shared" si="9"/>
        <v>247.56238507206368</v>
      </c>
      <c r="M32" s="159">
        <f t="shared" si="9"/>
        <v>11.443163553650399</v>
      </c>
      <c r="N32" s="159">
        <f t="shared" si="9"/>
        <v>164.39380224896811</v>
      </c>
      <c r="O32" s="159">
        <f t="shared" si="9"/>
        <v>6.8687095387884805</v>
      </c>
      <c r="P32" s="159">
        <f t="shared" si="9"/>
        <v>7.7505467154656689</v>
      </c>
      <c r="Q32" s="159">
        <f t="shared" si="9"/>
        <v>2.5415244441773455</v>
      </c>
      <c r="R32" s="159">
        <f t="shared" si="9"/>
        <v>4.5557968351356459</v>
      </c>
      <c r="S32" s="159">
        <f t="shared" si="9"/>
        <v>2.7328016856992434</v>
      </c>
      <c r="T32" s="159">
        <f t="shared" si="9"/>
        <v>173.7085920448539</v>
      </c>
    </row>
    <row r="33" spans="1:20" x14ac:dyDescent="0.2">
      <c r="A33" s="150" t="s">
        <v>37</v>
      </c>
      <c r="C33" s="152"/>
      <c r="D33" s="159">
        <f t="shared" si="6"/>
        <v>1109.8200000000002</v>
      </c>
      <c r="E33" s="159"/>
      <c r="F33" s="159"/>
      <c r="G33" s="159"/>
      <c r="H33" s="159"/>
      <c r="I33" s="159"/>
      <c r="J33" s="159">
        <f t="shared" ref="J33:T33" si="10">+$D13*J13</f>
        <v>0</v>
      </c>
      <c r="K33" s="159">
        <f t="shared" si="10"/>
        <v>427.98498443892709</v>
      </c>
      <c r="L33" s="159">
        <f t="shared" si="10"/>
        <v>259.41321574227982</v>
      </c>
      <c r="M33" s="159">
        <f t="shared" si="10"/>
        <v>6.9774340119134921</v>
      </c>
      <c r="N33" s="159">
        <f t="shared" si="10"/>
        <v>215.03921704608041</v>
      </c>
      <c r="O33" s="159">
        <f t="shared" si="10"/>
        <v>11.35430931031458</v>
      </c>
      <c r="P33" s="159">
        <f t="shared" si="10"/>
        <v>2.9517690411917972</v>
      </c>
      <c r="Q33" s="159">
        <f t="shared" si="10"/>
        <v>2.9646206239199708</v>
      </c>
      <c r="R33" s="159">
        <f t="shared" si="10"/>
        <v>1.1045787582501414</v>
      </c>
      <c r="S33" s="159">
        <f t="shared" si="10"/>
        <v>2.540754382311599</v>
      </c>
      <c r="T33" s="159">
        <f t="shared" si="10"/>
        <v>179.48911664481139</v>
      </c>
    </row>
    <row r="34" spans="1:20" x14ac:dyDescent="0.2">
      <c r="A34" s="150" t="s">
        <v>135</v>
      </c>
      <c r="C34" s="152"/>
      <c r="D34" s="159">
        <f t="shared" si="6"/>
        <v>1188.2999999999997</v>
      </c>
      <c r="E34" s="159"/>
      <c r="F34" s="159"/>
      <c r="G34" s="159"/>
      <c r="H34" s="159"/>
      <c r="I34" s="159"/>
      <c r="J34" s="159">
        <f t="shared" ref="J34:T34" si="11">+$D14*J14</f>
        <v>0</v>
      </c>
      <c r="K34" s="159">
        <f t="shared" si="11"/>
        <v>436.41369256847537</v>
      </c>
      <c r="L34" s="159">
        <f t="shared" si="11"/>
        <v>248.10603948860631</v>
      </c>
      <c r="M34" s="159">
        <f t="shared" si="11"/>
        <v>8.1152949079737766</v>
      </c>
      <c r="N34" s="159">
        <f t="shared" si="11"/>
        <v>249.75762133510062</v>
      </c>
      <c r="O34" s="159">
        <f t="shared" si="11"/>
        <v>12.519206113696459</v>
      </c>
      <c r="P34" s="159">
        <f t="shared" si="11"/>
        <v>4.4038808330741555</v>
      </c>
      <c r="Q34" s="159">
        <f t="shared" si="11"/>
        <v>5.7559185377864797</v>
      </c>
      <c r="R34" s="159">
        <f t="shared" si="11"/>
        <v>2.9977143043512804</v>
      </c>
      <c r="S34" s="159">
        <f t="shared" si="11"/>
        <v>2.4334314382573741</v>
      </c>
      <c r="T34" s="159">
        <f t="shared" si="11"/>
        <v>217.79720047267801</v>
      </c>
    </row>
    <row r="35" spans="1:20" x14ac:dyDescent="0.2">
      <c r="A35" s="150" t="s">
        <v>38</v>
      </c>
      <c r="C35" s="152"/>
      <c r="D35" s="159">
        <f t="shared" si="6"/>
        <v>889.15</v>
      </c>
      <c r="E35" s="159"/>
      <c r="F35" s="159"/>
      <c r="G35" s="159"/>
      <c r="H35" s="159"/>
      <c r="I35" s="159"/>
      <c r="J35" s="159">
        <f t="shared" ref="J35:T35" si="12">+$D15*J15</f>
        <v>0</v>
      </c>
      <c r="K35" s="159">
        <f t="shared" si="12"/>
        <v>340.64936042541194</v>
      </c>
      <c r="L35" s="159">
        <f t="shared" si="12"/>
        <v>191.45755709545395</v>
      </c>
      <c r="M35" s="159">
        <f t="shared" si="12"/>
        <v>6.9005963475706595</v>
      </c>
      <c r="N35" s="159">
        <f t="shared" si="12"/>
        <v>161.53565219276078</v>
      </c>
      <c r="O35" s="159">
        <f t="shared" si="12"/>
        <v>9.2252816140274696</v>
      </c>
      <c r="P35" s="159">
        <f t="shared" si="12"/>
        <v>6.9688432973424712</v>
      </c>
      <c r="Q35" s="159">
        <f t="shared" si="12"/>
        <v>2.9453615876217145</v>
      </c>
      <c r="R35" s="159">
        <f t="shared" si="12"/>
        <v>3.4246129137336152</v>
      </c>
      <c r="S35" s="159">
        <f t="shared" si="12"/>
        <v>2.135869556003358</v>
      </c>
      <c r="T35" s="159">
        <f t="shared" si="12"/>
        <v>163.90686497007388</v>
      </c>
    </row>
    <row r="36" spans="1:20" x14ac:dyDescent="0.2">
      <c r="A36" s="150" t="s">
        <v>39</v>
      </c>
      <c r="C36" s="152"/>
      <c r="D36" s="159">
        <f t="shared" si="6"/>
        <v>941.49999999999989</v>
      </c>
      <c r="E36" s="159"/>
      <c r="F36" s="159"/>
      <c r="G36" s="159"/>
      <c r="H36" s="159"/>
      <c r="I36" s="159"/>
      <c r="J36" s="159">
        <f t="shared" ref="J36:T36" si="13">+$D16*J16</f>
        <v>0</v>
      </c>
      <c r="K36" s="159">
        <f t="shared" si="13"/>
        <v>410.69098926894981</v>
      </c>
      <c r="L36" s="159">
        <f t="shared" si="13"/>
        <v>163.63264317438677</v>
      </c>
      <c r="M36" s="159">
        <f t="shared" si="13"/>
        <v>9.0006657392544493</v>
      </c>
      <c r="N36" s="159">
        <f t="shared" si="13"/>
        <v>160.35762927573379</v>
      </c>
      <c r="O36" s="159">
        <f t="shared" si="13"/>
        <v>9.5620701082443436</v>
      </c>
      <c r="P36" s="159">
        <f t="shared" si="13"/>
        <v>6.5942794647646705</v>
      </c>
      <c r="Q36" s="159">
        <f t="shared" si="13"/>
        <v>3.3051507973441474</v>
      </c>
      <c r="R36" s="159">
        <f t="shared" si="13"/>
        <v>3.4301784815746195</v>
      </c>
      <c r="S36" s="159">
        <f t="shared" si="13"/>
        <v>3.1114636654771526</v>
      </c>
      <c r="T36" s="159">
        <f t="shared" si="13"/>
        <v>171.81493002427007</v>
      </c>
    </row>
    <row r="37" spans="1:20" x14ac:dyDescent="0.2">
      <c r="A37" s="150" t="s">
        <v>40</v>
      </c>
      <c r="C37" s="152"/>
      <c r="D37" s="159">
        <f t="shared" si="6"/>
        <v>1107.4800000000002</v>
      </c>
      <c r="E37" s="159"/>
      <c r="F37" s="159"/>
      <c r="G37" s="159"/>
      <c r="H37" s="159"/>
      <c r="I37" s="159"/>
      <c r="J37" s="159">
        <f t="shared" ref="J37:T37" si="14">+$D17*J17</f>
        <v>0</v>
      </c>
      <c r="K37" s="159">
        <f t="shared" si="14"/>
        <v>463.00298718617563</v>
      </c>
      <c r="L37" s="159">
        <f t="shared" si="14"/>
        <v>160.73651311811284</v>
      </c>
      <c r="M37" s="159">
        <f t="shared" si="14"/>
        <v>14.102597512284722</v>
      </c>
      <c r="N37" s="159">
        <f t="shared" si="14"/>
        <v>220.02886924375298</v>
      </c>
      <c r="O37" s="159">
        <f t="shared" si="14"/>
        <v>14.478952415550831</v>
      </c>
      <c r="P37" s="159">
        <f t="shared" si="14"/>
        <v>9.8548345828951156</v>
      </c>
      <c r="Q37" s="159">
        <f t="shared" si="14"/>
        <v>3.1319521775102057</v>
      </c>
      <c r="R37" s="159">
        <f t="shared" si="14"/>
        <v>4.2018035174638912</v>
      </c>
      <c r="S37" s="159">
        <f t="shared" si="14"/>
        <v>3.2533906071807568</v>
      </c>
      <c r="T37" s="159">
        <f t="shared" si="14"/>
        <v>214.68809963907316</v>
      </c>
    </row>
    <row r="38" spans="1:20" x14ac:dyDescent="0.2">
      <c r="A38" s="150" t="s">
        <v>10</v>
      </c>
      <c r="C38" s="152"/>
      <c r="D38" s="159">
        <f t="shared" si="6"/>
        <v>1058.2300000000002</v>
      </c>
      <c r="E38" s="159"/>
      <c r="F38" s="159"/>
      <c r="G38" s="159"/>
      <c r="H38" s="159"/>
      <c r="I38" s="159"/>
      <c r="J38" s="159">
        <f t="shared" ref="J38:T38" si="15">+$D18*J18</f>
        <v>0</v>
      </c>
      <c r="K38" s="159">
        <f t="shared" si="15"/>
        <v>418.32068960092823</v>
      </c>
      <c r="L38" s="159">
        <f t="shared" si="15"/>
        <v>159.97467473592616</v>
      </c>
      <c r="M38" s="159">
        <f t="shared" si="15"/>
        <v>13.475244946132438</v>
      </c>
      <c r="N38" s="159">
        <f t="shared" si="15"/>
        <v>236.78577655425224</v>
      </c>
      <c r="O38" s="159">
        <f t="shared" si="15"/>
        <v>12.724269222866143</v>
      </c>
      <c r="P38" s="159">
        <f t="shared" si="15"/>
        <v>3.4691987890290954</v>
      </c>
      <c r="Q38" s="159">
        <f t="shared" si="15"/>
        <v>3.0979095448852445</v>
      </c>
      <c r="R38" s="159">
        <f t="shared" si="15"/>
        <v>4.4501449255527126</v>
      </c>
      <c r="S38" s="159">
        <f t="shared" si="15"/>
        <v>3.8290496015075601</v>
      </c>
      <c r="T38" s="159">
        <f t="shared" si="15"/>
        <v>202.10304207892037</v>
      </c>
    </row>
    <row r="39" spans="1:20" x14ac:dyDescent="0.2">
      <c r="A39" s="150" t="s">
        <v>41</v>
      </c>
      <c r="C39" s="153"/>
      <c r="D39" s="159">
        <f t="shared" si="6"/>
        <v>1020.0599999999998</v>
      </c>
      <c r="E39" s="159"/>
      <c r="F39" s="159"/>
      <c r="G39" s="159"/>
      <c r="H39" s="159"/>
      <c r="I39" s="159"/>
      <c r="J39" s="159">
        <f t="shared" ref="J39:T39" si="16">+$D19*J19</f>
        <v>0</v>
      </c>
      <c r="K39" s="159">
        <f t="shared" si="16"/>
        <v>363.794970729684</v>
      </c>
      <c r="L39" s="159">
        <f t="shared" si="16"/>
        <v>179.85170773885386</v>
      </c>
      <c r="M39" s="159">
        <f t="shared" si="16"/>
        <v>10.71326963012994</v>
      </c>
      <c r="N39" s="159">
        <f t="shared" si="16"/>
        <v>242.04349277956837</v>
      </c>
      <c r="O39" s="159">
        <f t="shared" si="16"/>
        <v>10.262848115537633</v>
      </c>
      <c r="P39" s="159">
        <f t="shared" si="16"/>
        <v>2.2552802062107222</v>
      </c>
      <c r="Q39" s="159">
        <f t="shared" si="16"/>
        <v>3.0040243421078077</v>
      </c>
      <c r="R39" s="159">
        <f t="shared" si="16"/>
        <v>3.5531959611650987</v>
      </c>
      <c r="S39" s="159">
        <f t="shared" si="16"/>
        <v>4.2833736654078356</v>
      </c>
      <c r="T39" s="159">
        <f t="shared" si="16"/>
        <v>200.29783683133462</v>
      </c>
    </row>
    <row r="40" spans="1:20" x14ac:dyDescent="0.2">
      <c r="A40" s="150" t="s">
        <v>42</v>
      </c>
      <c r="C40" s="155"/>
      <c r="D40" s="159">
        <f t="shared" si="6"/>
        <v>1227.5899999999997</v>
      </c>
      <c r="E40" s="159"/>
      <c r="F40" s="159"/>
      <c r="G40" s="159"/>
      <c r="H40" s="159"/>
      <c r="I40" s="159"/>
      <c r="J40" s="159">
        <f t="shared" ref="J40:T40" si="17">+$D20*J20</f>
        <v>0</v>
      </c>
      <c r="K40" s="159">
        <f t="shared" si="17"/>
        <v>480.82842324493475</v>
      </c>
      <c r="L40" s="159">
        <f t="shared" si="17"/>
        <v>214.87354026616364</v>
      </c>
      <c r="M40" s="159">
        <f t="shared" si="17"/>
        <v>11.161791941342077</v>
      </c>
      <c r="N40" s="159">
        <f t="shared" si="17"/>
        <v>292.04352156420089</v>
      </c>
      <c r="O40" s="159">
        <f t="shared" si="17"/>
        <v>8.7450259249930795</v>
      </c>
      <c r="P40" s="159">
        <f t="shared" si="17"/>
        <v>1.203157397701883</v>
      </c>
      <c r="Q40" s="159">
        <f t="shared" si="17"/>
        <v>4.2686360054756447</v>
      </c>
      <c r="R40" s="159">
        <f t="shared" si="17"/>
        <v>4.8009363115234454</v>
      </c>
      <c r="S40" s="159">
        <f t="shared" si="17"/>
        <v>5.0817220413194324</v>
      </c>
      <c r="T40" s="159">
        <f t="shared" si="17"/>
        <v>204.58324530234506</v>
      </c>
    </row>
    <row r="41" spans="1:20" ht="15" x14ac:dyDescent="0.35">
      <c r="A41" s="150" t="s">
        <v>43</v>
      </c>
      <c r="D41" s="160">
        <f t="shared" si="6"/>
        <v>1073.4899999999998</v>
      </c>
      <c r="E41" s="160"/>
      <c r="F41" s="160"/>
      <c r="G41" s="160"/>
      <c r="H41" s="160"/>
      <c r="I41" s="160"/>
      <c r="J41" s="160">
        <f t="shared" ref="J41:T41" si="18">+$D21*J21</f>
        <v>0</v>
      </c>
      <c r="K41" s="160">
        <f t="shared" si="18"/>
        <v>388.99339177588047</v>
      </c>
      <c r="L41" s="160">
        <f t="shared" si="18"/>
        <v>226.32294535602324</v>
      </c>
      <c r="M41" s="160">
        <f t="shared" si="18"/>
        <v>8.9810581731726451</v>
      </c>
      <c r="N41" s="160">
        <f t="shared" si="18"/>
        <v>214.75471659073429</v>
      </c>
      <c r="O41" s="160">
        <f t="shared" si="18"/>
        <v>9.376397955877243</v>
      </c>
      <c r="P41" s="160">
        <f t="shared" si="18"/>
        <v>5.7736371799226225</v>
      </c>
      <c r="Q41" s="160">
        <f t="shared" si="18"/>
        <v>0.93596344315222779</v>
      </c>
      <c r="R41" s="160">
        <f t="shared" si="18"/>
        <v>5.0192785839491858</v>
      </c>
      <c r="S41" s="160">
        <f t="shared" si="18"/>
        <v>6.202504011337151</v>
      </c>
      <c r="T41" s="160">
        <f t="shared" si="18"/>
        <v>207.13010692995084</v>
      </c>
    </row>
    <row r="42" spans="1:20" ht="15" x14ac:dyDescent="0.35">
      <c r="D42" s="154">
        <f>SUM(D30:D41)</f>
        <v>12681.099999999997</v>
      </c>
      <c r="E42" s="154"/>
      <c r="F42" s="154"/>
      <c r="G42" s="154"/>
      <c r="H42" s="154"/>
      <c r="I42" s="154"/>
      <c r="J42" s="154">
        <f>SUM(J30:J41)</f>
        <v>0</v>
      </c>
      <c r="K42" s="154">
        <f t="shared" ref="K42:T42" si="19">SUM(K30:K41)</f>
        <v>4746.4698593004887</v>
      </c>
      <c r="L42" s="154">
        <f t="shared" si="19"/>
        <v>2581.1325284880927</v>
      </c>
      <c r="M42" s="154">
        <f t="shared" si="19"/>
        <v>117.03450452898191</v>
      </c>
      <c r="N42" s="154">
        <f>SUM(N30:N41)</f>
        <v>2629.0219908479385</v>
      </c>
      <c r="O42" s="154">
        <f t="shared" si="19"/>
        <v>124.98724397673929</v>
      </c>
      <c r="P42" s="154">
        <f t="shared" si="19"/>
        <v>64.929728501356607</v>
      </c>
      <c r="Q42" s="154">
        <f t="shared" si="19"/>
        <v>39.108708306368399</v>
      </c>
      <c r="R42" s="154">
        <f t="shared" si="19"/>
        <v>44.992448815030869</v>
      </c>
      <c r="S42" s="154">
        <f t="shared" si="19"/>
        <v>42.351057983191453</v>
      </c>
      <c r="T42" s="154">
        <f t="shared" si="19"/>
        <v>2291.0719292518129</v>
      </c>
    </row>
    <row r="45" spans="1:20" ht="15" x14ac:dyDescent="0.2">
      <c r="J45" s="494" t="s">
        <v>105</v>
      </c>
      <c r="K45" s="494"/>
      <c r="L45" s="494"/>
      <c r="M45" s="494"/>
      <c r="N45" s="494"/>
      <c r="O45" s="494"/>
      <c r="P45" s="494"/>
      <c r="Q45" s="494"/>
      <c r="R45" s="494"/>
      <c r="S45" s="494"/>
      <c r="T45" s="494"/>
    </row>
    <row r="46" spans="1:20" x14ac:dyDescent="0.2">
      <c r="D46" s="2" t="s">
        <v>24</v>
      </c>
      <c r="E46" s="364"/>
      <c r="F46" s="364"/>
      <c r="G46" s="364"/>
      <c r="H46" s="364"/>
      <c r="I46" s="364"/>
      <c r="J46" s="41" t="s">
        <v>99</v>
      </c>
      <c r="K46" s="41" t="s">
        <v>46</v>
      </c>
      <c r="L46" s="41"/>
      <c r="M46" s="41" t="s">
        <v>1</v>
      </c>
      <c r="N46" s="41"/>
      <c r="O46" s="41" t="s">
        <v>47</v>
      </c>
      <c r="P46" s="41"/>
      <c r="Q46" s="41" t="s">
        <v>2</v>
      </c>
      <c r="R46" s="41" t="s">
        <v>2</v>
      </c>
      <c r="S46" s="41" t="s">
        <v>48</v>
      </c>
    </row>
    <row r="47" spans="1:20" x14ac:dyDescent="0.2">
      <c r="D47" s="10" t="s">
        <v>0</v>
      </c>
      <c r="E47" s="10"/>
      <c r="F47" s="10"/>
      <c r="G47" s="10"/>
      <c r="H47" s="10"/>
      <c r="I47" s="10"/>
      <c r="J47" s="42" t="s">
        <v>93</v>
      </c>
      <c r="K47" s="42" t="s">
        <v>49</v>
      </c>
      <c r="L47" s="42" t="s">
        <v>50</v>
      </c>
      <c r="M47" s="42" t="s">
        <v>51</v>
      </c>
      <c r="N47" s="42" t="s">
        <v>4</v>
      </c>
      <c r="O47" s="42" t="s">
        <v>52</v>
      </c>
      <c r="P47" s="42" t="s">
        <v>3</v>
      </c>
      <c r="Q47" s="42" t="s">
        <v>53</v>
      </c>
      <c r="R47" s="42" t="s">
        <v>54</v>
      </c>
      <c r="S47" s="42" t="s">
        <v>55</v>
      </c>
      <c r="T47" s="59" t="s">
        <v>87</v>
      </c>
    </row>
    <row r="48" spans="1:20" x14ac:dyDescent="0.2"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59"/>
    </row>
    <row r="49" spans="1:20" x14ac:dyDescent="0.2">
      <c r="A49" s="150" t="s">
        <v>134</v>
      </c>
      <c r="C49" s="360">
        <f>+D49/D30</f>
        <v>8.8391034774906604E-2</v>
      </c>
      <c r="D49" s="159">
        <f t="shared" ref="D49:D60" si="20">SUM(J49:T49)</f>
        <v>91.81</v>
      </c>
      <c r="E49" s="159"/>
      <c r="F49" s="159"/>
      <c r="G49" s="159"/>
      <c r="H49" s="159"/>
      <c r="I49" s="159"/>
      <c r="J49" s="159">
        <f t="shared" ref="J49:T49" si="21">+$C10*J10</f>
        <v>0</v>
      </c>
      <c r="K49" s="159">
        <f t="shared" si="21"/>
        <v>30.490784511029229</v>
      </c>
      <c r="L49" s="159">
        <f t="shared" si="21"/>
        <v>21.708347718932234</v>
      </c>
      <c r="M49" s="159">
        <f t="shared" si="21"/>
        <v>0.69581074465007764</v>
      </c>
      <c r="N49" s="159">
        <f t="shared" si="21"/>
        <v>20.413677703637056</v>
      </c>
      <c r="O49" s="159">
        <f t="shared" si="21"/>
        <v>0.75276310549673009</v>
      </c>
      <c r="P49" s="159">
        <f t="shared" si="21"/>
        <v>0.71834953800520418</v>
      </c>
      <c r="Q49" s="159">
        <f t="shared" si="21"/>
        <v>0.28584401537539744</v>
      </c>
      <c r="R49" s="159">
        <f t="shared" si="21"/>
        <v>0.30724507252210043</v>
      </c>
      <c r="S49" s="159">
        <f t="shared" si="21"/>
        <v>0.33805397543975857</v>
      </c>
      <c r="T49" s="159">
        <f t="shared" si="21"/>
        <v>16.099123614912212</v>
      </c>
    </row>
    <row r="50" spans="1:20" x14ac:dyDescent="0.2">
      <c r="A50" s="150" t="s">
        <v>35</v>
      </c>
      <c r="C50" s="360">
        <f t="shared" ref="C50:C60" si="22">+D50/D31</f>
        <v>8.8695406626506032E-2</v>
      </c>
      <c r="D50" s="159">
        <f t="shared" si="20"/>
        <v>94.230000000000018</v>
      </c>
      <c r="E50" s="159"/>
      <c r="F50" s="159"/>
      <c r="G50" s="159"/>
      <c r="H50" s="159"/>
      <c r="I50" s="159"/>
      <c r="J50" s="159">
        <f t="shared" ref="J50:T50" si="23">+$C11*J11</f>
        <v>0</v>
      </c>
      <c r="K50" s="159">
        <f t="shared" si="23"/>
        <v>29.091590593866719</v>
      </c>
      <c r="L50" s="159">
        <f t="shared" si="23"/>
        <v>25.154625328122052</v>
      </c>
      <c r="M50" s="159">
        <f t="shared" si="23"/>
        <v>0.73541150244918618</v>
      </c>
      <c r="N50" s="159">
        <f t="shared" si="23"/>
        <v>21.405245131038406</v>
      </c>
      <c r="O50" s="159">
        <f t="shared" si="23"/>
        <v>1.007037909777567</v>
      </c>
      <c r="P50" s="159">
        <f t="shared" si="23"/>
        <v>0.49468539628709363</v>
      </c>
      <c r="Q50" s="159">
        <f t="shared" si="23"/>
        <v>0.34802208304023591</v>
      </c>
      <c r="R50" s="159">
        <f t="shared" si="23"/>
        <v>0.35285096773294583</v>
      </c>
      <c r="S50" s="159">
        <f t="shared" si="23"/>
        <v>0.25918300888685031</v>
      </c>
      <c r="T50" s="159">
        <f t="shared" si="23"/>
        <v>15.381348078798954</v>
      </c>
    </row>
    <row r="51" spans="1:20" x14ac:dyDescent="0.2">
      <c r="A51" s="150" t="s">
        <v>36</v>
      </c>
      <c r="C51" s="360">
        <f t="shared" si="22"/>
        <v>8.9620489423475752E-2</v>
      </c>
      <c r="D51" s="159">
        <f t="shared" si="20"/>
        <v>86.43</v>
      </c>
      <c r="E51" s="159"/>
      <c r="F51" s="159"/>
      <c r="G51" s="159"/>
      <c r="H51" s="159"/>
      <c r="I51" s="159"/>
      <c r="J51" s="159">
        <f t="shared" ref="J51:T51" si="24">+$C12*J12</f>
        <v>0</v>
      </c>
      <c r="K51" s="159">
        <f t="shared" si="24"/>
        <v>30.725728585175553</v>
      </c>
      <c r="L51" s="159">
        <f t="shared" si="24"/>
        <v>22.186662113001315</v>
      </c>
      <c r="M51" s="159">
        <f t="shared" si="24"/>
        <v>1.0255419182310288</v>
      </c>
      <c r="N51" s="159">
        <f t="shared" si="24"/>
        <v>14.73305301573861</v>
      </c>
      <c r="O51" s="159">
        <f t="shared" si="24"/>
        <v>0.61557711057392006</v>
      </c>
      <c r="P51" s="159">
        <f t="shared" si="24"/>
        <v>0.69460778993954575</v>
      </c>
      <c r="Q51" s="159">
        <f t="shared" si="24"/>
        <v>0.22777266456890091</v>
      </c>
      <c r="R51" s="159">
        <f t="shared" si="24"/>
        <v>0.40829274207877847</v>
      </c>
      <c r="S51" s="159">
        <f t="shared" si="24"/>
        <v>0.24491502456966577</v>
      </c>
      <c r="T51" s="159">
        <f t="shared" si="24"/>
        <v>15.567849036122693</v>
      </c>
    </row>
    <row r="52" spans="1:20" x14ac:dyDescent="0.2">
      <c r="A52" s="150" t="s">
        <v>37</v>
      </c>
      <c r="C52" s="360">
        <f t="shared" si="22"/>
        <v>8.8608963615721473E-2</v>
      </c>
      <c r="D52" s="159">
        <f t="shared" si="20"/>
        <v>98.340000000000018</v>
      </c>
      <c r="E52" s="159"/>
      <c r="F52" s="159"/>
      <c r="G52" s="159"/>
      <c r="H52" s="159"/>
      <c r="I52" s="159"/>
      <c r="J52" s="159">
        <f t="shared" ref="J52:T52" si="25">+$C13*J13</f>
        <v>0</v>
      </c>
      <c r="K52" s="159">
        <f t="shared" si="25"/>
        <v>37.923305914224002</v>
      </c>
      <c r="L52" s="159">
        <f t="shared" si="25"/>
        <v>22.986336195144972</v>
      </c>
      <c r="M52" s="159">
        <f t="shared" si="25"/>
        <v>0.61826319649274009</v>
      </c>
      <c r="N52" s="159">
        <f t="shared" si="25"/>
        <v>19.054402159189369</v>
      </c>
      <c r="O52" s="159">
        <f t="shared" si="25"/>
        <v>1.0060935805593121</v>
      </c>
      <c r="P52" s="159">
        <f t="shared" si="25"/>
        <v>0.26155319557297696</v>
      </c>
      <c r="Q52" s="159">
        <f t="shared" si="25"/>
        <v>0.26269196099934211</v>
      </c>
      <c r="R52" s="159">
        <f t="shared" si="25"/>
        <v>9.7875579000485574E-2</v>
      </c>
      <c r="S52" s="159">
        <f t="shared" si="25"/>
        <v>0.22513361261873333</v>
      </c>
      <c r="T52" s="159">
        <f t="shared" si="25"/>
        <v>15.904344606198077</v>
      </c>
    </row>
    <row r="53" spans="1:20" x14ac:dyDescent="0.2">
      <c r="A53" s="150" t="s">
        <v>135</v>
      </c>
      <c r="C53" s="360">
        <f t="shared" si="22"/>
        <v>9.1231170579819915E-2</v>
      </c>
      <c r="D53" s="159">
        <f t="shared" si="20"/>
        <v>108.40999999999998</v>
      </c>
      <c r="E53" s="159"/>
      <c r="F53" s="159"/>
      <c r="G53" s="159"/>
      <c r="H53" s="159"/>
      <c r="I53" s="159"/>
      <c r="J53" s="159">
        <f t="shared" ref="J53:T53" si="26">+$C14*J14</f>
        <v>0</v>
      </c>
      <c r="K53" s="159">
        <f t="shared" si="26"/>
        <v>39.814532030083662</v>
      </c>
      <c r="L53" s="159">
        <f t="shared" si="26"/>
        <v>22.635004410468575</v>
      </c>
      <c r="M53" s="159">
        <f t="shared" si="26"/>
        <v>0.74036785405489958</v>
      </c>
      <c r="N53" s="159">
        <f t="shared" si="26"/>
        <v>22.785680155632633</v>
      </c>
      <c r="O53" s="159">
        <f t="shared" si="26"/>
        <v>1.142141828482566</v>
      </c>
      <c r="P53" s="159">
        <f t="shared" si="26"/>
        <v>0.40177120349538775</v>
      </c>
      <c r="Q53" s="159">
        <f t="shared" si="26"/>
        <v>0.52511918596434592</v>
      </c>
      <c r="R53" s="159">
        <f t="shared" si="26"/>
        <v>0.27348498504983781</v>
      </c>
      <c r="S53" s="159">
        <f t="shared" si="26"/>
        <v>0.22200479863795503</v>
      </c>
      <c r="T53" s="159">
        <f t="shared" si="26"/>
        <v>19.869893548130122</v>
      </c>
    </row>
    <row r="54" spans="1:20" x14ac:dyDescent="0.2">
      <c r="A54" s="150" t="s">
        <v>38</v>
      </c>
      <c r="C54" s="360">
        <f t="shared" si="22"/>
        <v>9.0907046055221263E-2</v>
      </c>
      <c r="D54" s="159">
        <f t="shared" si="20"/>
        <v>80.829999999999984</v>
      </c>
      <c r="E54" s="159"/>
      <c r="F54" s="159"/>
      <c r="G54" s="159"/>
      <c r="H54" s="159"/>
      <c r="I54" s="159"/>
      <c r="J54" s="159">
        <f t="shared" ref="J54:T54" si="27">+$C15*J15</f>
        <v>0</v>
      </c>
      <c r="K54" s="159">
        <f t="shared" si="27"/>
        <v>30.967427096874594</v>
      </c>
      <c r="L54" s="159">
        <f t="shared" si="27"/>
        <v>17.404840960496589</v>
      </c>
      <c r="M54" s="159">
        <f t="shared" si="27"/>
        <v>0.6273128299770977</v>
      </c>
      <c r="N54" s="159">
        <f t="shared" si="27"/>
        <v>14.684728973447509</v>
      </c>
      <c r="O54" s="159">
        <f t="shared" si="27"/>
        <v>0.83864310055878133</v>
      </c>
      <c r="P54" s="159">
        <f t="shared" si="27"/>
        <v>0.63351695858313217</v>
      </c>
      <c r="Q54" s="159">
        <f t="shared" si="27"/>
        <v>0.26775412149520683</v>
      </c>
      <c r="R54" s="159">
        <f t="shared" si="27"/>
        <v>0.31132144387008726</v>
      </c>
      <c r="S54" s="159">
        <f t="shared" si="27"/>
        <v>0.19416559209554229</v>
      </c>
      <c r="T54" s="159">
        <f t="shared" si="27"/>
        <v>14.900288922601442</v>
      </c>
    </row>
    <row r="55" spans="1:20" x14ac:dyDescent="0.2">
      <c r="A55" s="150" t="s">
        <v>39</v>
      </c>
      <c r="C55" s="360">
        <f>+D55/D36</f>
        <v>9.8353690918746683E-2</v>
      </c>
      <c r="D55" s="159">
        <f t="shared" si="20"/>
        <v>92.6</v>
      </c>
      <c r="E55" s="159"/>
      <c r="F55" s="159"/>
      <c r="G55" s="159"/>
      <c r="H55" s="159"/>
      <c r="I55" s="159"/>
      <c r="J55" s="159">
        <f t="shared" ref="J55:T55" si="28">+$C16*J16</f>
        <v>0</v>
      </c>
      <c r="K55" s="159">
        <f t="shared" si="28"/>
        <v>40.3929746216726</v>
      </c>
      <c r="L55" s="159">
        <f t="shared" si="28"/>
        <v>16.093874410991202</v>
      </c>
      <c r="M55" s="159">
        <f t="shared" si="28"/>
        <v>0.88524869618158475</v>
      </c>
      <c r="N55" s="159">
        <f t="shared" si="28"/>
        <v>15.771764706248485</v>
      </c>
      <c r="O55" s="159">
        <f t="shared" si="28"/>
        <v>0.94046488796965089</v>
      </c>
      <c r="P55" s="159">
        <f t="shared" si="28"/>
        <v>0.64857172430930277</v>
      </c>
      <c r="Q55" s="159">
        <f t="shared" si="28"/>
        <v>0.32507377996183545</v>
      </c>
      <c r="R55" s="159">
        <f t="shared" si="28"/>
        <v>0.33737071417292597</v>
      </c>
      <c r="S55" s="159">
        <f t="shared" si="28"/>
        <v>0.30602393565925051</v>
      </c>
      <c r="T55" s="159">
        <f t="shared" si="28"/>
        <v>16.898632522833147</v>
      </c>
    </row>
    <row r="56" spans="1:20" x14ac:dyDescent="0.2">
      <c r="A56" s="150" t="s">
        <v>40</v>
      </c>
      <c r="C56" s="360">
        <f t="shared" si="22"/>
        <v>8.6304041607974849E-2</v>
      </c>
      <c r="D56" s="159">
        <f t="shared" si="20"/>
        <v>95.580000000000013</v>
      </c>
      <c r="E56" s="159"/>
      <c r="F56" s="159"/>
      <c r="G56" s="159"/>
      <c r="H56" s="159"/>
      <c r="I56" s="159"/>
      <c r="J56" s="159">
        <f t="shared" ref="J56:T56" si="29">+$C17*J17</f>
        <v>0</v>
      </c>
      <c r="K56" s="159">
        <f t="shared" si="29"/>
        <v>39.959029070732349</v>
      </c>
      <c r="L56" s="159">
        <f t="shared" si="29"/>
        <v>13.872210716066407</v>
      </c>
      <c r="M56" s="159">
        <f t="shared" si="29"/>
        <v>1.2171111624807434</v>
      </c>
      <c r="N56" s="159">
        <f t="shared" si="29"/>
        <v>18.989380686168516</v>
      </c>
      <c r="O56" s="159">
        <f t="shared" si="29"/>
        <v>1.2495921117115869</v>
      </c>
      <c r="P56" s="159">
        <f t="shared" si="29"/>
        <v>0.85051205388188966</v>
      </c>
      <c r="Q56" s="159">
        <f t="shared" si="29"/>
        <v>0.27030013104202827</v>
      </c>
      <c r="R56" s="159">
        <f t="shared" si="29"/>
        <v>0.3626326255997388</v>
      </c>
      <c r="S56" s="159">
        <f t="shared" si="29"/>
        <v>0.28078075832912264</v>
      </c>
      <c r="T56" s="159">
        <f t="shared" si="29"/>
        <v>18.528450683987622</v>
      </c>
    </row>
    <row r="57" spans="1:20" x14ac:dyDescent="0.2">
      <c r="A57" s="150" t="s">
        <v>10</v>
      </c>
      <c r="C57" s="360">
        <f t="shared" si="22"/>
        <v>9.2361773905483682E-2</v>
      </c>
      <c r="D57" s="159">
        <f t="shared" si="20"/>
        <v>97.740000000000023</v>
      </c>
      <c r="E57" s="159"/>
      <c r="F57" s="159"/>
      <c r="G57" s="159"/>
      <c r="H57" s="159"/>
      <c r="I57" s="159"/>
      <c r="J57" s="159">
        <f t="shared" ref="J57:T57" si="30">+$C18*J18</f>
        <v>0</v>
      </c>
      <c r="K57" s="159">
        <f t="shared" si="30"/>
        <v>38.636840952906951</v>
      </c>
      <c r="L57" s="159">
        <f t="shared" si="30"/>
        <v>14.775544738562903</v>
      </c>
      <c r="M57" s="159">
        <f t="shared" si="30"/>
        <v>1.2445975270356957</v>
      </c>
      <c r="N57" s="159">
        <f t="shared" si="30"/>
        <v>21.869954358138223</v>
      </c>
      <c r="O57" s="159">
        <f t="shared" si="30"/>
        <v>1.1752360770748671</v>
      </c>
      <c r="P57" s="159">
        <f t="shared" si="30"/>
        <v>0.32042135418548306</v>
      </c>
      <c r="Q57" s="159">
        <f t="shared" si="30"/>
        <v>0.28612842096433078</v>
      </c>
      <c r="R57" s="159">
        <f t="shared" si="30"/>
        <v>0.41102327946053507</v>
      </c>
      <c r="S57" s="159">
        <f t="shared" si="30"/>
        <v>0.35365781356732368</v>
      </c>
      <c r="T57" s="159">
        <f t="shared" si="30"/>
        <v>18.666595478103698</v>
      </c>
    </row>
    <row r="58" spans="1:20" x14ac:dyDescent="0.2">
      <c r="A58" s="150" t="s">
        <v>41</v>
      </c>
      <c r="C58" s="360">
        <f t="shared" si="22"/>
        <v>9.9190243711154272E-2</v>
      </c>
      <c r="D58" s="159">
        <f t="shared" si="20"/>
        <v>101.18</v>
      </c>
      <c r="E58" s="159"/>
      <c r="F58" s="159"/>
      <c r="G58" s="159"/>
      <c r="H58" s="159"/>
      <c r="I58" s="159"/>
      <c r="J58" s="159">
        <f t="shared" ref="J58:T58" si="31">+$C19*J19</f>
        <v>0</v>
      </c>
      <c r="K58" s="159">
        <f t="shared" si="31"/>
        <v>36.08491180756959</v>
      </c>
      <c r="L58" s="159">
        <f t="shared" si="31"/>
        <v>17.839534722484203</v>
      </c>
      <c r="M58" s="159">
        <f t="shared" si="31"/>
        <v>1.0626518255558963</v>
      </c>
      <c r="N58" s="159">
        <f t="shared" si="31"/>
        <v>24.008353037504392</v>
      </c>
      <c r="O58" s="159">
        <f t="shared" si="31"/>
        <v>1.0179744057507381</v>
      </c>
      <c r="P58" s="159">
        <f t="shared" si="31"/>
        <v>0.22370179329098377</v>
      </c>
      <c r="Q58" s="159">
        <f t="shared" si="31"/>
        <v>0.29796990660791328</v>
      </c>
      <c r="R58" s="159">
        <f t="shared" si="31"/>
        <v>0.35244237334145517</v>
      </c>
      <c r="S58" s="159">
        <f t="shared" si="31"/>
        <v>0.42486887777774329</v>
      </c>
      <c r="T58" s="159">
        <f t="shared" si="31"/>
        <v>19.867591250117091</v>
      </c>
    </row>
    <row r="59" spans="1:20" x14ac:dyDescent="0.2">
      <c r="A59" s="150" t="s">
        <v>42</v>
      </c>
      <c r="C59" s="360">
        <f t="shared" si="22"/>
        <v>8.468625518291939E-2</v>
      </c>
      <c r="D59" s="159">
        <f t="shared" si="20"/>
        <v>103.96</v>
      </c>
      <c r="E59" s="159"/>
      <c r="F59" s="159"/>
      <c r="G59" s="159"/>
      <c r="H59" s="159"/>
      <c r="I59" s="159"/>
      <c r="J59" s="159">
        <f t="shared" ref="J59:T59" si="32">+$C20*J20</f>
        <v>0</v>
      </c>
      <c r="K59" s="159">
        <f t="shared" si="32"/>
        <v>40.719558550121306</v>
      </c>
      <c r="L59" s="159">
        <f t="shared" si="32"/>
        <v>18.196835463037637</v>
      </c>
      <c r="M59" s="159">
        <f t="shared" si="32"/>
        <v>0.94525036064314816</v>
      </c>
      <c r="N59" s="159">
        <f t="shared" si="32"/>
        <v>24.732072191704333</v>
      </c>
      <c r="O59" s="159">
        <f t="shared" si="32"/>
        <v>0.74058349706520954</v>
      </c>
      <c r="P59" s="159">
        <f t="shared" si="32"/>
        <v>0.10189089440699889</v>
      </c>
      <c r="Q59" s="159">
        <f t="shared" si="32"/>
        <v>0.36149479804270812</v>
      </c>
      <c r="R59" s="159">
        <f t="shared" si="32"/>
        <v>0.40657331759461818</v>
      </c>
      <c r="S59" s="159">
        <f t="shared" si="32"/>
        <v>0.43035200955984343</v>
      </c>
      <c r="T59" s="159">
        <f t="shared" si="32"/>
        <v>17.325388917824185</v>
      </c>
    </row>
    <row r="60" spans="1:20" ht="15" x14ac:dyDescent="0.35">
      <c r="A60" s="150" t="s">
        <v>43</v>
      </c>
      <c r="C60" s="360">
        <f t="shared" si="22"/>
        <v>8.4025002561737908E-2</v>
      </c>
      <c r="D60" s="160">
        <f t="shared" si="20"/>
        <v>90.2</v>
      </c>
      <c r="E60" s="160"/>
      <c r="F60" s="160"/>
      <c r="G60" s="160"/>
      <c r="H60" s="160"/>
      <c r="I60" s="160"/>
      <c r="J60" s="160">
        <f t="shared" ref="J60:T60" si="33">+$C21*J21</f>
        <v>0</v>
      </c>
      <c r="K60" s="160">
        <f t="shared" si="33"/>
        <v>32.685170740467463</v>
      </c>
      <c r="L60" s="160">
        <f t="shared" si="33"/>
        <v>19.016786063319916</v>
      </c>
      <c r="M60" s="160">
        <f t="shared" si="33"/>
        <v>0.75463343600794852</v>
      </c>
      <c r="N60" s="160">
        <f t="shared" si="33"/>
        <v>18.04476561168174</v>
      </c>
      <c r="O60" s="160">
        <f t="shared" si="33"/>
        <v>0.78785186226245918</v>
      </c>
      <c r="P60" s="160">
        <f t="shared" si="33"/>
        <v>0.48512987883354347</v>
      </c>
      <c r="Q60" s="160">
        <f t="shared" si="33"/>
        <v>7.8644330708558946E-2</v>
      </c>
      <c r="R60" s="160">
        <f t="shared" si="33"/>
        <v>0.42174489587440644</v>
      </c>
      <c r="S60" s="160">
        <f t="shared" si="33"/>
        <v>0.52116541544179362</v>
      </c>
      <c r="T60" s="160">
        <f t="shared" si="33"/>
        <v>17.404107765402163</v>
      </c>
    </row>
    <row r="61" spans="1:20" ht="15" x14ac:dyDescent="0.35">
      <c r="D61" s="154">
        <f>SUM(D49:D60)</f>
        <v>1141.3100000000002</v>
      </c>
      <c r="E61" s="154"/>
      <c r="F61" s="154"/>
      <c r="G61" s="154"/>
      <c r="H61" s="154"/>
      <c r="I61" s="154"/>
      <c r="J61" s="154">
        <f>SUM(J49:J60)</f>
        <v>0</v>
      </c>
      <c r="K61" s="154">
        <f t="shared" ref="K61:T61" si="34">SUM(K49:K60)</f>
        <v>427.49185447472399</v>
      </c>
      <c r="L61" s="154">
        <f t="shared" si="34"/>
        <v>231.87060284062798</v>
      </c>
      <c r="M61" s="154">
        <f t="shared" si="34"/>
        <v>10.552201053760047</v>
      </c>
      <c r="N61" s="154">
        <f>SUM(N49:N60)</f>
        <v>236.49307773012924</v>
      </c>
      <c r="O61" s="154">
        <f t="shared" si="34"/>
        <v>11.273959477283388</v>
      </c>
      <c r="P61" s="154">
        <f t="shared" si="34"/>
        <v>5.834711780791543</v>
      </c>
      <c r="Q61" s="154">
        <f t="shared" si="34"/>
        <v>3.5368153987708038</v>
      </c>
      <c r="R61" s="154">
        <f t="shared" si="34"/>
        <v>4.042857996297915</v>
      </c>
      <c r="S61" s="154">
        <f t="shared" si="34"/>
        <v>3.8003048225835823</v>
      </c>
      <c r="T61" s="154">
        <f t="shared" si="34"/>
        <v>206.41361442503143</v>
      </c>
    </row>
  </sheetData>
  <mergeCells count="4">
    <mergeCell ref="J26:T26"/>
    <mergeCell ref="J45:T45"/>
    <mergeCell ref="B5:D5"/>
    <mergeCell ref="F5:I5"/>
  </mergeCells>
  <pageMargins left="0.45" right="0.5" top="0.5" bottom="0.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5"/>
  <sheetViews>
    <sheetView topLeftCell="A7" workbookViewId="0">
      <selection activeCell="A2" sqref="A2"/>
    </sheetView>
  </sheetViews>
  <sheetFormatPr defaultRowHeight="12.75" x14ac:dyDescent="0.2"/>
  <cols>
    <col min="1" max="1" width="18.140625" bestFit="1" customWidth="1"/>
    <col min="2" max="2" width="14.42578125" customWidth="1"/>
    <col min="3" max="3" width="12.7109375" bestFit="1" customWidth="1"/>
    <col min="4" max="4" width="9" customWidth="1"/>
    <col min="5" max="5" width="10.42578125" bestFit="1" customWidth="1"/>
    <col min="6" max="6" width="8.7109375" bestFit="1" customWidth="1"/>
    <col min="7" max="7" width="8.85546875" bestFit="1" customWidth="1"/>
    <col min="8" max="9" width="10.28515625" bestFit="1" customWidth="1"/>
    <col min="10" max="10" width="8.85546875" bestFit="1" customWidth="1"/>
    <col min="11" max="11" width="11" bestFit="1" customWidth="1"/>
    <col min="12" max="12" width="4" customWidth="1"/>
    <col min="13" max="13" width="5" customWidth="1"/>
  </cols>
  <sheetData>
    <row r="1" spans="1:18" ht="26.25" x14ac:dyDescent="0.4">
      <c r="A1" s="147" t="s">
        <v>18</v>
      </c>
    </row>
    <row r="2" spans="1:18" ht="15" x14ac:dyDescent="0.25">
      <c r="A2" s="149" t="s">
        <v>124</v>
      </c>
    </row>
    <row r="3" spans="1:18" ht="15" x14ac:dyDescent="0.25">
      <c r="A3" s="149"/>
    </row>
    <row r="4" spans="1:18" ht="15" x14ac:dyDescent="0.25">
      <c r="A4" s="149"/>
    </row>
    <row r="6" spans="1:18" x14ac:dyDescent="0.2">
      <c r="A6" s="234" t="s">
        <v>81</v>
      </c>
      <c r="B6" s="51" t="s">
        <v>82</v>
      </c>
      <c r="C6" s="52"/>
      <c r="D6" s="52"/>
      <c r="E6" s="53"/>
      <c r="F6" s="52"/>
      <c r="G6" s="52"/>
      <c r="H6" s="52"/>
      <c r="I6" s="53" t="s">
        <v>53</v>
      </c>
      <c r="J6" s="53" t="s">
        <v>54</v>
      </c>
      <c r="K6" s="53" t="s">
        <v>48</v>
      </c>
    </row>
    <row r="7" spans="1:18" x14ac:dyDescent="0.2">
      <c r="A7" s="54"/>
      <c r="B7" s="55" t="s">
        <v>83</v>
      </c>
      <c r="C7" s="55" t="s">
        <v>84</v>
      </c>
      <c r="D7" s="55" t="s">
        <v>50</v>
      </c>
      <c r="E7" s="55" t="s">
        <v>85</v>
      </c>
      <c r="F7" s="55" t="s">
        <v>4</v>
      </c>
      <c r="G7" s="55" t="s">
        <v>52</v>
      </c>
      <c r="H7" s="55" t="s">
        <v>3</v>
      </c>
      <c r="I7" s="55" t="s">
        <v>2</v>
      </c>
      <c r="J7" s="55" t="s">
        <v>2</v>
      </c>
      <c r="K7" s="53" t="s">
        <v>86</v>
      </c>
    </row>
    <row r="8" spans="1:18" x14ac:dyDescent="0.2">
      <c r="A8" s="56"/>
      <c r="B8" s="57"/>
      <c r="C8" s="56"/>
      <c r="D8" s="56"/>
      <c r="E8" s="56"/>
      <c r="F8" s="56"/>
      <c r="G8" s="56"/>
      <c r="H8" s="56"/>
      <c r="I8" s="56"/>
      <c r="J8" s="56"/>
      <c r="K8" s="56"/>
    </row>
    <row r="9" spans="1:18" x14ac:dyDescent="0.2">
      <c r="A9" s="233">
        <v>43709</v>
      </c>
      <c r="B9" s="145">
        <v>0</v>
      </c>
      <c r="C9" s="145">
        <v>2.75</v>
      </c>
      <c r="D9" s="145">
        <v>70.22</v>
      </c>
      <c r="E9" s="145">
        <v>895.29</v>
      </c>
      <c r="F9" s="145">
        <v>-53.34</v>
      </c>
      <c r="G9" s="145">
        <v>114.65</v>
      </c>
      <c r="H9" s="145">
        <v>113.9</v>
      </c>
      <c r="I9" s="145">
        <v>500</v>
      </c>
      <c r="J9" s="145">
        <v>220</v>
      </c>
      <c r="K9" s="145">
        <v>-187.5</v>
      </c>
      <c r="O9" s="38"/>
    </row>
    <row r="10" spans="1:18" x14ac:dyDescent="0.2">
      <c r="A10" s="233">
        <v>43739</v>
      </c>
      <c r="B10" s="145">
        <v>0</v>
      </c>
      <c r="C10" s="145">
        <v>5.74</v>
      </c>
      <c r="D10" s="145">
        <v>65.28</v>
      </c>
      <c r="E10" s="145">
        <v>908.42</v>
      </c>
      <c r="F10" s="145">
        <v>-53.34</v>
      </c>
      <c r="G10" s="145">
        <v>87.32</v>
      </c>
      <c r="H10" s="145">
        <v>88.05</v>
      </c>
      <c r="I10" s="145">
        <v>790</v>
      </c>
      <c r="J10" s="145">
        <v>239.85</v>
      </c>
      <c r="K10" s="145">
        <v>-187.5</v>
      </c>
      <c r="O10" s="38"/>
    </row>
    <row r="11" spans="1:18" x14ac:dyDescent="0.2">
      <c r="A11" s="233">
        <v>43770</v>
      </c>
      <c r="B11" s="145">
        <v>0</v>
      </c>
      <c r="C11" s="145">
        <v>-3.75</v>
      </c>
      <c r="D11" s="145">
        <v>62.34</v>
      </c>
      <c r="E11" s="145">
        <v>850.71</v>
      </c>
      <c r="F11" s="145">
        <v>-53.34</v>
      </c>
      <c r="G11" s="145">
        <v>96.2</v>
      </c>
      <c r="H11" s="145">
        <v>79</v>
      </c>
      <c r="I11" s="145">
        <v>860</v>
      </c>
      <c r="J11" s="145">
        <v>310</v>
      </c>
      <c r="K11" s="145">
        <v>-187.5</v>
      </c>
    </row>
    <row r="12" spans="1:18" x14ac:dyDescent="0.2">
      <c r="A12" s="233">
        <v>43800</v>
      </c>
      <c r="B12" s="145">
        <v>0</v>
      </c>
      <c r="C12" s="145">
        <v>2.31</v>
      </c>
      <c r="D12" s="145">
        <v>59.14</v>
      </c>
      <c r="E12" s="145">
        <v>860.47</v>
      </c>
      <c r="F12" s="145">
        <v>-53.34</v>
      </c>
      <c r="G12" s="145">
        <v>109.31</v>
      </c>
      <c r="H12" s="145">
        <v>152.85</v>
      </c>
      <c r="I12" s="145">
        <v>938.43</v>
      </c>
      <c r="J12" s="145">
        <v>260</v>
      </c>
      <c r="K12" s="145">
        <v>-187.5</v>
      </c>
    </row>
    <row r="13" spans="1:18" x14ac:dyDescent="0.2">
      <c r="A13" s="233">
        <v>43831</v>
      </c>
      <c r="B13" s="145">
        <v>0</v>
      </c>
      <c r="C13" s="145">
        <v>-0.11</v>
      </c>
      <c r="D13" s="145">
        <v>66.25</v>
      </c>
      <c r="E13" s="145">
        <v>864.23</v>
      </c>
      <c r="F13" s="145">
        <v>-53.34</v>
      </c>
      <c r="G13" s="145">
        <v>126.19</v>
      </c>
      <c r="H13" s="145">
        <v>180</v>
      </c>
      <c r="I13" s="145">
        <v>1020</v>
      </c>
      <c r="J13" s="145">
        <v>260</v>
      </c>
      <c r="K13" s="145">
        <v>-187.5</v>
      </c>
    </row>
    <row r="14" spans="1:18" x14ac:dyDescent="0.2">
      <c r="A14" s="233">
        <v>43862</v>
      </c>
      <c r="B14" s="145">
        <v>0</v>
      </c>
      <c r="C14" s="145">
        <v>2.08</v>
      </c>
      <c r="D14" s="145">
        <v>78.12</v>
      </c>
      <c r="E14" s="145">
        <v>799.14</v>
      </c>
      <c r="F14" s="145">
        <v>-53.34</v>
      </c>
      <c r="G14" s="145">
        <v>110.02</v>
      </c>
      <c r="H14" s="145">
        <v>180</v>
      </c>
      <c r="I14" s="145">
        <v>1072.69</v>
      </c>
      <c r="J14" s="145">
        <v>160</v>
      </c>
      <c r="K14" s="145">
        <v>-187.5</v>
      </c>
    </row>
    <row r="15" spans="1:18" x14ac:dyDescent="0.2">
      <c r="A15" s="233">
        <v>43891</v>
      </c>
      <c r="B15" s="145">
        <v>0</v>
      </c>
      <c r="C15" s="145">
        <v>-17.27</v>
      </c>
      <c r="D15" s="145">
        <v>82.04</v>
      </c>
      <c r="E15" s="145">
        <v>832.47</v>
      </c>
      <c r="F15" s="145">
        <v>-53.34</v>
      </c>
      <c r="G15" s="145">
        <v>119.1</v>
      </c>
      <c r="H15" s="145">
        <v>180</v>
      </c>
      <c r="I15" s="145">
        <v>649.80999999999995</v>
      </c>
      <c r="J15" s="145">
        <v>150</v>
      </c>
      <c r="K15" s="145">
        <v>-187.5</v>
      </c>
      <c r="O15" s="18"/>
      <c r="P15" s="18"/>
      <c r="R15" s="18"/>
    </row>
    <row r="16" spans="1:18" x14ac:dyDescent="0.2">
      <c r="A16" s="233">
        <v>43922</v>
      </c>
      <c r="B16" s="145">
        <v>0</v>
      </c>
      <c r="C16" s="145">
        <v>-10.76</v>
      </c>
      <c r="D16" s="145">
        <v>84.21</v>
      </c>
      <c r="E16" s="145">
        <v>813.28</v>
      </c>
      <c r="F16" s="145">
        <v>-59.96</v>
      </c>
      <c r="G16" s="145">
        <v>78.25</v>
      </c>
      <c r="H16" s="145">
        <v>150</v>
      </c>
      <c r="I16" s="145">
        <v>680</v>
      </c>
      <c r="J16" s="145">
        <v>60</v>
      </c>
      <c r="K16" s="145">
        <v>-187.5</v>
      </c>
      <c r="O16" s="18"/>
      <c r="P16" s="18"/>
    </row>
    <row r="17" spans="1:16" x14ac:dyDescent="0.2">
      <c r="A17" s="233">
        <v>43952</v>
      </c>
      <c r="B17" s="145">
        <v>0</v>
      </c>
      <c r="C17" s="145">
        <v>-5.37</v>
      </c>
      <c r="D17" s="145">
        <v>110.43</v>
      </c>
      <c r="E17" s="145">
        <v>693.51</v>
      </c>
      <c r="F17" s="145">
        <v>-53.34</v>
      </c>
      <c r="G17" s="145">
        <v>90.06</v>
      </c>
      <c r="H17" s="145">
        <v>130</v>
      </c>
      <c r="I17" s="145">
        <v>640</v>
      </c>
      <c r="J17" s="145">
        <v>60</v>
      </c>
      <c r="K17" s="145">
        <v>-187.5</v>
      </c>
      <c r="O17" s="18"/>
      <c r="P17" s="18"/>
    </row>
    <row r="18" spans="1:16" x14ac:dyDescent="0.2">
      <c r="A18" s="233">
        <v>43983</v>
      </c>
      <c r="B18" s="145">
        <v>0</v>
      </c>
      <c r="C18" s="145">
        <v>2.2599999999999998</v>
      </c>
      <c r="D18" s="145">
        <v>77.239999999999995</v>
      </c>
      <c r="E18" s="145">
        <v>731.99</v>
      </c>
      <c r="F18" s="145">
        <v>-63.5</v>
      </c>
      <c r="G18" s="145">
        <v>94.5</v>
      </c>
      <c r="H18" s="145">
        <v>88.62</v>
      </c>
      <c r="I18" s="145">
        <v>709.87</v>
      </c>
      <c r="J18" s="145">
        <v>60</v>
      </c>
      <c r="K18" s="145">
        <v>-187.5</v>
      </c>
      <c r="O18" s="18"/>
      <c r="P18" s="18"/>
    </row>
    <row r="19" spans="1:16" x14ac:dyDescent="0.2">
      <c r="A19" s="233">
        <v>44013</v>
      </c>
      <c r="B19" s="362">
        <v>0</v>
      </c>
      <c r="C19" s="362">
        <v>6.43</v>
      </c>
      <c r="D19" s="362">
        <v>82.82</v>
      </c>
      <c r="E19" s="362">
        <v>810.19</v>
      </c>
      <c r="F19" s="145">
        <v>-63.5</v>
      </c>
      <c r="G19" s="362">
        <v>89.83</v>
      </c>
      <c r="H19" s="362">
        <v>77.11</v>
      </c>
      <c r="I19" s="362">
        <v>735</v>
      </c>
      <c r="J19" s="362">
        <v>60</v>
      </c>
      <c r="K19" s="362">
        <v>-187.5</v>
      </c>
      <c r="O19" s="18"/>
      <c r="P19" s="18"/>
    </row>
    <row r="20" spans="1:16" x14ac:dyDescent="0.2">
      <c r="A20" s="233">
        <v>44044</v>
      </c>
      <c r="B20" s="145">
        <f>+B19</f>
        <v>0</v>
      </c>
      <c r="C20" s="145">
        <v>10.63</v>
      </c>
      <c r="D20" s="145">
        <v>88.36</v>
      </c>
      <c r="E20" s="145">
        <v>881.39</v>
      </c>
      <c r="F20" s="145">
        <v>-63.5</v>
      </c>
      <c r="G20" s="145">
        <v>100.29</v>
      </c>
      <c r="H20" s="145">
        <v>42</v>
      </c>
      <c r="I20" s="145">
        <v>781.32</v>
      </c>
      <c r="J20" s="145">
        <f t="shared" ref="J20:K20" si="0">+J19</f>
        <v>60</v>
      </c>
      <c r="K20" s="145">
        <f t="shared" si="0"/>
        <v>-187.5</v>
      </c>
      <c r="O20" s="18"/>
      <c r="P20" s="18"/>
    </row>
    <row r="21" spans="1:16" x14ac:dyDescent="0.2">
      <c r="A21" s="6" t="s">
        <v>111</v>
      </c>
      <c r="B21" s="64"/>
      <c r="C21" s="64">
        <f>+'Reg. Res''l - SS Mix &amp; Prices'!D70</f>
        <v>-0.85223862674724682</v>
      </c>
      <c r="D21" s="64">
        <f>+'Reg. Res''l - SS Mix &amp; Prices'!E70</f>
        <v>75.592924919798733</v>
      </c>
      <c r="E21" s="64">
        <f>+'Reg. Res''l - SS Mix &amp; Prices'!F70</f>
        <v>817.69067214012773</v>
      </c>
      <c r="F21" s="64">
        <f>+'Reg. Res''l - SS Mix &amp; Prices'!H70</f>
        <v>-56.8089827254162</v>
      </c>
      <c r="G21" s="64">
        <f>+'Reg. Res''l - SS Mix &amp; Prices'!G70</f>
        <v>100.45307412020841</v>
      </c>
      <c r="H21" s="64">
        <f>+'Reg. Res''l - SS Mix &amp; Prices'!I70</f>
        <v>127.20061179549185</v>
      </c>
      <c r="I21" s="64">
        <f>+'Reg. Res''l - SS Mix &amp; Prices'!J70</f>
        <v>790.09331388196995</v>
      </c>
      <c r="J21" s="64">
        <f>+'Reg. Res''l - SS Mix &amp; Prices'!K70</f>
        <v>144.15243485892023</v>
      </c>
      <c r="K21" s="64">
        <f>+'Reg. Res''l - SS Mix &amp; Prices'!L70</f>
        <v>-187.5</v>
      </c>
    </row>
    <row r="23" spans="1:1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6" x14ac:dyDescent="0.2"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4"/>
    </row>
  </sheetData>
  <pageMargins left="0.7" right="0.7" top="0.75" bottom="0.75" header="0.3" footer="0.3"/>
  <pageSetup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A4" sqref="A4"/>
    </sheetView>
  </sheetViews>
  <sheetFormatPr defaultRowHeight="12.75" x14ac:dyDescent="0.2"/>
  <cols>
    <col min="1" max="1" width="20.28515625" customWidth="1"/>
    <col min="2" max="2" width="13.5703125" bestFit="1" customWidth="1"/>
    <col min="3" max="4" width="13.5703125" customWidth="1"/>
    <col min="5" max="6" width="11" bestFit="1" customWidth="1"/>
    <col min="8" max="8" width="3.7109375" customWidth="1"/>
    <col min="9" max="9" width="9.7109375" bestFit="1" customWidth="1"/>
    <col min="11" max="11" width="12.28515625" bestFit="1" customWidth="1"/>
    <col min="13" max="13" width="12.28515625" bestFit="1" customWidth="1"/>
  </cols>
  <sheetData>
    <row r="1" spans="1:9" ht="15.75" x14ac:dyDescent="0.25">
      <c r="A1" s="496" t="s">
        <v>74</v>
      </c>
      <c r="B1" s="496"/>
      <c r="C1" s="496"/>
      <c r="D1" s="496"/>
      <c r="E1" s="496"/>
      <c r="F1" s="496"/>
      <c r="G1" s="496"/>
      <c r="H1" s="496"/>
      <c r="I1" s="496"/>
    </row>
    <row r="2" spans="1:9" ht="15.75" x14ac:dyDescent="0.25">
      <c r="A2" s="496" t="s">
        <v>75</v>
      </c>
      <c r="B2" s="496"/>
      <c r="C2" s="496"/>
      <c r="D2" s="496"/>
      <c r="E2" s="496"/>
      <c r="F2" s="496"/>
      <c r="G2" s="496"/>
      <c r="H2" s="496"/>
      <c r="I2" s="496"/>
    </row>
    <row r="3" spans="1:9" ht="15.75" x14ac:dyDescent="0.25">
      <c r="A3" s="496" t="s">
        <v>161</v>
      </c>
      <c r="B3" s="496"/>
      <c r="C3" s="496"/>
      <c r="D3" s="496"/>
      <c r="E3" s="496"/>
      <c r="F3" s="496"/>
      <c r="G3" s="496"/>
      <c r="H3" s="496"/>
      <c r="I3" s="496"/>
    </row>
    <row r="4" spans="1:9" ht="15.75" x14ac:dyDescent="0.25">
      <c r="A4" s="106"/>
      <c r="B4" s="106"/>
      <c r="C4" s="370"/>
      <c r="D4" s="370"/>
      <c r="E4" s="106"/>
      <c r="F4" s="106"/>
    </row>
    <row r="5" spans="1:9" ht="15.75" x14ac:dyDescent="0.25">
      <c r="A5" s="1"/>
      <c r="B5" s="106" t="s">
        <v>91</v>
      </c>
      <c r="C5" s="370"/>
      <c r="D5" s="370"/>
    </row>
    <row r="6" spans="1:9" ht="15.75" x14ac:dyDescent="0.25">
      <c r="A6" s="1"/>
      <c r="B6" s="106" t="s">
        <v>19</v>
      </c>
      <c r="C6" s="370"/>
      <c r="D6" s="370" t="s">
        <v>137</v>
      </c>
      <c r="E6" s="106" t="s">
        <v>22</v>
      </c>
      <c r="F6" s="106"/>
      <c r="G6" s="106" t="s">
        <v>94</v>
      </c>
      <c r="I6" s="106" t="s">
        <v>76</v>
      </c>
    </row>
    <row r="7" spans="1:9" ht="15.75" x14ac:dyDescent="0.25">
      <c r="A7" s="1"/>
      <c r="B7" s="50" t="s">
        <v>77</v>
      </c>
      <c r="C7" s="50" t="s">
        <v>136</v>
      </c>
      <c r="D7" s="50" t="s">
        <v>138</v>
      </c>
      <c r="E7" s="50" t="s">
        <v>92</v>
      </c>
      <c r="F7" s="50" t="s">
        <v>22</v>
      </c>
      <c r="G7" s="50" t="s">
        <v>95</v>
      </c>
      <c r="I7" s="50" t="s">
        <v>78</v>
      </c>
    </row>
    <row r="8" spans="1:9" ht="15" x14ac:dyDescent="0.2">
      <c r="A8" s="44"/>
      <c r="B8" s="45"/>
      <c r="C8" s="45"/>
      <c r="D8" s="45"/>
      <c r="E8" s="45"/>
      <c r="F8" s="45"/>
      <c r="G8" s="45"/>
      <c r="I8" s="45"/>
    </row>
    <row r="9" spans="1:9" ht="15" x14ac:dyDescent="0.2">
      <c r="A9" s="44" t="s">
        <v>14</v>
      </c>
      <c r="B9" s="359">
        <v>47177</v>
      </c>
      <c r="C9" s="359">
        <v>9852</v>
      </c>
      <c r="D9" s="359">
        <v>4034</v>
      </c>
      <c r="E9" s="105">
        <f>+D9+C9</f>
        <v>13886</v>
      </c>
      <c r="F9" s="46">
        <f>+E9+B9</f>
        <v>61063</v>
      </c>
      <c r="G9" s="141">
        <f>+B9/F9</f>
        <v>0.77259551610631638</v>
      </c>
      <c r="I9" s="105">
        <f>+'MF Units'!C9</f>
        <v>5946.4931818181785</v>
      </c>
    </row>
    <row r="10" spans="1:9" ht="15" x14ac:dyDescent="0.2">
      <c r="A10" s="44" t="s">
        <v>15</v>
      </c>
      <c r="B10" s="359">
        <v>47224</v>
      </c>
      <c r="C10" s="359">
        <v>9903</v>
      </c>
      <c r="D10" s="359">
        <v>4020</v>
      </c>
      <c r="E10" s="105">
        <f t="shared" ref="E10:E20" si="0">+D10+C10</f>
        <v>13923</v>
      </c>
      <c r="F10" s="46">
        <f t="shared" ref="F10:F12" si="1">+E10+B10</f>
        <v>61147</v>
      </c>
      <c r="G10" s="141">
        <f t="shared" ref="G10:G21" si="2">+B10/F10</f>
        <v>0.77230281125811573</v>
      </c>
      <c r="I10" s="105">
        <f>+'MF Units'!C10</f>
        <v>5963.5386363636335</v>
      </c>
    </row>
    <row r="11" spans="1:9" ht="15" x14ac:dyDescent="0.2">
      <c r="A11" s="44" t="s">
        <v>16</v>
      </c>
      <c r="B11" s="359">
        <v>47051</v>
      </c>
      <c r="C11" s="359">
        <v>9963</v>
      </c>
      <c r="D11" s="359">
        <v>4035</v>
      </c>
      <c r="E11" s="105">
        <f t="shared" si="0"/>
        <v>13998</v>
      </c>
      <c r="F11" s="46">
        <f t="shared" si="1"/>
        <v>61049</v>
      </c>
      <c r="G11" s="141">
        <f t="shared" si="2"/>
        <v>0.77070877491850809</v>
      </c>
      <c r="I11" s="105">
        <f>+'MF Units'!C11</f>
        <v>5963.5386363636335</v>
      </c>
    </row>
    <row r="12" spans="1:9" ht="15" x14ac:dyDescent="0.2">
      <c r="A12" s="44" t="s">
        <v>17</v>
      </c>
      <c r="B12" s="359">
        <v>47186</v>
      </c>
      <c r="C12" s="359">
        <v>9931</v>
      </c>
      <c r="D12" s="359">
        <v>4045</v>
      </c>
      <c r="E12" s="105">
        <f t="shared" si="0"/>
        <v>13976</v>
      </c>
      <c r="F12" s="46">
        <f t="shared" si="1"/>
        <v>61162</v>
      </c>
      <c r="G12" s="141">
        <f t="shared" si="2"/>
        <v>0.7714921029397338</v>
      </c>
      <c r="I12" s="105">
        <f>+'MF Units'!C12</f>
        <v>5980.2727272727243</v>
      </c>
    </row>
    <row r="13" spans="1:9" ht="15" x14ac:dyDescent="0.2">
      <c r="A13" s="44" t="s">
        <v>5</v>
      </c>
      <c r="B13" s="359">
        <v>47216</v>
      </c>
      <c r="C13" s="359">
        <v>9923</v>
      </c>
      <c r="D13" s="359">
        <v>4047</v>
      </c>
      <c r="E13" s="105">
        <f t="shared" si="0"/>
        <v>13970</v>
      </c>
      <c r="F13" s="46">
        <f t="shared" ref="F13:F20" si="3">+E13+B13</f>
        <v>61186</v>
      </c>
      <c r="G13" s="141">
        <f t="shared" ref="G13:G20" si="4">+B13/F13</f>
        <v>0.77167979603177195</v>
      </c>
      <c r="I13" s="105">
        <f>+'MF Units'!C13</f>
        <v>6182.5704545454519</v>
      </c>
    </row>
    <row r="14" spans="1:9" ht="15" x14ac:dyDescent="0.2">
      <c r="A14" s="44" t="s">
        <v>6</v>
      </c>
      <c r="B14" s="359">
        <v>47188</v>
      </c>
      <c r="C14" s="359">
        <v>9917</v>
      </c>
      <c r="D14" s="359">
        <v>4051</v>
      </c>
      <c r="E14" s="105">
        <f t="shared" si="0"/>
        <v>13968</v>
      </c>
      <c r="F14" s="46">
        <f t="shared" si="3"/>
        <v>61156</v>
      </c>
      <c r="G14" s="141">
        <f t="shared" si="4"/>
        <v>0.7716004970894107</v>
      </c>
      <c r="I14" s="105">
        <f>+'MF Units'!C14</f>
        <v>6192.8909090909056</v>
      </c>
    </row>
    <row r="15" spans="1:9" ht="15" x14ac:dyDescent="0.2">
      <c r="A15" s="44" t="s">
        <v>8</v>
      </c>
      <c r="B15" s="359">
        <v>47416</v>
      </c>
      <c r="C15" s="359">
        <v>9997</v>
      </c>
      <c r="D15" s="359">
        <v>4068</v>
      </c>
      <c r="E15" s="105">
        <f t="shared" si="0"/>
        <v>14065</v>
      </c>
      <c r="F15" s="46">
        <f t="shared" si="3"/>
        <v>61481</v>
      </c>
      <c r="G15" s="141">
        <f t="shared" si="4"/>
        <v>0.77123013613962033</v>
      </c>
      <c r="I15" s="105">
        <f>+'MF Units'!C15</f>
        <v>6102.8909090909056</v>
      </c>
    </row>
    <row r="16" spans="1:9" ht="15" x14ac:dyDescent="0.2">
      <c r="A16" s="44" t="s">
        <v>9</v>
      </c>
      <c r="B16" s="105">
        <v>47986</v>
      </c>
      <c r="C16" s="105">
        <v>10066</v>
      </c>
      <c r="D16" s="105">
        <v>4108</v>
      </c>
      <c r="E16" s="105">
        <f t="shared" si="0"/>
        <v>14174</v>
      </c>
      <c r="F16" s="46">
        <f t="shared" si="3"/>
        <v>62160</v>
      </c>
      <c r="G16" s="141">
        <f t="shared" si="4"/>
        <v>0.77197554697554693</v>
      </c>
      <c r="I16" s="105">
        <f>+'MF Units'!C16</f>
        <v>6023.8045454545418</v>
      </c>
    </row>
    <row r="17" spans="1:13" ht="15" x14ac:dyDescent="0.2">
      <c r="A17" s="44" t="s">
        <v>10</v>
      </c>
      <c r="B17" s="105">
        <v>48314</v>
      </c>
      <c r="C17" s="105">
        <v>10128</v>
      </c>
      <c r="D17" s="105">
        <v>4109</v>
      </c>
      <c r="E17" s="105">
        <f t="shared" si="0"/>
        <v>14237</v>
      </c>
      <c r="F17" s="46">
        <f t="shared" si="3"/>
        <v>62551</v>
      </c>
      <c r="G17" s="141">
        <f t="shared" si="4"/>
        <v>0.77239372671899731</v>
      </c>
      <c r="I17" s="105">
        <f>+'MF Units'!C17</f>
        <v>6075.1295454545425</v>
      </c>
    </row>
    <row r="18" spans="1:13" ht="15" x14ac:dyDescent="0.2">
      <c r="A18" s="44" t="s">
        <v>11</v>
      </c>
      <c r="B18" s="105">
        <v>48520</v>
      </c>
      <c r="C18" s="105">
        <v>10194</v>
      </c>
      <c r="D18" s="105">
        <v>4113</v>
      </c>
      <c r="E18" s="105">
        <f t="shared" si="0"/>
        <v>14307</v>
      </c>
      <c r="F18" s="46">
        <f t="shared" si="3"/>
        <v>62827</v>
      </c>
      <c r="G18" s="141">
        <f t="shared" si="4"/>
        <v>0.77227943400130517</v>
      </c>
      <c r="I18" s="105">
        <f>+'MF Units'!C18</f>
        <v>6075.5840909090875</v>
      </c>
    </row>
    <row r="19" spans="1:13" ht="15" x14ac:dyDescent="0.2">
      <c r="A19" s="44" t="s">
        <v>12</v>
      </c>
      <c r="B19" s="361">
        <v>48666</v>
      </c>
      <c r="C19" s="361">
        <v>10248</v>
      </c>
      <c r="D19" s="361">
        <v>4128</v>
      </c>
      <c r="E19" s="105">
        <f t="shared" si="0"/>
        <v>14376</v>
      </c>
      <c r="F19" s="46">
        <f t="shared" si="3"/>
        <v>63042</v>
      </c>
      <c r="G19" s="141">
        <f t="shared" si="4"/>
        <v>0.77196154944322837</v>
      </c>
      <c r="I19" s="105">
        <f>+'MF Units'!C19</f>
        <v>6099.3454545454515</v>
      </c>
    </row>
    <row r="20" spans="1:13" ht="17.25" x14ac:dyDescent="0.35">
      <c r="A20" s="44" t="s">
        <v>13</v>
      </c>
      <c r="B20" s="271">
        <v>48696</v>
      </c>
      <c r="C20" s="271">
        <v>10272</v>
      </c>
      <c r="D20" s="271">
        <f>+D19</f>
        <v>4128</v>
      </c>
      <c r="E20" s="271">
        <f t="shared" si="0"/>
        <v>14400</v>
      </c>
      <c r="F20" s="47">
        <f t="shared" si="3"/>
        <v>63096</v>
      </c>
      <c r="G20" s="146">
        <f t="shared" si="4"/>
        <v>0.77177634081399771</v>
      </c>
      <c r="I20" s="271">
        <f>+'MF Units'!C20</f>
        <v>6114.8340909090884</v>
      </c>
      <c r="K20" s="18"/>
      <c r="M20" s="38"/>
    </row>
    <row r="21" spans="1:13" ht="18" x14ac:dyDescent="0.4">
      <c r="A21" s="44"/>
      <c r="B21" s="48">
        <f>SUM(B9:B20)</f>
        <v>572640</v>
      </c>
      <c r="C21" s="48">
        <f t="shared" ref="C21:D21" si="5">SUM(C9:C20)</f>
        <v>120394</v>
      </c>
      <c r="D21" s="48">
        <f t="shared" si="5"/>
        <v>48886</v>
      </c>
      <c r="E21" s="48">
        <f>SUM(E9:E20)</f>
        <v>169280</v>
      </c>
      <c r="F21" s="48">
        <f t="shared" ref="F21" si="6">SUM(F9:F20)</f>
        <v>741920</v>
      </c>
      <c r="G21" s="142">
        <f t="shared" si="2"/>
        <v>0.77183523830062539</v>
      </c>
      <c r="I21" s="48">
        <f>SUM(I9:I20)</f>
        <v>72720.893181818145</v>
      </c>
    </row>
    <row r="22" spans="1:13" ht="15" x14ac:dyDescent="0.2">
      <c r="A22" s="44"/>
      <c r="B22" s="44"/>
      <c r="C22" s="44"/>
      <c r="D22" s="44"/>
      <c r="F22" s="44"/>
      <c r="G22" s="44"/>
      <c r="I22" s="44"/>
    </row>
    <row r="23" spans="1:13" ht="18" x14ac:dyDescent="0.4">
      <c r="A23" s="1" t="s">
        <v>79</v>
      </c>
      <c r="B23" s="48">
        <f>+B21/12</f>
        <v>47720</v>
      </c>
      <c r="C23" s="48"/>
      <c r="D23" s="48"/>
      <c r="E23" s="48"/>
      <c r="F23" s="48"/>
      <c r="G23" s="49"/>
      <c r="I23" s="48">
        <f>+I21/12</f>
        <v>6060.0744318181787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workbookViewId="0">
      <selection activeCell="F13" sqref="F13"/>
    </sheetView>
  </sheetViews>
  <sheetFormatPr defaultRowHeight="12.75" x14ac:dyDescent="0.2"/>
  <cols>
    <col min="1" max="1" width="11.5703125" bestFit="1" customWidth="1"/>
    <col min="2" max="2" width="4.28515625" customWidth="1"/>
    <col min="3" max="3" width="8.5703125" bestFit="1" customWidth="1"/>
    <col min="4" max="4" width="8.85546875" bestFit="1" customWidth="1"/>
    <col min="5" max="5" width="6.7109375" style="18" bestFit="1" customWidth="1"/>
    <col min="6" max="8" width="11.28515625" bestFit="1" customWidth="1"/>
    <col min="9" max="9" width="14" bestFit="1" customWidth="1"/>
    <col min="10" max="10" width="11.42578125" bestFit="1" customWidth="1"/>
    <col min="11" max="11" width="11.7109375" bestFit="1" customWidth="1"/>
    <col min="12" max="15" width="11.28515625" bestFit="1" customWidth="1"/>
  </cols>
  <sheetData>
    <row r="1" spans="1:9" ht="26.25" x14ac:dyDescent="0.4">
      <c r="A1" s="147" t="s">
        <v>18</v>
      </c>
    </row>
    <row r="2" spans="1:9" ht="15" x14ac:dyDescent="0.25">
      <c r="A2" s="149" t="s">
        <v>125</v>
      </c>
    </row>
    <row r="6" spans="1:9" x14ac:dyDescent="0.2">
      <c r="B6" s="21"/>
      <c r="C6" s="21"/>
      <c r="D6" s="21"/>
      <c r="G6" s="495" t="s">
        <v>123</v>
      </c>
      <c r="H6" s="495"/>
      <c r="I6" s="495"/>
    </row>
    <row r="7" spans="1:9" x14ac:dyDescent="0.2">
      <c r="B7" s="2"/>
      <c r="C7" s="2" t="s">
        <v>115</v>
      </c>
      <c r="D7" s="2" t="s">
        <v>117</v>
      </c>
      <c r="G7" s="2" t="s">
        <v>119</v>
      </c>
      <c r="H7" s="2" t="s">
        <v>120</v>
      </c>
      <c r="I7" s="2" t="s">
        <v>121</v>
      </c>
    </row>
    <row r="8" spans="1:9" x14ac:dyDescent="0.2">
      <c r="A8" s="12" t="s">
        <v>113</v>
      </c>
      <c r="B8" s="10"/>
      <c r="C8" s="10" t="s">
        <v>116</v>
      </c>
      <c r="D8" s="10" t="s">
        <v>33</v>
      </c>
      <c r="E8" s="266" t="s">
        <v>114</v>
      </c>
      <c r="G8" s="10" t="s">
        <v>118</v>
      </c>
      <c r="H8" s="10" t="s">
        <v>118</v>
      </c>
      <c r="I8" s="10" t="s">
        <v>118</v>
      </c>
    </row>
    <row r="9" spans="1:9" x14ac:dyDescent="0.2">
      <c r="A9" s="15" t="s">
        <v>132</v>
      </c>
      <c r="B9" s="3"/>
      <c r="C9" s="265">
        <f>+D9/E9</f>
        <v>5946.4931818181785</v>
      </c>
      <c r="D9" s="20">
        <f>SUM(G9:I9)</f>
        <v>26164.57</v>
      </c>
      <c r="E9" s="18">
        <v>4.4000000000000021</v>
      </c>
      <c r="G9" s="18">
        <v>918.1</v>
      </c>
      <c r="H9" s="18">
        <v>1770.3</v>
      </c>
      <c r="I9" s="18">
        <v>23476.17</v>
      </c>
    </row>
    <row r="10" spans="1:9" x14ac:dyDescent="0.2">
      <c r="A10" s="15" t="s">
        <v>35</v>
      </c>
      <c r="B10" s="3"/>
      <c r="C10" s="265">
        <f t="shared" ref="C10:C20" si="0">+D10/E10</f>
        <v>5963.5386363636335</v>
      </c>
      <c r="D10" s="20">
        <f t="shared" ref="D10:D20" si="1">SUM(G10:I10)</f>
        <v>26239.57</v>
      </c>
      <c r="E10" s="18">
        <v>4.4000000000000021</v>
      </c>
      <c r="G10" s="18">
        <v>918.1</v>
      </c>
      <c r="H10" s="18">
        <v>1770.3</v>
      </c>
      <c r="I10" s="18">
        <v>23551.17</v>
      </c>
    </row>
    <row r="11" spans="1:9" x14ac:dyDescent="0.2">
      <c r="A11" s="15" t="s">
        <v>36</v>
      </c>
      <c r="B11" s="3"/>
      <c r="C11" s="265">
        <f t="shared" si="0"/>
        <v>5963.5386363636335</v>
      </c>
      <c r="D11" s="20">
        <f t="shared" si="1"/>
        <v>26239.57</v>
      </c>
      <c r="E11" s="18">
        <v>4.4000000000000021</v>
      </c>
      <c r="G11" s="18">
        <v>918.1</v>
      </c>
      <c r="H11" s="18">
        <v>1770.3</v>
      </c>
      <c r="I11" s="18">
        <v>23551.17</v>
      </c>
    </row>
    <row r="12" spans="1:9" x14ac:dyDescent="0.2">
      <c r="A12" s="15" t="s">
        <v>37</v>
      </c>
      <c r="B12" s="3"/>
      <c r="C12" s="265">
        <f t="shared" si="0"/>
        <v>5980.2727272727243</v>
      </c>
      <c r="D12" s="20">
        <f t="shared" si="1"/>
        <v>26313.200000000001</v>
      </c>
      <c r="E12" s="18">
        <v>4.4000000000000021</v>
      </c>
      <c r="G12" s="18">
        <v>918.1</v>
      </c>
      <c r="H12" s="18">
        <v>1771.36</v>
      </c>
      <c r="I12" s="18">
        <v>23623.74</v>
      </c>
    </row>
    <row r="13" spans="1:9" x14ac:dyDescent="0.2">
      <c r="A13" s="15" t="s">
        <v>133</v>
      </c>
      <c r="B13" s="3"/>
      <c r="C13" s="265">
        <f t="shared" si="0"/>
        <v>6182.5704545454519</v>
      </c>
      <c r="D13" s="20">
        <f t="shared" si="1"/>
        <v>27203.31</v>
      </c>
      <c r="E13" s="18">
        <v>4.4000000000000021</v>
      </c>
      <c r="G13" s="18">
        <v>1808.21</v>
      </c>
      <c r="H13" s="18">
        <v>1771.36</v>
      </c>
      <c r="I13" s="18">
        <v>23623.74</v>
      </c>
    </row>
    <row r="14" spans="1:9" x14ac:dyDescent="0.2">
      <c r="A14" s="15" t="s">
        <v>38</v>
      </c>
      <c r="B14" s="3"/>
      <c r="C14" s="265">
        <f t="shared" si="0"/>
        <v>6192.8909090909056</v>
      </c>
      <c r="D14" s="20">
        <f t="shared" si="1"/>
        <v>27248.719999999998</v>
      </c>
      <c r="E14" s="18">
        <v>4.4000000000000021</v>
      </c>
      <c r="G14" s="18">
        <v>1970.19</v>
      </c>
      <c r="H14" s="18">
        <v>1771.36</v>
      </c>
      <c r="I14" s="18">
        <v>23507.17</v>
      </c>
    </row>
    <row r="15" spans="1:9" x14ac:dyDescent="0.2">
      <c r="A15" s="15" t="s">
        <v>39</v>
      </c>
      <c r="B15" s="3"/>
      <c r="C15" s="265">
        <f t="shared" si="0"/>
        <v>6102.8909090909056</v>
      </c>
      <c r="D15" s="20">
        <f t="shared" si="1"/>
        <v>26852.719999999998</v>
      </c>
      <c r="E15" s="18">
        <v>4.4000000000000021</v>
      </c>
      <c r="G15" s="18">
        <v>1970.19</v>
      </c>
      <c r="H15" s="18">
        <v>275.36</v>
      </c>
      <c r="I15" s="22">
        <v>24607.17</v>
      </c>
    </row>
    <row r="16" spans="1:9" x14ac:dyDescent="0.2">
      <c r="A16" s="15" t="s">
        <v>40</v>
      </c>
      <c r="B16" s="3"/>
      <c r="C16" s="265">
        <f t="shared" si="0"/>
        <v>6023.8045454545418</v>
      </c>
      <c r="D16" s="20">
        <f t="shared" si="1"/>
        <v>26504.739999999998</v>
      </c>
      <c r="E16" s="18">
        <v>4.4000000000000021</v>
      </c>
      <c r="G16" s="18">
        <v>1639.81</v>
      </c>
      <c r="H16" s="18">
        <v>275.36</v>
      </c>
      <c r="I16" s="22">
        <v>24589.57</v>
      </c>
    </row>
    <row r="17" spans="1:9" x14ac:dyDescent="0.2">
      <c r="A17" s="15" t="s">
        <v>10</v>
      </c>
      <c r="B17" s="3"/>
      <c r="C17" s="265">
        <f t="shared" si="0"/>
        <v>6075.1295454545425</v>
      </c>
      <c r="D17" s="20">
        <f t="shared" si="1"/>
        <v>26730.57</v>
      </c>
      <c r="E17" s="18">
        <v>4.4000000000000021</v>
      </c>
      <c r="G17" s="18">
        <v>1865.64</v>
      </c>
      <c r="H17" s="18">
        <v>275.36</v>
      </c>
      <c r="I17" s="22">
        <v>24589.57</v>
      </c>
    </row>
    <row r="18" spans="1:9" x14ac:dyDescent="0.2">
      <c r="A18" s="15" t="s">
        <v>41</v>
      </c>
      <c r="B18" s="3"/>
      <c r="C18" s="265">
        <f t="shared" si="0"/>
        <v>6075.5840909090875</v>
      </c>
      <c r="D18" s="20">
        <f t="shared" si="1"/>
        <v>26732.57</v>
      </c>
      <c r="E18" s="18">
        <v>4.4000000000000021</v>
      </c>
      <c r="G18" s="18">
        <v>1867.64</v>
      </c>
      <c r="H18" s="18">
        <v>275.36</v>
      </c>
      <c r="I18" s="22">
        <v>24589.57</v>
      </c>
    </row>
    <row r="19" spans="1:9" x14ac:dyDescent="0.2">
      <c r="A19" s="15" t="s">
        <v>42</v>
      </c>
      <c r="B19" s="3"/>
      <c r="C19" s="265">
        <f t="shared" si="0"/>
        <v>6099.3454545454515</v>
      </c>
      <c r="D19" s="20">
        <f t="shared" si="1"/>
        <v>26837.119999999999</v>
      </c>
      <c r="E19" s="18">
        <v>4.4000000000000021</v>
      </c>
      <c r="G19" s="22">
        <v>1972.19</v>
      </c>
      <c r="H19" s="18">
        <v>275.36</v>
      </c>
      <c r="I19" s="22">
        <v>24589.57</v>
      </c>
    </row>
    <row r="20" spans="1:9" x14ac:dyDescent="0.2">
      <c r="A20" s="15" t="s">
        <v>43</v>
      </c>
      <c r="B20" s="3"/>
      <c r="C20" s="265">
        <f t="shared" si="0"/>
        <v>6114.8340909090884</v>
      </c>
      <c r="D20" s="20">
        <f t="shared" si="1"/>
        <v>26905.27</v>
      </c>
      <c r="E20" s="18">
        <v>4.4000000000000021</v>
      </c>
      <c r="G20" s="67">
        <v>2040.34</v>
      </c>
      <c r="H20" s="67">
        <f>+H19</f>
        <v>275.36</v>
      </c>
      <c r="I20" s="67">
        <f>+I19</f>
        <v>24589.57</v>
      </c>
    </row>
  </sheetData>
  <mergeCells count="1">
    <mergeCell ref="G6:I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2020-09-14T07:00:00+00:00</OpenedDate>
    <SignificantOrder xmlns="dc463f71-b30c-4ab2-9473-d307f9d35888">false</SignificantOrder>
    <Date1 xmlns="dc463f71-b30c-4ab2-9473-d307f9d35888">2020-09-14T07:00:00+00:00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</CaseCompanyNames>
    <Nickname xmlns="http://schemas.microsoft.com/sharepoint/v3" xsi:nil="true"/>
    <DocketNumber xmlns="dc463f71-b30c-4ab2-9473-d307f9d35888">200811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8ACF2A77ECA747958F42B11DA81569" ma:contentTypeVersion="52" ma:contentTypeDescription="" ma:contentTypeScope="" ma:versionID="3e47b9b7e2816c57ea7887a519f76f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B185E-C9D0-4B28-AEA1-FC383540B63B}"/>
</file>

<file path=customXml/itemProps2.xml><?xml version="1.0" encoding="utf-8"?>
<ds:datastoreItem xmlns:ds="http://schemas.openxmlformats.org/officeDocument/2006/customXml" ds:itemID="{228802EC-DF30-4BF3-9A21-ACC898BB8EEF}"/>
</file>

<file path=customXml/itemProps3.xml><?xml version="1.0" encoding="utf-8"?>
<ds:datastoreItem xmlns:ds="http://schemas.openxmlformats.org/officeDocument/2006/customXml" ds:itemID="{B6220CDD-99D5-46F6-B7DC-AD2E7BC29821}"/>
</file>

<file path=customXml/itemProps4.xml><?xml version="1.0" encoding="utf-8"?>
<ds:datastoreItem xmlns:ds="http://schemas.openxmlformats.org/officeDocument/2006/customXml" ds:itemID="{BF2208BD-A06D-4D8E-A31B-D047C9372D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Rebate Analysis</vt:lpstr>
      <vt:lpstr>Calculation of Revenue</vt:lpstr>
      <vt:lpstr>Reg. Res'l - SS Mix &amp; Prices</vt:lpstr>
      <vt:lpstr>Composition</vt:lpstr>
      <vt:lpstr>Reg. MF - SS Mix &amp; Prices</vt:lpstr>
      <vt:lpstr>Total Company Tonnage</vt:lpstr>
      <vt:lpstr>Commodity Prices</vt:lpstr>
      <vt:lpstr>Customer Counts</vt:lpstr>
      <vt:lpstr>MF Units</vt:lpstr>
      <vt:lpstr>'Calculation of Revenue'!Print_Area</vt:lpstr>
      <vt:lpstr>'Commodity Prices'!Print_Area</vt:lpstr>
      <vt:lpstr>'Customer Counts'!Print_Area</vt:lpstr>
      <vt:lpstr>'Rebate Analysis'!Print_Area</vt:lpstr>
      <vt:lpstr>'Reg. MF - SS Mix &amp; Prices'!Print_Area</vt:lpstr>
      <vt:lpstr>'Reg. Res''l - SS Mix &amp; Prices'!Print_Area</vt:lpstr>
      <vt:lpstr>'Total Company Tonnage'!Print_Area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Burnite</dc:creator>
  <cp:lastModifiedBy>Weinstein, Mike</cp:lastModifiedBy>
  <cp:lastPrinted>2018-09-07T15:11:39Z</cp:lastPrinted>
  <dcterms:created xsi:type="dcterms:W3CDTF">2003-01-04T00:18:15Z</dcterms:created>
  <dcterms:modified xsi:type="dcterms:W3CDTF">2020-09-14T16:24:37Z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0x0101006E56B4D1795A2E4DB2F0B01679ED314A00DC8ACF2A77ECA747958F42B11DA81569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