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M:\2020\2020 WA Sch 59 BPA Res Ex Tariff Filing\"/>
    </mc:Choice>
  </mc:AlternateContent>
  <xr:revisionPtr revIDLastSave="0" documentId="13_ncr:1_{99720EEB-DBE4-42C9-98CA-56CAEE31267A}" xr6:coauthVersionLast="44" xr6:coauthVersionMax="44" xr10:uidLastSave="{00000000-0000-0000-0000-000000000000}"/>
  <bookViews>
    <workbookView xWindow="-120" yWindow="-120" windowWidth="29040" windowHeight="15990" tabRatio="765" xr2:uid="{00000000-000D-0000-FFFF-FFFF00000000}"/>
  </bookViews>
  <sheets>
    <sheet name="Proposed ResEx Rate" sheetId="6" r:id="rId1"/>
    <sheet name="Table" sheetId="13" r:id="rId2"/>
    <sheet name="Washington ResX Balances" sheetId="5" r:id="rId3"/>
    <sheet name="Projected Benefits" sheetId="3" r:id="rId4"/>
    <sheet name="Projected kWhs" sheetId="1" r:id="rId5"/>
    <sheet name="Load Calculation" sheetId="11" r:id="rId6"/>
    <sheet name="July Unbilled" sheetId="12" r:id="rId7"/>
  </sheets>
  <definedNames>
    <definedName name="_xlnm.Print_Area" localSheetId="3">'Projected Benefits'!$A$1:$L$24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3" i="5" l="1"/>
  <c r="H10" i="13"/>
  <c r="B14" i="12" l="1"/>
  <c r="F34" i="5" l="1"/>
  <c r="D82" i="1" l="1"/>
  <c r="C82" i="1"/>
  <c r="B82" i="1"/>
  <c r="D81" i="1"/>
  <c r="C81" i="1"/>
  <c r="B81" i="1"/>
  <c r="D80" i="1"/>
  <c r="C80" i="1"/>
  <c r="B80" i="1"/>
  <c r="D79" i="1"/>
  <c r="C79" i="1"/>
  <c r="B79" i="1"/>
  <c r="N59" i="1"/>
  <c r="N60" i="1"/>
  <c r="N61" i="1"/>
  <c r="N58" i="1"/>
  <c r="C59" i="1"/>
  <c r="D59" i="1"/>
  <c r="E59" i="1"/>
  <c r="F59" i="1"/>
  <c r="G59" i="1"/>
  <c r="H59" i="1"/>
  <c r="I59" i="1"/>
  <c r="J59" i="1"/>
  <c r="K59" i="1"/>
  <c r="L59" i="1"/>
  <c r="M59" i="1"/>
  <c r="C60" i="1"/>
  <c r="D60" i="1"/>
  <c r="E60" i="1"/>
  <c r="F60" i="1"/>
  <c r="G60" i="1"/>
  <c r="H60" i="1"/>
  <c r="I60" i="1"/>
  <c r="J60" i="1"/>
  <c r="K60" i="1"/>
  <c r="L60" i="1"/>
  <c r="M60" i="1"/>
  <c r="C61" i="1"/>
  <c r="D61" i="1"/>
  <c r="E61" i="1"/>
  <c r="F61" i="1"/>
  <c r="G61" i="1"/>
  <c r="H61" i="1"/>
  <c r="I61" i="1"/>
  <c r="J61" i="1"/>
  <c r="K61" i="1"/>
  <c r="L61" i="1"/>
  <c r="M61" i="1"/>
  <c r="B61" i="1"/>
  <c r="B60" i="1"/>
  <c r="B59" i="1"/>
  <c r="C58" i="1"/>
  <c r="D58" i="1"/>
  <c r="E58" i="1"/>
  <c r="F58" i="1"/>
  <c r="G58" i="1"/>
  <c r="H58" i="1"/>
  <c r="I58" i="1"/>
  <c r="J58" i="1"/>
  <c r="K58" i="1"/>
  <c r="L58" i="1"/>
  <c r="M58" i="1"/>
  <c r="B58" i="1"/>
  <c r="N55" i="1" l="1"/>
  <c r="N54" i="1"/>
  <c r="N53" i="1"/>
  <c r="N52" i="1"/>
  <c r="N51" i="1"/>
  <c r="N50" i="1"/>
  <c r="N49" i="1"/>
  <c r="N48" i="1"/>
  <c r="N47" i="1"/>
  <c r="N56" i="1" s="1"/>
  <c r="G32" i="6" l="1"/>
  <c r="G31" i="6" l="1"/>
  <c r="D21" i="12" l="1"/>
  <c r="B27" i="1"/>
  <c r="C27" i="1" s="1"/>
  <c r="D27" i="1" l="1"/>
  <c r="F33" i="5"/>
  <c r="C25" i="1" l="1"/>
  <c r="N14" i="1"/>
  <c r="C18" i="12" l="1"/>
  <c r="C17" i="12"/>
  <c r="C16" i="12"/>
  <c r="C15" i="12"/>
  <c r="B20" i="12" l="1"/>
  <c r="D18" i="12"/>
  <c r="D17" i="12"/>
  <c r="D16" i="12"/>
  <c r="D15" i="12"/>
  <c r="D14" i="12"/>
  <c r="D20" i="12" l="1"/>
  <c r="D22" i="12" s="1"/>
  <c r="F16" i="5" s="1"/>
  <c r="F35" i="5" s="1"/>
  <c r="G26" i="6" l="1"/>
  <c r="F10" i="5"/>
  <c r="N12" i="1" l="1"/>
  <c r="N13" i="1"/>
  <c r="N15" i="1"/>
  <c r="D7" i="11"/>
  <c r="G7" i="11"/>
  <c r="L7" i="11"/>
  <c r="D8" i="11"/>
  <c r="G8" i="11"/>
  <c r="H8" i="11" s="1"/>
  <c r="J8" i="11" s="1"/>
  <c r="K8" i="11"/>
  <c r="L8" i="11"/>
  <c r="D9" i="11"/>
  <c r="G9" i="11"/>
  <c r="H9" i="11" s="1"/>
  <c r="J9" i="11" s="1"/>
  <c r="K9" i="11"/>
  <c r="L9" i="11"/>
  <c r="D10" i="11"/>
  <c r="G10" i="11"/>
  <c r="H10" i="11" s="1"/>
  <c r="J10" i="11" s="1"/>
  <c r="K10" i="11"/>
  <c r="L10" i="11"/>
  <c r="D11" i="11"/>
  <c r="K11" i="11"/>
  <c r="F19" i="11"/>
  <c r="D12" i="11"/>
  <c r="G12" i="11"/>
  <c r="K12" i="11"/>
  <c r="L12" i="11"/>
  <c r="D13" i="11"/>
  <c r="G13" i="11"/>
  <c r="H13" i="11" s="1"/>
  <c r="J13" i="11" s="1"/>
  <c r="K13" i="11"/>
  <c r="L13" i="11"/>
  <c r="D14" i="11"/>
  <c r="G14" i="11"/>
  <c r="K14" i="11"/>
  <c r="L14" i="11"/>
  <c r="D15" i="11"/>
  <c r="G15" i="11"/>
  <c r="K15" i="11"/>
  <c r="L15" i="11"/>
  <c r="D16" i="11"/>
  <c r="G16" i="11"/>
  <c r="K16" i="11"/>
  <c r="L16" i="11"/>
  <c r="D17" i="11"/>
  <c r="G17" i="11"/>
  <c r="K17" i="11"/>
  <c r="L17" i="11"/>
  <c r="C19" i="11"/>
  <c r="G18" i="11"/>
  <c r="M17" i="11" l="1"/>
  <c r="M13" i="11"/>
  <c r="M16" i="11"/>
  <c r="H12" i="11"/>
  <c r="J12" i="11" s="1"/>
  <c r="H17" i="11"/>
  <c r="J17" i="11" s="1"/>
  <c r="M9" i="11"/>
  <c r="M8" i="11"/>
  <c r="E19" i="11"/>
  <c r="D18" i="11"/>
  <c r="D19" i="11" s="1"/>
  <c r="M15" i="11"/>
  <c r="M14" i="11"/>
  <c r="H18" i="11"/>
  <c r="J18" i="11" s="1"/>
  <c r="L18" i="11"/>
  <c r="H16" i="11"/>
  <c r="J16" i="11" s="1"/>
  <c r="H15" i="11"/>
  <c r="J15" i="11" s="1"/>
  <c r="H14" i="11"/>
  <c r="J14" i="11" s="1"/>
  <c r="M12" i="11"/>
  <c r="M10" i="11"/>
  <c r="H7" i="11"/>
  <c r="F23" i="11"/>
  <c r="F24" i="11" s="1"/>
  <c r="D8" i="3" s="1"/>
  <c r="L11" i="11"/>
  <c r="M11" i="11" s="1"/>
  <c r="G11" i="11"/>
  <c r="H11" i="11" s="1"/>
  <c r="J11" i="11" s="1"/>
  <c r="B19" i="11"/>
  <c r="K7" i="11"/>
  <c r="K18" i="11"/>
  <c r="M18" i="11" l="1"/>
  <c r="E23" i="11"/>
  <c r="E24" i="11" s="1"/>
  <c r="D7" i="3" s="1"/>
  <c r="G19" i="11"/>
  <c r="L19" i="11"/>
  <c r="K19" i="11"/>
  <c r="M7" i="11"/>
  <c r="M19" i="11" s="1"/>
  <c r="J7" i="11"/>
  <c r="J19" i="11" s="1"/>
  <c r="H19" i="11"/>
  <c r="L20" i="11" l="1"/>
  <c r="K20" i="11"/>
  <c r="M20" i="11" s="1"/>
  <c r="A19" i="1" l="1"/>
  <c r="A20" i="1"/>
  <c r="A21" i="1"/>
  <c r="A22" i="1"/>
  <c r="A23" i="1"/>
  <c r="A24" i="1"/>
  <c r="D25" i="1"/>
  <c r="D14" i="3" l="1"/>
  <c r="D9" i="3" l="1"/>
  <c r="D16" i="3" s="1"/>
  <c r="D17" i="3" s="1"/>
  <c r="F9" i="3" s="1"/>
  <c r="E8" i="3" l="1"/>
  <c r="E7" i="3"/>
  <c r="F8" i="3" l="1"/>
  <c r="E36" i="6"/>
  <c r="E9" i="3" l="1"/>
  <c r="G33" i="6" l="1"/>
  <c r="G34" i="6" s="1"/>
  <c r="F14" i="5"/>
  <c r="F18" i="5" s="1"/>
  <c r="F7" i="3" l="1"/>
  <c r="G7" i="6" l="1"/>
  <c r="F8" i="13"/>
  <c r="J8" i="13" s="1"/>
  <c r="H16" i="1"/>
  <c r="B16" i="1"/>
  <c r="K16" i="1"/>
  <c r="D16" i="1"/>
  <c r="C16" i="1"/>
  <c r="M16" i="1"/>
  <c r="L16" i="1"/>
  <c r="J16" i="1"/>
  <c r="N11" i="1"/>
  <c r="N16" i="1" s="1"/>
  <c r="G17" i="6" s="1"/>
  <c r="I26" i="6" s="1"/>
  <c r="G16" i="1"/>
  <c r="I16" i="1"/>
  <c r="F16" i="1"/>
  <c r="E16" i="1"/>
  <c r="D24" i="1" l="1"/>
  <c r="D26" i="1" s="1"/>
  <c r="D28" i="1" s="1"/>
  <c r="F25" i="5" s="1"/>
  <c r="B24" i="1"/>
  <c r="B26" i="1" s="1"/>
  <c r="B28" i="1" s="1"/>
  <c r="C24" i="1"/>
  <c r="C26" i="1" s="1"/>
  <c r="C28" i="1" s="1"/>
  <c r="F21" i="5" s="1"/>
  <c r="F17" i="5" l="1"/>
  <c r="F19" i="5" s="1"/>
  <c r="F36" i="5"/>
  <c r="F22" i="5" l="1"/>
  <c r="F23" i="5" l="1"/>
  <c r="F26" i="5" s="1"/>
  <c r="F37" i="5" l="1"/>
  <c r="F38" i="5" s="1"/>
  <c r="G9" i="6" s="1"/>
  <c r="F27" i="5"/>
  <c r="F9" i="13" l="1"/>
  <c r="J9" i="13" s="1"/>
  <c r="G11" i="6"/>
  <c r="G15" i="6" s="1"/>
  <c r="G19" i="6" l="1"/>
  <c r="G25" i="6" s="1"/>
  <c r="F11" i="13"/>
  <c r="F10" i="13" l="1"/>
  <c r="J10" i="13" s="1"/>
  <c r="J11" i="13"/>
  <c r="G27" i="6"/>
  <c r="I25" i="6"/>
  <c r="I27" i="6" l="1"/>
  <c r="I31" i="6" s="1"/>
  <c r="F36" i="6"/>
  <c r="P16" i="1"/>
  <c r="R12" i="1" l="1"/>
  <c r="T12" i="1" s="1"/>
  <c r="R11" i="1"/>
  <c r="T11" i="1" s="1"/>
  <c r="R16" i="1"/>
  <c r="R21" i="1" s="1"/>
  <c r="R13" i="1"/>
  <c r="T13" i="1" s="1"/>
  <c r="R14" i="1"/>
  <c r="T14" i="1" s="1"/>
  <c r="R15" i="1"/>
  <c r="T15" i="1" s="1"/>
  <c r="G36" i="6"/>
  <c r="G38" i="6" s="1"/>
  <c r="C36" i="6"/>
  <c r="C38" i="6"/>
  <c r="J1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Rff9457</author>
  </authors>
  <commentList>
    <comment ref="G13" authorId="0" shapeId="0" xr:uid="{00000000-0006-0000-0000-000001000000}">
      <text>
        <r>
          <rPr>
            <b/>
            <sz val="9"/>
            <color indexed="81"/>
            <rFont val="Tahoma"/>
            <family val="2"/>
          </rPr>
          <t>Rff9457:</t>
        </r>
        <r>
          <rPr>
            <sz val="9"/>
            <color indexed="81"/>
            <rFont val="Tahoma"/>
            <family val="2"/>
          </rPr>
          <t xml:space="preserve">
2019 WA GRC (UE-190334)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Rff9457</author>
  </authors>
  <commentList>
    <comment ref="B27" authorId="0" shapeId="0" xr:uid="{00000000-0006-0000-0400-000001000000}">
      <text>
        <r>
          <rPr>
            <b/>
            <sz val="9"/>
            <color indexed="81"/>
            <rFont val="Tahoma"/>
            <family val="2"/>
          </rPr>
          <t>Rff9457:</t>
        </r>
        <r>
          <rPr>
            <sz val="9"/>
            <color indexed="81"/>
            <rFont val="Tahoma"/>
            <family val="2"/>
          </rPr>
          <t xml:space="preserve">
2017 WA GRC</t>
        </r>
      </text>
    </comment>
  </commentList>
</comments>
</file>

<file path=xl/sharedStrings.xml><?xml version="1.0" encoding="utf-8"?>
<sst xmlns="http://schemas.openxmlformats.org/spreadsheetml/2006/main" count="184" uniqueCount="123">
  <si>
    <t>Total</t>
  </si>
  <si>
    <t>November</t>
  </si>
  <si>
    <t>Avista Utilities</t>
  </si>
  <si>
    <t>Percent</t>
  </si>
  <si>
    <t>Rate</t>
  </si>
  <si>
    <t>Revenue</t>
  </si>
  <si>
    <t>CF</t>
  </si>
  <si>
    <t>Amort</t>
  </si>
  <si>
    <t>Projected Kilowatt-hours</t>
  </si>
  <si>
    <t>$ (000's)</t>
  </si>
  <si>
    <t>and Residential Exchange Amortization</t>
  </si>
  <si>
    <t>Purchase at ASC</t>
  </si>
  <si>
    <t>Sale at PF Exchange Rate</t>
  </si>
  <si>
    <t>WA Credit Amount</t>
  </si>
  <si>
    <t>ID Credit Amount</t>
  </si>
  <si>
    <t xml:space="preserve">   Total</t>
  </si>
  <si>
    <t>Avista Corporation</t>
  </si>
  <si>
    <t>Actual and Projected</t>
  </si>
  <si>
    <t>Balance</t>
  </si>
  <si>
    <t>May credit received in July</t>
  </si>
  <si>
    <t>Amortization</t>
  </si>
  <si>
    <t>Interest</t>
  </si>
  <si>
    <t>June credit received in August</t>
  </si>
  <si>
    <t>July credit received in September</t>
  </si>
  <si>
    <t>(Actual)</t>
  </si>
  <si>
    <t>(Projected)</t>
  </si>
  <si>
    <t>August credit received in October</t>
  </si>
  <si>
    <t>(1)</t>
  </si>
  <si>
    <t>(1) Amortization at existing rate.  Does not include amortization at</t>
  </si>
  <si>
    <t>Proposed Rate</t>
  </si>
  <si>
    <t>Check</t>
  </si>
  <si>
    <t>Credits to be received</t>
  </si>
  <si>
    <t>Net benefit for rate adjustment</t>
  </si>
  <si>
    <t>Revenue requirement</t>
  </si>
  <si>
    <t>Proposed rate</t>
  </si>
  <si>
    <t>Rate Impact</t>
  </si>
  <si>
    <t>Proposed rate credit above</t>
  </si>
  <si>
    <t>Existing rate credit</t>
  </si>
  <si>
    <t xml:space="preserve">   Difference</t>
  </si>
  <si>
    <t>Basic charge</t>
  </si>
  <si>
    <t xml:space="preserve">   Rounded</t>
  </si>
  <si>
    <t>April credit received in June</t>
  </si>
  <si>
    <t>Projected Residential Exchange Program Benefits</t>
  </si>
  <si>
    <t>October</t>
  </si>
  <si>
    <t>Credit</t>
  </si>
  <si>
    <t xml:space="preserve">Avista Corp. </t>
  </si>
  <si>
    <t>BPA Residential Exchange Load Calculation</t>
  </si>
  <si>
    <t>Average</t>
  </si>
  <si>
    <t xml:space="preserve">Total </t>
  </si>
  <si>
    <t>WA</t>
  </si>
  <si>
    <t>ID</t>
  </si>
  <si>
    <t>August</t>
  </si>
  <si>
    <t>September</t>
  </si>
  <si>
    <t>December</t>
  </si>
  <si>
    <t>Projected Loads</t>
  </si>
  <si>
    <t>Total Credit</t>
  </si>
  <si>
    <t>Conversion factor</t>
  </si>
  <si>
    <t>Residential Exchange - State of Washington</t>
  </si>
  <si>
    <t>Washington Residential Exchange Account</t>
  </si>
  <si>
    <t>WA001</t>
  </si>
  <si>
    <t>WA012</t>
  </si>
  <si>
    <t>WA022</t>
  </si>
  <si>
    <t>WA032</t>
  </si>
  <si>
    <t>WA048</t>
  </si>
  <si>
    <t>State of Washington</t>
  </si>
  <si>
    <t>KWH (1)</t>
  </si>
  <si>
    <t>First 800 kWh</t>
  </si>
  <si>
    <t>Over 800 kWh</t>
  </si>
  <si>
    <t>Accounting Adjustment</t>
  </si>
  <si>
    <t>CLEG ADJUSTMENTS</t>
  </si>
  <si>
    <t>July</t>
  </si>
  <si>
    <t>June</t>
  </si>
  <si>
    <t>May</t>
  </si>
  <si>
    <t>April</t>
  </si>
  <si>
    <t>March</t>
  </si>
  <si>
    <t>February</t>
  </si>
  <si>
    <t>January</t>
  </si>
  <si>
    <t>Immaterial Difference</t>
  </si>
  <si>
    <t>Percent rate</t>
  </si>
  <si>
    <t>AVISTA CORPORATION</t>
  </si>
  <si>
    <t>RESIDENTIAL &amp; FARM ENERGY RATE ADJUSTMENT CREDIT</t>
  </si>
  <si>
    <t>Credit Rate</t>
  </si>
  <si>
    <t>On/After</t>
  </si>
  <si>
    <t>Schedule</t>
  </si>
  <si>
    <t>kWh</t>
  </si>
  <si>
    <t>(a)</t>
  </si>
  <si>
    <t>(e)</t>
  </si>
  <si>
    <t>(g)</t>
  </si>
  <si>
    <t>a*c*e=g</t>
  </si>
  <si>
    <t>Schedule Totals</t>
  </si>
  <si>
    <t>Estimated under-refunded balance at end of existing rate</t>
  </si>
  <si>
    <t>kWh (000's)</t>
  </si>
  <si>
    <t>Amortization Adjustment - July Unbilled</t>
  </si>
  <si>
    <t>JULY UNBILLED</t>
  </si>
  <si>
    <t xml:space="preserve">Incremental </t>
  </si>
  <si>
    <t>Rate Change</t>
  </si>
  <si>
    <t>Present Billed Revenue</t>
  </si>
  <si>
    <t>Present</t>
  </si>
  <si>
    <t>Change</t>
  </si>
  <si>
    <t>Revenue Conversion factor</t>
  </si>
  <si>
    <t>Revenue Requirement</t>
  </si>
  <si>
    <t>Washington portion of benefit amount</t>
  </si>
  <si>
    <t>1/2</t>
  </si>
  <si>
    <t>Estimated over/(under)-refunded balance</t>
  </si>
  <si>
    <t>Projected</t>
  </si>
  <si>
    <t>new rate proposed to be effective November 1, 2019.</t>
  </si>
  <si>
    <t>(1) Average of 2017 and 2018 qualifying kilowatt-hours by state.</t>
  </si>
  <si>
    <t>Per Verification E-mail sent to BPA 2.19</t>
  </si>
  <si>
    <t>Bill for 918 kWh at present rates with all adders</t>
  </si>
  <si>
    <t>% Change</t>
  </si>
  <si>
    <t>Total Present Billed Revenue</t>
  </si>
  <si>
    <t>November 1, 2020 - October 31, 2021</t>
  </si>
  <si>
    <t>Washington portion of 2020 fiscal year benefit amount</t>
  </si>
  <si>
    <t>Projected kWh 11/1/20 - 10/31/21</t>
  </si>
  <si>
    <t>Total Oct-20 thru Sep-21</t>
  </si>
  <si>
    <t>WA011</t>
  </si>
  <si>
    <t>WA021</t>
  </si>
  <si>
    <t>WA025</t>
  </si>
  <si>
    <t>WA031</t>
  </si>
  <si>
    <t>WA04X</t>
  </si>
  <si>
    <t>Before 11/1/20</t>
  </si>
  <si>
    <t xml:space="preserve">JULY 2020 WASHINGTON ELECTRIC </t>
  </si>
  <si>
    <t>Balance 5/31/20 (Actual)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</si>
</sst>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7">
    <numFmt numFmtId="5" formatCode="&quot;$&quot;#,##0_);\(&quot;$&quot;#,##0\)"/>
    <numFmt numFmtId="44" formatCode="_(&quot;$&quot;* #,##0.00_);_(&quot;$&quot;* \(#,##0.00\);_(&quot;$&quot;* &quot;-&quot;??_);_(@_)"/>
    <numFmt numFmtId="43" formatCode="_(* #,##0.00_);_(* \(#,##0.00\);_(* &quot;-&quot;??_);_(@_)"/>
    <numFmt numFmtId="164" formatCode="[$-409]mmm\-yy;@"/>
    <numFmt numFmtId="165" formatCode="&quot;$&quot;#,##0.00000"/>
    <numFmt numFmtId="166" formatCode="#,##0.000000"/>
    <numFmt numFmtId="167" formatCode="&quot;$&quot;#,##0"/>
    <numFmt numFmtId="168" formatCode="&quot;$&quot;#,##0.00"/>
    <numFmt numFmtId="169" formatCode="&quot;$&quot;#,##0.00000_);\(&quot;$&quot;#,##0.00000\)"/>
    <numFmt numFmtId="170" formatCode="_(* #,##0_);_(* \(#,##0\);_(* &quot;-&quot;??_);_(@_)"/>
    <numFmt numFmtId="171" formatCode="_(* #,##0.00000_);_(* \(#,##0.00000\);_(* &quot;-&quot;??_);_(@_)"/>
    <numFmt numFmtId="172" formatCode="#,##0.0000"/>
    <numFmt numFmtId="173" formatCode="0.0%"/>
    <numFmt numFmtId="174" formatCode="0.0000000%"/>
    <numFmt numFmtId="175" formatCode="&quot;$&quot;#,##0.0000"/>
    <numFmt numFmtId="176" formatCode="mmm\ yy"/>
    <numFmt numFmtId="177" formatCode="#,##0,;\-#,##0,"/>
    <numFmt numFmtId="178" formatCode="0.000000"/>
    <numFmt numFmtId="179" formatCode="0.00_)"/>
    <numFmt numFmtId="180" formatCode="0.0000%"/>
    <numFmt numFmtId="181" formatCode="d/mmm/yy"/>
    <numFmt numFmtId="182" formatCode="#,##0.000\¢\ ;\(#,##0.000\¢\)"/>
    <numFmt numFmtId="183" formatCode="#,##0\ ;\(#,##0\)"/>
    <numFmt numFmtId="184" formatCode="_(&quot;$&quot;* #,##0.00000_);_(&quot;$&quot;* \(#,##0.00000\);_(&quot;$&quot;* &quot;-&quot;??_);_(@_)"/>
    <numFmt numFmtId="185" formatCode="_(&quot;$&quot;* #,##0_);_(&quot;$&quot;* \(#,##0\);_(&quot;$&quot;* &quot;-&quot;??_);_(@_)"/>
    <numFmt numFmtId="186" formatCode="#,##0.000"/>
    <numFmt numFmtId="187" formatCode="0.00000%"/>
  </numFmts>
  <fonts count="32">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theme="1"/>
      <name val="Arial"/>
      <family val="2"/>
    </font>
    <font>
      <sz val="10"/>
      <color theme="1"/>
      <name val="Arial"/>
      <family val="2"/>
    </font>
    <font>
      <sz val="10"/>
      <name val="Arial"/>
      <family val="2"/>
    </font>
    <font>
      <sz val="10"/>
      <color theme="1"/>
      <name val="Tahoma"/>
      <family val="2"/>
    </font>
    <font>
      <b/>
      <sz val="10"/>
      <color theme="1"/>
      <name val="Tahoma"/>
      <family val="2"/>
    </font>
    <font>
      <sz val="10"/>
      <name val="MS Sans Serif"/>
      <family val="2"/>
    </font>
    <font>
      <sz val="10"/>
      <name val="Arial"/>
      <family val="2"/>
    </font>
    <font>
      <b/>
      <sz val="10"/>
      <name val="Arial"/>
      <family val="2"/>
    </font>
    <font>
      <u/>
      <sz val="10"/>
      <name val="Arial"/>
      <family val="2"/>
    </font>
    <font>
      <sz val="10"/>
      <name val="Arial"/>
      <family val="2"/>
    </font>
    <font>
      <sz val="10"/>
      <color rgb="FF0000FF"/>
      <name val="Arial"/>
      <family val="2"/>
    </font>
    <font>
      <b/>
      <sz val="11"/>
      <color theme="1"/>
      <name val="Calibri"/>
      <family val="2"/>
      <scheme val="minor"/>
    </font>
    <font>
      <b/>
      <sz val="10"/>
      <name val="Helv"/>
    </font>
    <font>
      <sz val="10"/>
      <name val="Tahoma"/>
      <family val="2"/>
    </font>
    <font>
      <sz val="8"/>
      <name val="Arial"/>
      <family val="2"/>
    </font>
    <font>
      <b/>
      <sz val="12"/>
      <name val="Helv"/>
    </font>
    <font>
      <b/>
      <sz val="11"/>
      <name val="Helv"/>
    </font>
    <font>
      <b/>
      <i/>
      <sz val="16"/>
      <name val="Helv"/>
    </font>
    <font>
      <sz val="10"/>
      <name val="Geneva"/>
    </font>
    <font>
      <sz val="10"/>
      <name val="Helv"/>
    </font>
    <font>
      <u/>
      <sz val="10"/>
      <name val="Helv"/>
    </font>
    <font>
      <sz val="10"/>
      <color rgb="FF1015D2"/>
      <name val="Helv"/>
    </font>
    <font>
      <sz val="10"/>
      <name val="Times New Roman"/>
      <family val="1"/>
    </font>
    <font>
      <b/>
      <sz val="9"/>
      <color indexed="81"/>
      <name val="Tahoma"/>
      <family val="2"/>
    </font>
    <font>
      <sz val="9"/>
      <color indexed="81"/>
      <name val="Tahoma"/>
      <family val="2"/>
    </font>
    <font>
      <sz val="12"/>
      <color theme="1"/>
      <name val="Times New Roman"/>
      <family val="1"/>
    </font>
  </fonts>
  <fills count="5">
    <fill>
      <patternFill patternType="none"/>
    </fill>
    <fill>
      <patternFill patternType="gray125"/>
    </fill>
    <fill>
      <patternFill patternType="solid">
        <fgColor theme="3" tint="0.79998168889431442"/>
        <bgColor indexed="64"/>
      </patternFill>
    </fill>
    <fill>
      <patternFill patternType="solid">
        <fgColor indexed="22"/>
        <bgColor indexed="64"/>
      </patternFill>
    </fill>
    <fill>
      <patternFill patternType="solid">
        <fgColor indexed="26"/>
        <bgColor indexed="64"/>
      </patternFill>
    </fill>
  </fills>
  <borders count="7">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123">
    <xf numFmtId="0" fontId="0" fillId="0" borderId="0"/>
    <xf numFmtId="44"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8" fillId="0" borderId="0">
      <alignment readingOrder="1"/>
    </xf>
    <xf numFmtId="43" fontId="8" fillId="0" borderId="0" applyFont="0" applyFill="0" applyBorder="0" applyAlignment="0" applyProtection="0"/>
    <xf numFmtId="9" fontId="8" fillId="0" borderId="0" applyFont="0" applyFill="0" applyBorder="0" applyAlignment="0" applyProtection="0"/>
    <xf numFmtId="0" fontId="5" fillId="0" borderId="0"/>
    <xf numFmtId="3" fontId="7" fillId="0" borderId="0"/>
    <xf numFmtId="3" fontId="7" fillId="0" borderId="0"/>
    <xf numFmtId="0" fontId="4" fillId="0" borderId="0"/>
    <xf numFmtId="43" fontId="4" fillId="0" borderId="0" applyFont="0" applyFill="0" applyBorder="0" applyAlignment="0" applyProtection="0"/>
    <xf numFmtId="0" fontId="8" fillId="0" borderId="0"/>
    <xf numFmtId="0" fontId="9" fillId="0" borderId="0"/>
    <xf numFmtId="0" fontId="8" fillId="0" borderId="0"/>
    <xf numFmtId="43" fontId="9" fillId="0" borderId="0" applyFont="0" applyFill="0" applyBorder="0" applyAlignment="0" applyProtection="0"/>
    <xf numFmtId="9" fontId="9" fillId="0" borderId="0" applyFont="0" applyFill="0" applyBorder="0" applyAlignment="0" applyProtection="0"/>
    <xf numFmtId="0" fontId="11" fillId="0" borderId="0" applyNumberFormat="0" applyFont="0" applyFill="0" applyBorder="0" applyAlignment="0" applyProtection="0">
      <alignment horizontal="left"/>
    </xf>
    <xf numFmtId="0" fontId="12" fillId="0" borderId="0"/>
    <xf numFmtId="43" fontId="12" fillId="0" borderId="0" applyFont="0" applyFill="0" applyBorder="0" applyAlignment="0" applyProtection="0"/>
    <xf numFmtId="44" fontId="12" fillId="0" borderId="0" applyFont="0" applyFill="0" applyBorder="0" applyAlignment="0" applyProtection="0"/>
    <xf numFmtId="0" fontId="15" fillId="0" borderId="0">
      <alignment readingOrder="1"/>
    </xf>
    <xf numFmtId="0" fontId="3" fillId="0" borderId="0"/>
    <xf numFmtId="0" fontId="7" fillId="0" borderId="0"/>
    <xf numFmtId="43" fontId="7" fillId="0" borderId="0" applyFont="0" applyFill="0" applyBorder="0" applyAlignment="0" applyProtection="0"/>
    <xf numFmtId="0" fontId="18" fillId="0" borderId="0"/>
    <xf numFmtId="43" fontId="19"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38" fontId="20" fillId="3" borderId="0" applyNumberFormat="0" applyBorder="0" applyAlignment="0" applyProtection="0"/>
    <xf numFmtId="0" fontId="21" fillId="0" borderId="0">
      <alignment horizontal="left"/>
    </xf>
    <xf numFmtId="10" fontId="20" fillId="4" borderId="5" applyNumberFormat="0" applyBorder="0" applyAlignment="0" applyProtection="0"/>
    <xf numFmtId="0" fontId="22" fillId="0" borderId="6"/>
    <xf numFmtId="179" fontId="23" fillId="0" borderId="0"/>
    <xf numFmtId="0" fontId="2" fillId="0" borderId="0"/>
    <xf numFmtId="0" fontId="15" fillId="0" borderId="0">
      <alignment readingOrder="1"/>
    </xf>
    <xf numFmtId="0" fontId="15" fillId="0" borderId="0">
      <alignment readingOrder="1"/>
    </xf>
    <xf numFmtId="0" fontId="15" fillId="0" borderId="0">
      <alignment readingOrder="1"/>
    </xf>
    <xf numFmtId="0" fontId="15" fillId="0" borderId="0">
      <alignment readingOrder="1"/>
    </xf>
    <xf numFmtId="0" fontId="15" fillId="0" borderId="0">
      <alignment readingOrder="1"/>
    </xf>
    <xf numFmtId="0" fontId="15" fillId="0" borderId="0">
      <alignment readingOrder="1"/>
    </xf>
    <xf numFmtId="0" fontId="15" fillId="0" borderId="0">
      <alignment readingOrder="1"/>
    </xf>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alignment readingOrder="1"/>
    </xf>
    <xf numFmtId="0" fontId="15" fillId="0" borderId="0"/>
    <xf numFmtId="3" fontId="7" fillId="0" borderId="0"/>
    <xf numFmtId="3" fontId="7" fillId="0" borderId="0"/>
    <xf numFmtId="3" fontId="7" fillId="0" borderId="0"/>
    <xf numFmtId="0" fontId="8" fillId="0" borderId="0">
      <alignment readingOrder="1"/>
    </xf>
    <xf numFmtId="0" fontId="2" fillId="0" borderId="0"/>
    <xf numFmtId="0" fontId="8" fillId="0" borderId="0"/>
    <xf numFmtId="0" fontId="2" fillId="0" borderId="0"/>
    <xf numFmtId="0" fontId="7" fillId="0" borderId="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22" fillId="0" borderId="0"/>
    <xf numFmtId="0" fontId="15" fillId="0" borderId="0">
      <alignment readingOrder="1"/>
    </xf>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 fillId="0" borderId="0"/>
    <xf numFmtId="9" fontId="8" fillId="0" borderId="0" applyFont="0" applyFill="0" applyBorder="0" applyAlignment="0" applyProtection="0"/>
    <xf numFmtId="0" fontId="15" fillId="0" borderId="0">
      <alignment readingOrder="1"/>
    </xf>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5" fillId="0" borderId="0">
      <alignment readingOrder="1"/>
    </xf>
    <xf numFmtId="9" fontId="8" fillId="0" borderId="0" applyFont="0" applyFill="0" applyBorder="0" applyAlignment="0" applyProtection="0"/>
    <xf numFmtId="0" fontId="15" fillId="0" borderId="0">
      <alignment readingOrder="1"/>
    </xf>
    <xf numFmtId="0" fontId="15" fillId="0" borderId="0">
      <alignment readingOrder="1"/>
    </xf>
    <xf numFmtId="0" fontId="15" fillId="0" borderId="0">
      <alignment readingOrder="1"/>
    </xf>
    <xf numFmtId="0" fontId="15" fillId="0" borderId="0">
      <alignment readingOrder="1"/>
    </xf>
    <xf numFmtId="0" fontId="15" fillId="0" borderId="0">
      <alignment readingOrder="1"/>
    </xf>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24"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8" fillId="0" borderId="0"/>
  </cellStyleXfs>
  <cellXfs count="186">
    <xf numFmtId="0" fontId="0" fillId="0" borderId="0" xfId="0"/>
    <xf numFmtId="0" fontId="6" fillId="0" borderId="0" xfId="0" applyFont="1"/>
    <xf numFmtId="4" fontId="0" fillId="0" borderId="0" xfId="0" applyNumberFormat="1"/>
    <xf numFmtId="14" fontId="0" fillId="0" borderId="0" xfId="0" applyNumberFormat="1"/>
    <xf numFmtId="168" fontId="0" fillId="0" borderId="0" xfId="0" applyNumberFormat="1"/>
    <xf numFmtId="0" fontId="0" fillId="0" borderId="0" xfId="0" applyFill="1"/>
    <xf numFmtId="3" fontId="8" fillId="0" borderId="0" xfId="0" applyNumberFormat="1" applyFont="1"/>
    <xf numFmtId="3" fontId="8" fillId="0" borderId="1" xfId="0" applyNumberFormat="1" applyFont="1" applyBorder="1"/>
    <xf numFmtId="0" fontId="0" fillId="0" borderId="0" xfId="0" quotePrefix="1" applyFill="1"/>
    <xf numFmtId="43" fontId="0" fillId="0" borderId="0" xfId="2" applyFont="1" applyFill="1"/>
    <xf numFmtId="0" fontId="10" fillId="0" borderId="0" xfId="15" applyFont="1"/>
    <xf numFmtId="0" fontId="9" fillId="0" borderId="0" xfId="15"/>
    <xf numFmtId="0" fontId="9" fillId="0" borderId="0" xfId="15" applyAlignment="1">
      <alignment horizontal="center"/>
    </xf>
    <xf numFmtId="0" fontId="10" fillId="0" borderId="0" xfId="15" applyFont="1" applyFill="1" applyAlignment="1">
      <alignment horizontal="center"/>
    </xf>
    <xf numFmtId="0" fontId="10" fillId="0" borderId="0" xfId="15" applyFont="1" applyAlignment="1">
      <alignment horizontal="center"/>
    </xf>
    <xf numFmtId="0" fontId="10" fillId="0" borderId="1" xfId="15" applyFont="1" applyFill="1" applyBorder="1" applyAlignment="1">
      <alignment horizontal="center"/>
    </xf>
    <xf numFmtId="170" fontId="9" fillId="0" borderId="0" xfId="15" applyNumberFormat="1"/>
    <xf numFmtId="170" fontId="9" fillId="0" borderId="0" xfId="15" applyNumberFormat="1" applyFill="1"/>
    <xf numFmtId="170" fontId="10" fillId="0" borderId="4" xfId="17" applyNumberFormat="1" applyFont="1" applyBorder="1"/>
    <xf numFmtId="170" fontId="10" fillId="0" borderId="4" xfId="17" applyNumberFormat="1" applyFont="1" applyFill="1" applyBorder="1"/>
    <xf numFmtId="9" fontId="9" fillId="0" borderId="0" xfId="15" applyNumberFormat="1"/>
    <xf numFmtId="170" fontId="10" fillId="0" borderId="0" xfId="15" applyNumberFormat="1" applyFont="1"/>
    <xf numFmtId="43" fontId="0" fillId="0" borderId="0" xfId="2" applyFont="1"/>
    <xf numFmtId="170" fontId="0" fillId="0" borderId="0" xfId="0" applyNumberFormat="1"/>
    <xf numFmtId="174" fontId="0" fillId="0" borderId="0" xfId="3" applyNumberFormat="1" applyFont="1"/>
    <xf numFmtId="0" fontId="8" fillId="0" borderId="0" xfId="0" applyFont="1" applyBorder="1" applyAlignment="1"/>
    <xf numFmtId="0" fontId="8" fillId="0" borderId="0" xfId="0" applyFont="1"/>
    <xf numFmtId="167" fontId="8" fillId="0" borderId="0" xfId="0" applyNumberFormat="1" applyFont="1"/>
    <xf numFmtId="0" fontId="8" fillId="0" borderId="1" xfId="0" applyFont="1" applyFill="1" applyBorder="1"/>
    <xf numFmtId="175" fontId="8" fillId="0" borderId="0" xfId="0" applyNumberFormat="1" applyFont="1"/>
    <xf numFmtId="3" fontId="8" fillId="0" borderId="1" xfId="0" applyNumberFormat="1" applyFont="1" applyFill="1" applyBorder="1"/>
    <xf numFmtId="165" fontId="8" fillId="0" borderId="0" xfId="0" applyNumberFormat="1" applyFont="1"/>
    <xf numFmtId="0" fontId="14" fillId="0" borderId="0" xfId="0" applyFont="1"/>
    <xf numFmtId="165" fontId="8" fillId="0" borderId="1" xfId="0" applyNumberFormat="1" applyFont="1" applyBorder="1"/>
    <xf numFmtId="165" fontId="8" fillId="0" borderId="3" xfId="0" applyNumberFormat="1" applyFont="1" applyBorder="1"/>
    <xf numFmtId="0" fontId="8" fillId="0" borderId="0" xfId="0" applyFont="1" applyFill="1"/>
    <xf numFmtId="168" fontId="8" fillId="0" borderId="0" xfId="0" applyNumberFormat="1" applyFont="1" applyFill="1"/>
    <xf numFmtId="168" fontId="8" fillId="0" borderId="0" xfId="0" applyNumberFormat="1" applyFont="1"/>
    <xf numFmtId="169" fontId="8" fillId="0" borderId="0" xfId="1" applyNumberFormat="1" applyFont="1" applyFill="1"/>
    <xf numFmtId="165" fontId="8" fillId="0" borderId="0" xfId="0" applyNumberFormat="1" applyFont="1" applyFill="1"/>
    <xf numFmtId="173" fontId="8" fillId="0" borderId="0" xfId="3" applyNumberFormat="1" applyFont="1"/>
    <xf numFmtId="0" fontId="8" fillId="0" borderId="0" xfId="0" applyFont="1" applyBorder="1"/>
    <xf numFmtId="0" fontId="8" fillId="0" borderId="0" xfId="0" applyFont="1" applyBorder="1" applyAlignment="1">
      <alignment horizontal="center"/>
    </xf>
    <xf numFmtId="0" fontId="14" fillId="0" borderId="0" xfId="0" applyFont="1" applyAlignment="1">
      <alignment horizontal="center"/>
    </xf>
    <xf numFmtId="3" fontId="8" fillId="0" borderId="0" xfId="0" applyNumberFormat="1" applyFont="1" applyFill="1"/>
    <xf numFmtId="10" fontId="8" fillId="0" borderId="0" xfId="0" applyNumberFormat="1" applyFont="1"/>
    <xf numFmtId="10" fontId="8" fillId="0" borderId="1" xfId="0" applyNumberFormat="1" applyFont="1" applyBorder="1"/>
    <xf numFmtId="167" fontId="8" fillId="0" borderId="0" xfId="0" applyNumberFormat="1" applyFont="1" applyFill="1"/>
    <xf numFmtId="0" fontId="8" fillId="0" borderId="0" xfId="0" applyFont="1" applyFill="1" applyBorder="1"/>
    <xf numFmtId="172" fontId="8" fillId="0" borderId="0" xfId="0" applyNumberFormat="1" applyFont="1" applyFill="1"/>
    <xf numFmtId="167" fontId="8" fillId="0" borderId="0" xfId="0" applyNumberFormat="1" applyFont="1" applyFill="1" applyBorder="1"/>
    <xf numFmtId="3" fontId="8" fillId="0" borderId="0" xfId="2" applyNumberFormat="1" applyFont="1" applyFill="1"/>
    <xf numFmtId="170" fontId="8" fillId="0" borderId="0" xfId="0" applyNumberFormat="1" applyFont="1" applyFill="1" applyBorder="1"/>
    <xf numFmtId="164" fontId="8" fillId="0" borderId="0" xfId="0" applyNumberFormat="1" applyFont="1" applyAlignment="1">
      <alignment horizontal="center"/>
    </xf>
    <xf numFmtId="0" fontId="8" fillId="0" borderId="0" xfId="0" applyFont="1" applyAlignment="1">
      <alignment horizontal="center"/>
    </xf>
    <xf numFmtId="164" fontId="14" fillId="0" borderId="0" xfId="0" applyNumberFormat="1" applyFont="1" applyAlignment="1">
      <alignment horizontal="center"/>
    </xf>
    <xf numFmtId="0" fontId="8" fillId="0" borderId="0" xfId="0" applyFont="1" applyAlignment="1">
      <alignment horizontal="left"/>
    </xf>
    <xf numFmtId="164" fontId="8" fillId="0" borderId="0" xfId="0" applyNumberFormat="1" applyFont="1"/>
    <xf numFmtId="0" fontId="8" fillId="0" borderId="0" xfId="0" applyFont="1" applyBorder="1" applyAlignment="1">
      <alignment readingOrder="1"/>
    </xf>
    <xf numFmtId="0" fontId="8" fillId="0" borderId="0" xfId="0" applyFont="1" applyAlignment="1">
      <alignment readingOrder="1"/>
    </xf>
    <xf numFmtId="3" fontId="8" fillId="0" borderId="0" xfId="0" applyNumberFormat="1" applyFont="1" applyBorder="1"/>
    <xf numFmtId="176" fontId="13" fillId="0" borderId="0" xfId="0" applyNumberFormat="1" applyFont="1" applyBorder="1" applyAlignment="1">
      <alignment readingOrder="1"/>
    </xf>
    <xf numFmtId="176" fontId="13" fillId="0" borderId="0" xfId="23" applyNumberFormat="1" applyFont="1" applyBorder="1">
      <alignment readingOrder="1"/>
    </xf>
    <xf numFmtId="43" fontId="8" fillId="0" borderId="0" xfId="2" applyFont="1" applyFill="1"/>
    <xf numFmtId="43" fontId="0" fillId="0" borderId="1" xfId="2" applyFont="1" applyFill="1" applyBorder="1"/>
    <xf numFmtId="0" fontId="14" fillId="0" borderId="0" xfId="0" applyFont="1" applyFill="1"/>
    <xf numFmtId="0" fontId="0" fillId="0" borderId="0" xfId="0" applyBorder="1" applyAlignment="1">
      <alignment readingOrder="1"/>
    </xf>
    <xf numFmtId="165" fontId="8" fillId="0" borderId="0" xfId="0" applyNumberFormat="1" applyFont="1" applyFill="1" applyBorder="1"/>
    <xf numFmtId="0" fontId="8" fillId="0" borderId="0" xfId="0" applyFont="1" applyAlignment="1"/>
    <xf numFmtId="166" fontId="8" fillId="0" borderId="1" xfId="0" applyNumberFormat="1" applyFont="1" applyFill="1" applyBorder="1"/>
    <xf numFmtId="0" fontId="10" fillId="0" borderId="1" xfId="15" applyFont="1" applyBorder="1" applyAlignment="1">
      <alignment horizontal="center"/>
    </xf>
    <xf numFmtId="0" fontId="10" fillId="0" borderId="1" xfId="15" applyFont="1" applyFill="1" applyBorder="1" applyAlignment="1">
      <alignment horizontal="center" wrapText="1"/>
    </xf>
    <xf numFmtId="0" fontId="7" fillId="0" borderId="0" xfId="25"/>
    <xf numFmtId="0" fontId="17" fillId="0" borderId="0" xfId="0" applyFont="1" applyBorder="1" applyAlignment="1">
      <alignment horizontal="center"/>
    </xf>
    <xf numFmtId="171" fontId="9" fillId="0" borderId="0" xfId="26" applyNumberFormat="1" applyFont="1"/>
    <xf numFmtId="171" fontId="7" fillId="0" borderId="0" xfId="17" applyNumberFormat="1" applyFont="1"/>
    <xf numFmtId="171" fontId="7" fillId="0" borderId="0" xfId="17" applyNumberFormat="1" applyFont="1" applyAlignment="1">
      <alignment horizontal="center"/>
    </xf>
    <xf numFmtId="170" fontId="17" fillId="0" borderId="0" xfId="0" applyNumberFormat="1" applyFont="1" applyBorder="1" applyAlignment="1">
      <alignment horizontal="center"/>
    </xf>
    <xf numFmtId="170" fontId="17" fillId="0" borderId="4" xfId="2" applyNumberFormat="1" applyFont="1" applyBorder="1" applyAlignment="1">
      <alignment horizontal="center"/>
    </xf>
    <xf numFmtId="170" fontId="7" fillId="0" borderId="0" xfId="17" applyNumberFormat="1" applyFont="1"/>
    <xf numFmtId="170" fontId="7" fillId="0" borderId="0" xfId="17" applyNumberFormat="1" applyFont="1" applyFill="1" applyAlignment="1">
      <alignment horizontal="center"/>
    </xf>
    <xf numFmtId="170" fontId="7" fillId="0" borderId="0" xfId="17" applyNumberFormat="1" applyFont="1" applyFill="1"/>
    <xf numFmtId="170" fontId="17" fillId="0" borderId="0" xfId="2" applyNumberFormat="1" applyFont="1" applyBorder="1" applyAlignment="1">
      <alignment horizontal="center"/>
    </xf>
    <xf numFmtId="170" fontId="17" fillId="0" borderId="1" xfId="2" applyNumberFormat="1" applyFont="1" applyFill="1" applyBorder="1" applyAlignment="1">
      <alignment horizontal="center"/>
    </xf>
    <xf numFmtId="0" fontId="17" fillId="0" borderId="1" xfId="0" applyFont="1" applyBorder="1" applyAlignment="1">
      <alignment horizontal="center"/>
    </xf>
    <xf numFmtId="167" fontId="8" fillId="0" borderId="0" xfId="0" applyNumberFormat="1" applyFont="1" applyBorder="1"/>
    <xf numFmtId="166" fontId="8" fillId="0" borderId="0" xfId="0" applyNumberFormat="1" applyFont="1" applyFill="1" applyBorder="1"/>
    <xf numFmtId="0" fontId="13" fillId="0" borderId="0" xfId="0" applyFont="1" applyAlignment="1">
      <alignment horizontal="right"/>
    </xf>
    <xf numFmtId="177" fontId="15" fillId="0" borderId="0" xfId="80" applyNumberFormat="1" applyFill="1">
      <alignment readingOrder="1"/>
    </xf>
    <xf numFmtId="177" fontId="15" fillId="0" borderId="0" xfId="86" applyNumberFormat="1" applyFill="1">
      <alignment readingOrder="1"/>
    </xf>
    <xf numFmtId="0" fontId="16" fillId="0" borderId="0" xfId="0" applyFont="1" applyFill="1" applyBorder="1" applyAlignment="1">
      <alignment horizontal="left" indent="1" readingOrder="1"/>
    </xf>
    <xf numFmtId="177" fontId="15" fillId="0" borderId="0" xfId="90" applyNumberFormat="1" applyFill="1">
      <alignment readingOrder="1"/>
    </xf>
    <xf numFmtId="170" fontId="8" fillId="0" borderId="0" xfId="2" applyNumberFormat="1" applyFont="1" applyFill="1"/>
    <xf numFmtId="177" fontId="15" fillId="0" borderId="0" xfId="92" applyNumberFormat="1" applyFill="1">
      <alignment readingOrder="1"/>
    </xf>
    <xf numFmtId="177" fontId="15" fillId="0" borderId="0" xfId="93" applyNumberFormat="1" applyFill="1">
      <alignment readingOrder="1"/>
    </xf>
    <xf numFmtId="177" fontId="15" fillId="0" borderId="0" xfId="94" applyNumberFormat="1" applyFill="1">
      <alignment readingOrder="1"/>
    </xf>
    <xf numFmtId="177" fontId="0" fillId="0" borderId="0" xfId="0" applyNumberFormat="1" applyFill="1" applyBorder="1" applyAlignment="1">
      <alignment readingOrder="1"/>
    </xf>
    <xf numFmtId="177" fontId="15" fillId="0" borderId="0" xfId="95" applyNumberFormat="1" applyFill="1">
      <alignment readingOrder="1"/>
    </xf>
    <xf numFmtId="170" fontId="8" fillId="0" borderId="0" xfId="2" applyNumberFormat="1" applyFont="1"/>
    <xf numFmtId="177" fontId="15" fillId="0" borderId="0" xfId="96" applyNumberFormat="1" applyFill="1">
      <alignment readingOrder="1"/>
    </xf>
    <xf numFmtId="0" fontId="8" fillId="0" borderId="0" xfId="0" applyFont="1" applyAlignment="1">
      <alignment horizontal="right"/>
    </xf>
    <xf numFmtId="0" fontId="0" fillId="0" borderId="0" xfId="0"/>
    <xf numFmtId="0" fontId="8" fillId="0" borderId="0" xfId="122"/>
    <xf numFmtId="0" fontId="25" fillId="0" borderId="0" xfId="122" applyFont="1" applyAlignment="1" applyProtection="1">
      <alignment horizontal="center"/>
    </xf>
    <xf numFmtId="0" fontId="25" fillId="0" borderId="0" xfId="122" applyFont="1" applyAlignment="1" applyProtection="1">
      <alignment horizontal="center"/>
      <protection locked="0"/>
    </xf>
    <xf numFmtId="0" fontId="26" fillId="0" borderId="0" xfId="122" applyFont="1" applyAlignment="1" applyProtection="1">
      <alignment horizontal="centerContinuous"/>
    </xf>
    <xf numFmtId="0" fontId="25" fillId="0" borderId="0" xfId="122" applyFont="1" applyAlignment="1" applyProtection="1">
      <alignment horizontal="centerContinuous"/>
    </xf>
    <xf numFmtId="0" fontId="26" fillId="0" borderId="0" xfId="122" applyFont="1" applyAlignment="1" applyProtection="1">
      <alignment horizontal="left"/>
    </xf>
    <xf numFmtId="0" fontId="26" fillId="0" borderId="0" xfId="122" applyFont="1" applyBorder="1" applyAlignment="1" applyProtection="1">
      <alignment horizontal="center"/>
    </xf>
    <xf numFmtId="181" fontId="26" fillId="0" borderId="0" xfId="122" applyNumberFormat="1" applyFont="1" applyAlignment="1" applyProtection="1">
      <alignment horizontal="center"/>
    </xf>
    <xf numFmtId="0" fontId="26" fillId="0" borderId="0" xfId="122" applyFont="1" applyAlignment="1" applyProtection="1">
      <alignment horizontal="center"/>
    </xf>
    <xf numFmtId="0" fontId="25" fillId="0" borderId="0" xfId="122" applyFont="1" applyBorder="1" applyAlignment="1" applyProtection="1">
      <alignment horizontal="center"/>
    </xf>
    <xf numFmtId="43" fontId="25" fillId="0" borderId="0" xfId="2" applyFont="1" applyProtection="1"/>
    <xf numFmtId="4" fontId="25" fillId="0" borderId="0" xfId="122" applyNumberFormat="1" applyFont="1" applyProtection="1"/>
    <xf numFmtId="43" fontId="25" fillId="0" borderId="1" xfId="2" applyFont="1" applyBorder="1" applyProtection="1"/>
    <xf numFmtId="3" fontId="25" fillId="0" borderId="0" xfId="122" applyNumberFormat="1" applyFont="1" applyFill="1" applyProtection="1"/>
    <xf numFmtId="10" fontId="25" fillId="0" borderId="0" xfId="122" applyNumberFormat="1" applyFont="1" applyProtection="1"/>
    <xf numFmtId="43" fontId="25" fillId="0" borderId="0" xfId="122" applyNumberFormat="1" applyFont="1" applyProtection="1"/>
    <xf numFmtId="167" fontId="25" fillId="0" borderId="0" xfId="122" applyNumberFormat="1" applyFont="1" applyProtection="1"/>
    <xf numFmtId="0" fontId="25" fillId="0" borderId="0" xfId="122" applyFont="1" applyProtection="1"/>
    <xf numFmtId="183" fontId="25" fillId="0" borderId="0" xfId="122" applyNumberFormat="1" applyFont="1" applyProtection="1"/>
    <xf numFmtId="0" fontId="26" fillId="0" borderId="0" xfId="122" applyFont="1" applyBorder="1" applyProtection="1"/>
    <xf numFmtId="3" fontId="25" fillId="0" borderId="0" xfId="122" applyNumberFormat="1" applyFont="1" applyFill="1" applyBorder="1" applyProtection="1"/>
    <xf numFmtId="5" fontId="25" fillId="0" borderId="0" xfId="122" applyNumberFormat="1" applyFont="1" applyProtection="1"/>
    <xf numFmtId="0" fontId="25" fillId="0" borderId="0" xfId="122" applyFont="1" applyBorder="1" applyProtection="1"/>
    <xf numFmtId="170" fontId="25" fillId="0" borderId="0" xfId="122" applyNumberFormat="1" applyFont="1" applyBorder="1" applyProtection="1"/>
    <xf numFmtId="43" fontId="8" fillId="0" borderId="0" xfId="122" applyNumberFormat="1"/>
    <xf numFmtId="3" fontId="25" fillId="0" borderId="0" xfId="122" applyNumberFormat="1" applyFont="1" applyBorder="1" applyProtection="1"/>
    <xf numFmtId="3" fontId="25" fillId="0" borderId="0" xfId="122" applyNumberFormat="1" applyFont="1" applyProtection="1"/>
    <xf numFmtId="0" fontId="8" fillId="0" borderId="0" xfId="122" applyBorder="1"/>
    <xf numFmtId="0" fontId="28" fillId="0" borderId="0" xfId="122" applyFont="1" applyProtection="1"/>
    <xf numFmtId="0" fontId="28" fillId="0" borderId="0" xfId="122" applyFont="1"/>
    <xf numFmtId="178" fontId="16" fillId="0" borderId="1" xfId="0" applyNumberFormat="1" applyFont="1" applyFill="1" applyBorder="1"/>
    <xf numFmtId="182" fontId="25" fillId="0" borderId="0" xfId="0" applyNumberFormat="1" applyFont="1" applyProtection="1"/>
    <xf numFmtId="172" fontId="16" fillId="0" borderId="0" xfId="0" applyNumberFormat="1" applyFont="1" applyFill="1"/>
    <xf numFmtId="172" fontId="16" fillId="0" borderId="1" xfId="0" applyNumberFormat="1" applyFont="1" applyFill="1" applyBorder="1"/>
    <xf numFmtId="10" fontId="7" fillId="0" borderId="0" xfId="18" applyNumberFormat="1" applyFont="1"/>
    <xf numFmtId="165" fontId="16" fillId="0" borderId="1" xfId="0" applyNumberFormat="1" applyFont="1" applyFill="1" applyBorder="1"/>
    <xf numFmtId="3" fontId="8" fillId="0" borderId="0" xfId="0" applyNumberFormat="1" applyFont="1" applyFill="1" applyBorder="1"/>
    <xf numFmtId="0" fontId="0" fillId="0" borderId="0" xfId="0" applyNumberFormat="1" applyFill="1" applyBorder="1" applyAlignment="1">
      <alignment readingOrder="1"/>
    </xf>
    <xf numFmtId="177" fontId="15" fillId="0" borderId="0" xfId="93" applyNumberFormat="1" applyFill="1" applyBorder="1">
      <alignment readingOrder="1"/>
    </xf>
    <xf numFmtId="177" fontId="15" fillId="0" borderId="0" xfId="95" applyNumberFormat="1" applyFill="1" applyBorder="1">
      <alignment readingOrder="1"/>
    </xf>
    <xf numFmtId="177" fontId="15" fillId="0" borderId="0" xfId="94" applyNumberFormat="1" applyFill="1" applyBorder="1">
      <alignment readingOrder="1"/>
    </xf>
    <xf numFmtId="177" fontId="15" fillId="0" borderId="0" xfId="96" applyNumberFormat="1" applyFill="1" applyBorder="1">
      <alignment readingOrder="1"/>
    </xf>
    <xf numFmtId="178" fontId="25" fillId="0" borderId="1" xfId="0" applyNumberFormat="1" applyFont="1" applyFill="1" applyBorder="1" applyProtection="1"/>
    <xf numFmtId="177" fontId="0" fillId="0" borderId="0" xfId="0" applyNumberFormat="1" applyFill="1" applyAlignment="1">
      <alignment readingOrder="1"/>
    </xf>
    <xf numFmtId="43" fontId="0" fillId="0" borderId="1" xfId="2" applyFont="1" applyBorder="1"/>
    <xf numFmtId="44" fontId="0" fillId="0" borderId="0" xfId="1" applyFont="1"/>
    <xf numFmtId="44" fontId="8" fillId="0" borderId="0" xfId="1" applyFont="1" applyFill="1"/>
    <xf numFmtId="44" fontId="0" fillId="0" borderId="0" xfId="1" applyFont="1" applyFill="1"/>
    <xf numFmtId="170" fontId="1" fillId="0" borderId="0" xfId="2" applyNumberFormat="1" applyFont="1" applyBorder="1" applyAlignment="1">
      <alignment horizontal="center"/>
    </xf>
    <xf numFmtId="170" fontId="1" fillId="0" borderId="1" xfId="2" applyNumberFormat="1" applyFont="1" applyFill="1" applyBorder="1" applyAlignment="1">
      <alignment horizontal="center"/>
    </xf>
    <xf numFmtId="170" fontId="1" fillId="0" borderId="0" xfId="2" applyNumberFormat="1" applyFont="1" applyFill="1" applyBorder="1" applyAlignment="1">
      <alignment horizontal="center"/>
    </xf>
    <xf numFmtId="170" fontId="1" fillId="0" borderId="1" xfId="2" applyNumberFormat="1" applyFont="1" applyBorder="1" applyAlignment="1">
      <alignment horizontal="center"/>
    </xf>
    <xf numFmtId="184" fontId="8" fillId="0" borderId="0" xfId="1" applyNumberFormat="1" applyFont="1"/>
    <xf numFmtId="0" fontId="31" fillId="0" borderId="0" xfId="0" applyFont="1"/>
    <xf numFmtId="0" fontId="31" fillId="0" borderId="0" xfId="0" applyFont="1" applyAlignment="1">
      <alignment horizontal="center"/>
    </xf>
    <xf numFmtId="185" fontId="31" fillId="0" borderId="0" xfId="1" applyNumberFormat="1" applyFont="1"/>
    <xf numFmtId="185" fontId="31" fillId="0" borderId="0" xfId="0" applyNumberFormat="1" applyFont="1"/>
    <xf numFmtId="185" fontId="31" fillId="0" borderId="1" xfId="0" applyNumberFormat="1" applyFont="1" applyBorder="1"/>
    <xf numFmtId="185" fontId="31" fillId="0" borderId="1" xfId="1" applyNumberFormat="1" applyFont="1" applyBorder="1"/>
    <xf numFmtId="0" fontId="31" fillId="0" borderId="0" xfId="0" applyFont="1" applyFill="1"/>
    <xf numFmtId="165" fontId="8" fillId="0" borderId="1" xfId="0" applyNumberFormat="1" applyFont="1" applyFill="1" applyBorder="1"/>
    <xf numFmtId="178" fontId="8" fillId="0" borderId="1" xfId="0" applyNumberFormat="1" applyFont="1" applyFill="1" applyBorder="1"/>
    <xf numFmtId="185" fontId="8" fillId="0" borderId="0" xfId="1" applyNumberFormat="1" applyFont="1" applyFill="1"/>
    <xf numFmtId="180" fontId="0" fillId="0" borderId="0" xfId="3" applyNumberFormat="1" applyFont="1" applyFill="1"/>
    <xf numFmtId="0" fontId="25" fillId="0" borderId="0" xfId="122" quotePrefix="1" applyFont="1" applyAlignment="1" applyProtection="1">
      <alignment horizontal="center"/>
    </xf>
    <xf numFmtId="186" fontId="8" fillId="0" borderId="0" xfId="0" applyNumberFormat="1" applyFont="1" applyFill="1" applyBorder="1"/>
    <xf numFmtId="186" fontId="0" fillId="0" borderId="0" xfId="0" applyNumberFormat="1" applyFill="1" applyBorder="1" applyAlignment="1">
      <alignment readingOrder="1"/>
    </xf>
    <xf numFmtId="0" fontId="13" fillId="0" borderId="0" xfId="0" applyFont="1"/>
    <xf numFmtId="165" fontId="13" fillId="0" borderId="2" xfId="0" applyNumberFormat="1" applyFont="1" applyBorder="1"/>
    <xf numFmtId="187" fontId="8" fillId="0" borderId="0" xfId="3" applyNumberFormat="1" applyFont="1" applyFill="1" applyBorder="1"/>
    <xf numFmtId="185" fontId="8" fillId="0" borderId="0" xfId="1" applyNumberFormat="1" applyFont="1"/>
    <xf numFmtId="3" fontId="27" fillId="0" borderId="0" xfId="122" applyNumberFormat="1" applyFont="1" applyFill="1" applyBorder="1" applyProtection="1">
      <protection locked="0"/>
    </xf>
    <xf numFmtId="3" fontId="27" fillId="0" borderId="1" xfId="122" applyNumberFormat="1" applyFont="1" applyFill="1" applyBorder="1" applyProtection="1">
      <protection locked="0"/>
    </xf>
    <xf numFmtId="176" fontId="13" fillId="0" borderId="0" xfId="0" applyNumberFormat="1" applyFont="1" applyAlignment="1">
      <alignment readingOrder="1"/>
    </xf>
    <xf numFmtId="170" fontId="0" fillId="0" borderId="0" xfId="7" applyNumberFormat="1" applyFont="1"/>
    <xf numFmtId="43" fontId="8" fillId="0" borderId="0" xfId="0" applyNumberFormat="1" applyFont="1"/>
    <xf numFmtId="10" fontId="0" fillId="0" borderId="0" xfId="3" applyNumberFormat="1" applyFont="1"/>
    <xf numFmtId="0" fontId="8" fillId="0" borderId="0" xfId="0" applyFont="1" applyAlignment="1">
      <alignment horizontal="center"/>
    </xf>
    <xf numFmtId="0" fontId="14" fillId="0" borderId="0" xfId="0" applyFont="1" applyAlignment="1">
      <alignment horizontal="center"/>
    </xf>
    <xf numFmtId="0" fontId="0" fillId="0" borderId="0" xfId="0" applyAlignment="1">
      <alignment horizontal="center"/>
    </xf>
    <xf numFmtId="0" fontId="10" fillId="0" borderId="0" xfId="15" applyFont="1" applyFill="1" applyAlignment="1">
      <alignment horizontal="center" wrapText="1"/>
    </xf>
    <xf numFmtId="0" fontId="10" fillId="0" borderId="1" xfId="15" applyFont="1" applyFill="1" applyBorder="1" applyAlignment="1">
      <alignment horizontal="center" wrapText="1"/>
    </xf>
    <xf numFmtId="0" fontId="10" fillId="0" borderId="1" xfId="15" applyFont="1" applyBorder="1" applyAlignment="1">
      <alignment horizontal="center"/>
    </xf>
    <xf numFmtId="0" fontId="17" fillId="2" borderId="0" xfId="0" applyFont="1" applyFill="1" applyBorder="1" applyAlignment="1">
      <alignment horizontal="center"/>
    </xf>
  </cellXfs>
  <cellStyles count="123">
    <cellStyle name="category" xfId="27" xr:uid="{00000000-0005-0000-0000-000000000000}"/>
    <cellStyle name="Comma" xfId="2" builtinId="3"/>
    <cellStyle name="Comma 2" xfId="7" xr:uid="{00000000-0005-0000-0000-000002000000}"/>
    <cellStyle name="Comma 2 2" xfId="28" xr:uid="{00000000-0005-0000-0000-000003000000}"/>
    <cellStyle name="Comma 3" xfId="5" xr:uid="{00000000-0005-0000-0000-000004000000}"/>
    <cellStyle name="Comma 3 2" xfId="29" xr:uid="{00000000-0005-0000-0000-000005000000}"/>
    <cellStyle name="Comma 3 2 2" xfId="101" xr:uid="{00000000-0005-0000-0000-000006000000}"/>
    <cellStyle name="Comma 3 3" xfId="26" xr:uid="{00000000-0005-0000-0000-000007000000}"/>
    <cellStyle name="Comma 3 4" xfId="30" xr:uid="{00000000-0005-0000-0000-000008000000}"/>
    <cellStyle name="Comma 3 5" xfId="98" xr:uid="{00000000-0005-0000-0000-000009000000}"/>
    <cellStyle name="Comma 4" xfId="13" xr:uid="{00000000-0005-0000-0000-00000A000000}"/>
    <cellStyle name="Comma 4 2" xfId="31" xr:uid="{00000000-0005-0000-0000-00000B000000}"/>
    <cellStyle name="Comma 4 2 2" xfId="102" xr:uid="{00000000-0005-0000-0000-00000C000000}"/>
    <cellStyle name="Comma 4 3" xfId="100" xr:uid="{00000000-0005-0000-0000-00000D000000}"/>
    <cellStyle name="Comma 5" xfId="17" xr:uid="{00000000-0005-0000-0000-00000E000000}"/>
    <cellStyle name="Comma 6" xfId="21" xr:uid="{00000000-0005-0000-0000-00000F000000}"/>
    <cellStyle name="Comma 6 2" xfId="108" xr:uid="{00000000-0005-0000-0000-000010000000}"/>
    <cellStyle name="Comma 7" xfId="32" xr:uid="{00000000-0005-0000-0000-000011000000}"/>
    <cellStyle name="Comma 7 2" xfId="114" xr:uid="{00000000-0005-0000-0000-000012000000}"/>
    <cellStyle name="Currency" xfId="1" builtinId="4"/>
    <cellStyle name="Currency 2" xfId="22" xr:uid="{00000000-0005-0000-0000-000014000000}"/>
    <cellStyle name="Currency 2 2" xfId="109" xr:uid="{00000000-0005-0000-0000-000015000000}"/>
    <cellStyle name="Currency 3" xfId="33" xr:uid="{00000000-0005-0000-0000-000016000000}"/>
    <cellStyle name="Currency 3 2" xfId="115" xr:uid="{00000000-0005-0000-0000-000017000000}"/>
    <cellStyle name="Grey" xfId="34" xr:uid="{00000000-0005-0000-0000-000018000000}"/>
    <cellStyle name="HEADER" xfId="35" xr:uid="{00000000-0005-0000-0000-000019000000}"/>
    <cellStyle name="Input [yellow]" xfId="36" xr:uid="{00000000-0005-0000-0000-00001A000000}"/>
    <cellStyle name="Model" xfId="37" xr:uid="{00000000-0005-0000-0000-00001B000000}"/>
    <cellStyle name="Normal" xfId="0" builtinId="0"/>
    <cellStyle name="Normal - Style1" xfId="38" xr:uid="{00000000-0005-0000-0000-00001D000000}"/>
    <cellStyle name="Normal 10" xfId="23" xr:uid="{00000000-0005-0000-0000-00001E000000}"/>
    <cellStyle name="Normal 10 2" xfId="107" xr:uid="{00000000-0005-0000-0000-00001F000000}"/>
    <cellStyle name="Normal 11" xfId="39" xr:uid="{00000000-0005-0000-0000-000020000000}"/>
    <cellStyle name="Normal 11 2" xfId="113" xr:uid="{00000000-0005-0000-0000-000021000000}"/>
    <cellStyle name="Normal 12" xfId="40" xr:uid="{00000000-0005-0000-0000-000022000000}"/>
    <cellStyle name="Normal 13" xfId="41" xr:uid="{00000000-0005-0000-0000-000023000000}"/>
    <cellStyle name="Normal 14" xfId="42" xr:uid="{00000000-0005-0000-0000-000024000000}"/>
    <cellStyle name="Normal 15" xfId="43" xr:uid="{00000000-0005-0000-0000-000025000000}"/>
    <cellStyle name="Normal 16" xfId="25" xr:uid="{00000000-0005-0000-0000-000026000000}"/>
    <cellStyle name="Normal 17" xfId="44" xr:uid="{00000000-0005-0000-0000-000027000000}"/>
    <cellStyle name="Normal 18" xfId="45" xr:uid="{00000000-0005-0000-0000-000028000000}"/>
    <cellStyle name="Normal 19" xfId="46" xr:uid="{00000000-0005-0000-0000-000029000000}"/>
    <cellStyle name="Normal 2" xfId="9" xr:uid="{00000000-0005-0000-0000-00002A000000}"/>
    <cellStyle name="Normal 2 2" xfId="14" xr:uid="{00000000-0005-0000-0000-00002B000000}"/>
    <cellStyle name="Normal 2 2 2" xfId="47" xr:uid="{00000000-0005-0000-0000-00002C000000}"/>
    <cellStyle name="Normal 2 2 3" xfId="48" xr:uid="{00000000-0005-0000-0000-00002D000000}"/>
    <cellStyle name="Normal 2 2 4" xfId="49" xr:uid="{00000000-0005-0000-0000-00002E000000}"/>
    <cellStyle name="Normal 2 2 5" xfId="50" xr:uid="{00000000-0005-0000-0000-00002F000000}"/>
    <cellStyle name="Normal 2 2 5 2" xfId="110" xr:uid="{00000000-0005-0000-0000-000030000000}"/>
    <cellStyle name="Normal 2 2 6" xfId="51" xr:uid="{00000000-0005-0000-0000-000031000000}"/>
    <cellStyle name="Normal 2 2 6 2" xfId="116" xr:uid="{00000000-0005-0000-0000-000032000000}"/>
    <cellStyle name="Normal 2 3" xfId="24" xr:uid="{00000000-0005-0000-0000-000033000000}"/>
    <cellStyle name="Normal 2 3 2" xfId="52" xr:uid="{00000000-0005-0000-0000-000034000000}"/>
    <cellStyle name="Normal 2 3 2 2" xfId="111" xr:uid="{00000000-0005-0000-0000-000035000000}"/>
    <cellStyle name="Normal 2 3 3" xfId="53" xr:uid="{00000000-0005-0000-0000-000036000000}"/>
    <cellStyle name="Normal 2 3 3 2" xfId="117" xr:uid="{00000000-0005-0000-0000-000037000000}"/>
    <cellStyle name="Normal 2 3 4" xfId="103" xr:uid="{00000000-0005-0000-0000-000038000000}"/>
    <cellStyle name="Normal 2 4" xfId="54" xr:uid="{00000000-0005-0000-0000-000039000000}"/>
    <cellStyle name="Normal 2 4 2" xfId="55" xr:uid="{00000000-0005-0000-0000-00003A000000}"/>
    <cellStyle name="Normal 2 4 2 2" xfId="118" xr:uid="{00000000-0005-0000-0000-00003B000000}"/>
    <cellStyle name="Normal 2 4 3" xfId="112" xr:uid="{00000000-0005-0000-0000-00003C000000}"/>
    <cellStyle name="Normal 2 5" xfId="56" xr:uid="{00000000-0005-0000-0000-00003D000000}"/>
    <cellStyle name="Normal 2 5 2" xfId="119" xr:uid="{00000000-0005-0000-0000-00003E000000}"/>
    <cellStyle name="Normal 2 6" xfId="57" xr:uid="{00000000-0005-0000-0000-00003F000000}"/>
    <cellStyle name="Normal 2 6 2" xfId="120" xr:uid="{00000000-0005-0000-0000-000040000000}"/>
    <cellStyle name="Normal 2 7" xfId="58" xr:uid="{00000000-0005-0000-0000-000041000000}"/>
    <cellStyle name="Normal 2 7 2" xfId="121" xr:uid="{00000000-0005-0000-0000-000042000000}"/>
    <cellStyle name="Normal 2 8" xfId="84" xr:uid="{00000000-0005-0000-0000-000043000000}"/>
    <cellStyle name="Normal 20" xfId="59" xr:uid="{00000000-0005-0000-0000-000044000000}"/>
    <cellStyle name="Normal 21" xfId="60" xr:uid="{00000000-0005-0000-0000-000045000000}"/>
    <cellStyle name="Normal 21 2" xfId="122" xr:uid="{00000000-0005-0000-0000-000046000000}"/>
    <cellStyle name="Normal 22" xfId="80" xr:uid="{00000000-0005-0000-0000-000047000000}"/>
    <cellStyle name="Normal 23" xfId="86" xr:uid="{00000000-0005-0000-0000-000048000000}"/>
    <cellStyle name="Normal 24" xfId="90" xr:uid="{00000000-0005-0000-0000-000049000000}"/>
    <cellStyle name="Normal 25" xfId="92" xr:uid="{00000000-0005-0000-0000-00004A000000}"/>
    <cellStyle name="Normal 26" xfId="93" xr:uid="{00000000-0005-0000-0000-00004B000000}"/>
    <cellStyle name="Normal 27" xfId="94" xr:uid="{00000000-0005-0000-0000-00004C000000}"/>
    <cellStyle name="Normal 28" xfId="95" xr:uid="{00000000-0005-0000-0000-00004D000000}"/>
    <cellStyle name="Normal 29" xfId="96" xr:uid="{00000000-0005-0000-0000-00004E000000}"/>
    <cellStyle name="Normal 3" xfId="10" xr:uid="{00000000-0005-0000-0000-00004F000000}"/>
    <cellStyle name="Normal 3 2" xfId="16" xr:uid="{00000000-0005-0000-0000-000050000000}"/>
    <cellStyle name="Normal 3 2 2" xfId="61" xr:uid="{00000000-0005-0000-0000-000051000000}"/>
    <cellStyle name="Normal 3 3" xfId="62" xr:uid="{00000000-0005-0000-0000-000052000000}"/>
    <cellStyle name="Normal 3 4" xfId="63" xr:uid="{00000000-0005-0000-0000-000053000000}"/>
    <cellStyle name="Normal 3 5" xfId="64" xr:uid="{00000000-0005-0000-0000-000054000000}"/>
    <cellStyle name="Normal 4" xfId="6" xr:uid="{00000000-0005-0000-0000-000055000000}"/>
    <cellStyle name="Normal 5" xfId="4" xr:uid="{00000000-0005-0000-0000-000056000000}"/>
    <cellStyle name="Normal 5 2" xfId="65" xr:uid="{00000000-0005-0000-0000-000057000000}"/>
    <cellStyle name="Normal 5 2 2" xfId="104" xr:uid="{00000000-0005-0000-0000-000058000000}"/>
    <cellStyle name="Normal 5 3" xfId="66" xr:uid="{00000000-0005-0000-0000-000059000000}"/>
    <cellStyle name="Normal 5 4" xfId="97" xr:uid="{00000000-0005-0000-0000-00005A000000}"/>
    <cellStyle name="Normal 6" xfId="11" xr:uid="{00000000-0005-0000-0000-00005B000000}"/>
    <cellStyle name="Normal 7" xfId="12" xr:uid="{00000000-0005-0000-0000-00005C000000}"/>
    <cellStyle name="Normal 7 2" xfId="67" xr:uid="{00000000-0005-0000-0000-00005D000000}"/>
    <cellStyle name="Normal 7 2 2" xfId="105" xr:uid="{00000000-0005-0000-0000-00005E000000}"/>
    <cellStyle name="Normal 7 3" xfId="68" xr:uid="{00000000-0005-0000-0000-00005F000000}"/>
    <cellStyle name="Normal 7 4" xfId="99" xr:uid="{00000000-0005-0000-0000-000060000000}"/>
    <cellStyle name="Normal 8" xfId="15" xr:uid="{00000000-0005-0000-0000-000061000000}"/>
    <cellStyle name="Normal 9" xfId="20" xr:uid="{00000000-0005-0000-0000-000062000000}"/>
    <cellStyle name="Normal 9 2" xfId="106" xr:uid="{00000000-0005-0000-0000-000063000000}"/>
    <cellStyle name="Percent" xfId="3" builtinId="5"/>
    <cellStyle name="Percent [2]" xfId="69" xr:uid="{00000000-0005-0000-0000-000065000000}"/>
    <cellStyle name="Percent 10" xfId="70" xr:uid="{00000000-0005-0000-0000-000066000000}"/>
    <cellStyle name="Percent 11" xfId="71" xr:uid="{00000000-0005-0000-0000-000067000000}"/>
    <cellStyle name="Percent 12" xfId="72" xr:uid="{00000000-0005-0000-0000-000068000000}"/>
    <cellStyle name="Percent 13" xfId="82" xr:uid="{00000000-0005-0000-0000-000069000000}"/>
    <cellStyle name="Percent 14" xfId="81" xr:uid="{00000000-0005-0000-0000-00006A000000}"/>
    <cellStyle name="Percent 15" xfId="88" xr:uid="{00000000-0005-0000-0000-00006B000000}"/>
    <cellStyle name="Percent 16" xfId="85" xr:uid="{00000000-0005-0000-0000-00006C000000}"/>
    <cellStyle name="Percent 17" xfId="89" xr:uid="{00000000-0005-0000-0000-00006D000000}"/>
    <cellStyle name="Percent 18" xfId="83" xr:uid="{00000000-0005-0000-0000-00006E000000}"/>
    <cellStyle name="Percent 19" xfId="87" xr:uid="{00000000-0005-0000-0000-00006F000000}"/>
    <cellStyle name="Percent 2" xfId="8" xr:uid="{00000000-0005-0000-0000-000070000000}"/>
    <cellStyle name="Percent 20" xfId="91" xr:uid="{00000000-0005-0000-0000-000071000000}"/>
    <cellStyle name="Percent 3" xfId="18" xr:uid="{00000000-0005-0000-0000-000072000000}"/>
    <cellStyle name="Percent 4" xfId="73" xr:uid="{00000000-0005-0000-0000-000073000000}"/>
    <cellStyle name="Percent 5" xfId="74" xr:uid="{00000000-0005-0000-0000-000074000000}"/>
    <cellStyle name="Percent 6" xfId="75" xr:uid="{00000000-0005-0000-0000-000075000000}"/>
    <cellStyle name="Percent 7" xfId="76" xr:uid="{00000000-0005-0000-0000-000076000000}"/>
    <cellStyle name="Percent 8" xfId="77" xr:uid="{00000000-0005-0000-0000-000077000000}"/>
    <cellStyle name="Percent 9" xfId="78" xr:uid="{00000000-0005-0000-0000-000078000000}"/>
    <cellStyle name="PSChar" xfId="19" xr:uid="{00000000-0005-0000-0000-000079000000}"/>
    <cellStyle name="subhead" xfId="79" xr:uid="{00000000-0005-0000-0000-00007A000000}"/>
  </cellStyles>
  <dxfs count="2">
    <dxf>
      <fill>
        <patternFill>
          <bgColor theme="8" tint="0.59996337778862885"/>
        </patternFill>
      </fill>
    </dxf>
    <dxf>
      <fill>
        <patternFill>
          <bgColor theme="8" tint="0.79998168889431442"/>
        </patternFill>
      </fill>
      <border>
        <left style="thin">
          <color theme="8" tint="0.59996337778862885"/>
        </left>
        <right style="thin">
          <color theme="8" tint="0.59996337778862885"/>
        </right>
        <top style="thin">
          <color theme="8" tint="0.59996337778862885"/>
        </top>
        <bottom style="thin">
          <color theme="8" tint="0.59996337778862885"/>
        </bottom>
      </border>
    </dxf>
  </dxfs>
  <tableStyles count="1" defaultTableStyle="TableStyleMedium9" defaultPivotStyle="PivotStyleLight16">
    <tableStyle name="Table Style 1" pivot="0" count="2" xr9:uid="{00000000-0011-0000-FFFF-FFFF00000000}">
      <tableStyleElement type="wholeTable" dxfId="1"/>
      <tableStyleElement type="headerRow" dxfId="0"/>
    </tableStyle>
  </tableStyles>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57150</xdr:colOff>
      <xdr:row>46</xdr:row>
      <xdr:rowOff>76199</xdr:rowOff>
    </xdr:from>
    <xdr:to>
      <xdr:col>7</xdr:col>
      <xdr:colOff>695739</xdr:colOff>
      <xdr:row>50</xdr:row>
      <xdr:rowOff>140804</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7150" y="7696199"/>
          <a:ext cx="5384524" cy="7272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b="0" i="0">
              <a:solidFill>
                <a:schemeClr val="dk1"/>
              </a:solidFill>
              <a:latin typeface="Arial" pitchFamily="34" charset="0"/>
              <a:ea typeface="+mn-ea"/>
              <a:cs typeface="Arial" pitchFamily="34" charset="0"/>
            </a:rPr>
            <a:t>Note 1: The</a:t>
          </a:r>
          <a:r>
            <a:rPr lang="en-US" sz="1000" b="0" i="0" baseline="0">
              <a:solidFill>
                <a:schemeClr val="dk1"/>
              </a:solidFill>
              <a:latin typeface="Arial" pitchFamily="34" charset="0"/>
              <a:ea typeface="+mn-ea"/>
              <a:cs typeface="Arial" pitchFamily="34" charset="0"/>
            </a:rPr>
            <a:t> July activity recorded above was calculated using only the billed portion of loads and the unbilled portion is recorded in August in order to adjust to a calandar year basis.</a:t>
          </a:r>
        </a:p>
        <a:p>
          <a:pPr marL="0" marR="0" indent="0" defTabSz="914400" eaLnBrk="1" fontAlgn="auto" latinLnBrk="0" hangingPunct="1">
            <a:lnSpc>
              <a:spcPct val="100000"/>
            </a:lnSpc>
            <a:spcBef>
              <a:spcPts val="0"/>
            </a:spcBef>
            <a:spcAft>
              <a:spcPts val="0"/>
            </a:spcAft>
            <a:buClrTx/>
            <a:buSzTx/>
            <a:buFontTx/>
            <a:buNone/>
            <a:tabLst/>
            <a:defRPr/>
          </a:pPr>
          <a:endParaRPr lang="en-US" sz="1000" b="0" i="0" baseline="0">
            <a:solidFill>
              <a:schemeClr val="dk1"/>
            </a:solidFill>
            <a:latin typeface="Arial" pitchFamily="34" charset="0"/>
            <a:ea typeface="+mn-ea"/>
            <a:cs typeface="Arial" pitchFamily="34" charset="0"/>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35</xdr:row>
      <xdr:rowOff>9525</xdr:rowOff>
    </xdr:from>
    <xdr:to>
      <xdr:col>13</xdr:col>
      <xdr:colOff>295275</xdr:colOff>
      <xdr:row>41</xdr:row>
      <xdr:rowOff>57150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57200" y="5676900"/>
          <a:ext cx="9944100" cy="101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The projected kilowatt-hours Included</a:t>
          </a:r>
          <a:r>
            <a:rPr lang="en-US" sz="1100" baseline="0"/>
            <a:t> above contain </a:t>
          </a:r>
          <a:r>
            <a:rPr lang="en-US" sz="1100"/>
            <a:t>both billed and unbilled customer loads. In past filings, prorations had been included for October and November to capture the unbilled loads in the following month when they are billed to customers.  Because both billed and unbilled are included above, no proration is needed.</a:t>
          </a:r>
          <a:r>
            <a:rPr lang="en-US" sz="1100" baseline="0"/>
            <a:t> </a:t>
          </a:r>
        </a:p>
        <a:p>
          <a:endParaRPr lang="en-US" sz="1100" baseline="0"/>
        </a:p>
        <a:p>
          <a:r>
            <a:rPr lang="en-US" sz="1100"/>
            <a:t>Note that either </a:t>
          </a:r>
          <a:r>
            <a:rPr lang="en-US" sz="1100" baseline="0"/>
            <a:t>method would inlcude one calandar year's worth of loads.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0"/>
  <sheetViews>
    <sheetView tabSelected="1" zoomScaleNormal="100" workbookViewId="0">
      <selection activeCell="I26" sqref="I26"/>
    </sheetView>
  </sheetViews>
  <sheetFormatPr defaultRowHeight="12.75"/>
  <cols>
    <col min="1" max="1" width="9.140625" style="26"/>
    <col min="2" max="2" width="3.140625" style="26" customWidth="1"/>
    <col min="3" max="5" width="9.140625" style="26"/>
    <col min="6" max="6" width="9.5703125" style="26" bestFit="1" customWidth="1"/>
    <col min="7" max="7" width="12.7109375" style="26" customWidth="1"/>
    <col min="8" max="8" width="13.85546875" style="26" bestFit="1" customWidth="1"/>
    <col min="9" max="9" width="16" style="26" bestFit="1" customWidth="1"/>
    <col min="10" max="16384" width="9.140625" style="26"/>
  </cols>
  <sheetData>
    <row r="1" spans="1:8">
      <c r="A1" s="179" t="s">
        <v>16</v>
      </c>
      <c r="B1" s="179"/>
      <c r="C1" s="179"/>
      <c r="D1" s="179"/>
      <c r="E1" s="179"/>
      <c r="F1" s="179"/>
      <c r="G1" s="179"/>
      <c r="H1" s="179"/>
    </row>
    <row r="2" spans="1:8">
      <c r="A2" s="179" t="s">
        <v>57</v>
      </c>
      <c r="B2" s="179"/>
      <c r="C2" s="179"/>
      <c r="D2" s="179"/>
      <c r="E2" s="179"/>
      <c r="F2" s="179"/>
      <c r="G2" s="179"/>
      <c r="H2" s="179"/>
    </row>
    <row r="3" spans="1:8">
      <c r="A3" s="179" t="s">
        <v>29</v>
      </c>
      <c r="B3" s="179"/>
      <c r="C3" s="179"/>
      <c r="D3" s="179"/>
      <c r="E3" s="179"/>
      <c r="F3" s="179"/>
      <c r="G3" s="179"/>
      <c r="H3" s="179"/>
    </row>
    <row r="4" spans="1:8">
      <c r="A4" s="180" t="s">
        <v>111</v>
      </c>
      <c r="B4" s="180"/>
      <c r="C4" s="180"/>
      <c r="D4" s="180"/>
      <c r="E4" s="180"/>
      <c r="F4" s="180"/>
      <c r="G4" s="180"/>
      <c r="H4" s="180"/>
    </row>
    <row r="7" spans="1:8">
      <c r="A7" s="26" t="s">
        <v>112</v>
      </c>
      <c r="G7" s="27">
        <f>-'Projected Benefits'!F7</f>
        <v>-9838100.9578015581</v>
      </c>
      <c r="H7" s="27"/>
    </row>
    <row r="8" spans="1:8">
      <c r="H8" s="27"/>
    </row>
    <row r="9" spans="1:8">
      <c r="A9" s="35" t="s">
        <v>90</v>
      </c>
      <c r="G9" s="7">
        <f>'Washington ResX Balances'!F38</f>
        <v>549470.75401378633</v>
      </c>
      <c r="H9" s="27"/>
    </row>
    <row r="10" spans="1:8">
      <c r="G10" s="35"/>
      <c r="H10" s="27"/>
    </row>
    <row r="11" spans="1:8">
      <c r="A11" s="26" t="s">
        <v>32</v>
      </c>
      <c r="G11" s="47">
        <f>G7+G9</f>
        <v>-9288630.203787772</v>
      </c>
      <c r="H11" s="27"/>
    </row>
    <row r="12" spans="1:8">
      <c r="G12" s="35"/>
      <c r="H12" s="27"/>
    </row>
    <row r="13" spans="1:8">
      <c r="A13" s="26" t="s">
        <v>56</v>
      </c>
      <c r="G13" s="132">
        <v>0.95563100000000001</v>
      </c>
      <c r="H13" s="29"/>
    </row>
    <row r="14" spans="1:8">
      <c r="G14" s="35"/>
      <c r="H14" s="27"/>
    </row>
    <row r="15" spans="1:8">
      <c r="A15" s="26" t="s">
        <v>33</v>
      </c>
      <c r="G15" s="47">
        <f>G11/G13</f>
        <v>-9719892.0962042585</v>
      </c>
      <c r="H15" s="27"/>
    </row>
    <row r="16" spans="1:8">
      <c r="G16" s="35"/>
      <c r="H16" s="27"/>
    </row>
    <row r="17" spans="1:10">
      <c r="A17" s="26" t="s">
        <v>113</v>
      </c>
      <c r="G17" s="30">
        <f>'Projected kWhs'!N16*1000</f>
        <v>2517503428.7777643</v>
      </c>
      <c r="H17" s="27"/>
    </row>
    <row r="18" spans="1:10">
      <c r="H18" s="27"/>
    </row>
    <row r="19" spans="1:10" ht="13.5" thickBot="1">
      <c r="A19" s="169" t="s">
        <v>34</v>
      </c>
      <c r="B19" s="169"/>
      <c r="C19" s="169"/>
      <c r="D19" s="169"/>
      <c r="E19" s="169"/>
      <c r="F19" s="169"/>
      <c r="G19" s="170">
        <f>ROUND(G15/G17,5)</f>
        <v>-3.8600000000000001E-3</v>
      </c>
      <c r="H19" s="31"/>
    </row>
    <row r="20" spans="1:10" ht="13.5" thickTop="1">
      <c r="H20" s="27"/>
    </row>
    <row r="21" spans="1:10">
      <c r="H21" s="27"/>
    </row>
    <row r="22" spans="1:10">
      <c r="H22" s="27"/>
    </row>
    <row r="23" spans="1:10">
      <c r="H23" s="27"/>
    </row>
    <row r="24" spans="1:10">
      <c r="A24" s="32" t="s">
        <v>35</v>
      </c>
      <c r="H24" s="27"/>
    </row>
    <row r="25" spans="1:10">
      <c r="A25" s="26" t="s">
        <v>36</v>
      </c>
      <c r="G25" s="39">
        <f>ROUND(G19,5)</f>
        <v>-3.8600000000000001E-3</v>
      </c>
      <c r="H25" s="31"/>
      <c r="I25" s="27">
        <f>G17*G25</f>
        <v>-9717563.23508217</v>
      </c>
    </row>
    <row r="26" spans="1:10">
      <c r="A26" s="26" t="s">
        <v>37</v>
      </c>
      <c r="G26" s="33">
        <f>'Projected kWhs'!C25</f>
        <v>-4.1399999999999996E-3</v>
      </c>
      <c r="H26" s="31"/>
      <c r="I26" s="27">
        <f>G17*G26</f>
        <v>-10422464.195139943</v>
      </c>
    </row>
    <row r="27" spans="1:10" ht="13.5" thickBot="1">
      <c r="A27" s="26" t="s">
        <v>38</v>
      </c>
      <c r="G27" s="34">
        <f>G25-G26</f>
        <v>2.7999999999999943E-4</v>
      </c>
      <c r="H27" s="31"/>
      <c r="I27" s="27">
        <f>G17*G27</f>
        <v>704900.96005777258</v>
      </c>
    </row>
    <row r="28" spans="1:10" ht="13.5" thickTop="1">
      <c r="H28" s="27"/>
    </row>
    <row r="29" spans="1:10">
      <c r="A29" s="35" t="s">
        <v>108</v>
      </c>
      <c r="E29" s="35"/>
      <c r="F29" s="35"/>
      <c r="G29" s="35"/>
      <c r="H29" s="27"/>
    </row>
    <row r="30" spans="1:10">
      <c r="A30" s="26" t="s">
        <v>39</v>
      </c>
      <c r="E30" s="35"/>
      <c r="F30" s="35"/>
      <c r="G30" s="36">
        <v>9</v>
      </c>
      <c r="H30" s="37"/>
      <c r="I30" s="172">
        <v>530696000</v>
      </c>
      <c r="J30" s="26" t="s">
        <v>110</v>
      </c>
    </row>
    <row r="31" spans="1:10">
      <c r="A31" s="26" t="s">
        <v>66</v>
      </c>
      <c r="E31" s="35">
        <v>800</v>
      </c>
      <c r="F31" s="38">
        <v>7.8460000000000002E-2</v>
      </c>
      <c r="G31" s="36">
        <f>ROUND(E31*F31,2)</f>
        <v>62.77</v>
      </c>
      <c r="H31" s="31"/>
      <c r="I31" s="40">
        <f>I27/I30</f>
        <v>1.3282575336120352E-3</v>
      </c>
      <c r="J31" s="26" t="s">
        <v>109</v>
      </c>
    </row>
    <row r="32" spans="1:10">
      <c r="A32" s="26" t="s">
        <v>67</v>
      </c>
      <c r="E32" s="35">
        <v>118</v>
      </c>
      <c r="F32" s="38">
        <v>9.1700000000000004E-2</v>
      </c>
      <c r="G32" s="36">
        <f>ROUND(E32*F32,2)</f>
        <v>10.82</v>
      </c>
      <c r="H32" s="31"/>
    </row>
    <row r="33" spans="1:8">
      <c r="A33" s="26" t="s">
        <v>15</v>
      </c>
      <c r="E33" s="35"/>
      <c r="F33" s="38"/>
      <c r="G33" s="36">
        <f>SUM(G30:G32)</f>
        <v>82.59</v>
      </c>
      <c r="H33" s="31"/>
    </row>
    <row r="34" spans="1:8">
      <c r="A34" s="26" t="s">
        <v>40</v>
      </c>
      <c r="E34" s="35"/>
      <c r="F34" s="35"/>
      <c r="G34" s="36">
        <f>ROUND(G33,2)</f>
        <v>82.59</v>
      </c>
      <c r="H34" s="37"/>
    </row>
    <row r="35" spans="1:8">
      <c r="E35" s="28"/>
      <c r="F35" s="35"/>
      <c r="H35" s="27"/>
    </row>
    <row r="36" spans="1:8">
      <c r="A36" s="26" t="s">
        <v>34</v>
      </c>
      <c r="C36" s="101" t="str">
        <f>IF(F36&lt;0,"Decrease","Increase")</f>
        <v>Increase</v>
      </c>
      <c r="E36" s="35">
        <f>SUM(E31:E35)</f>
        <v>918</v>
      </c>
      <c r="F36" s="39">
        <f>G27</f>
        <v>2.7999999999999943E-4</v>
      </c>
      <c r="G36" s="37">
        <f>E36*F36</f>
        <v>0.25703999999999949</v>
      </c>
      <c r="H36" s="37"/>
    </row>
    <row r="37" spans="1:8">
      <c r="E37" s="35"/>
      <c r="F37" s="35"/>
      <c r="H37" s="37"/>
    </row>
    <row r="38" spans="1:8">
      <c r="B38" s="100" t="s">
        <v>78</v>
      </c>
      <c r="C38" s="101" t="str">
        <f>IF(F36&lt;0,"Decrease","Increase")</f>
        <v>Increase</v>
      </c>
      <c r="E38" s="35"/>
      <c r="F38" s="35"/>
      <c r="G38" s="45">
        <f>G36/G33</f>
        <v>3.1122411914275274E-3</v>
      </c>
      <c r="H38" s="40"/>
    </row>
    <row r="39" spans="1:8">
      <c r="E39" s="35"/>
      <c r="F39" s="35"/>
    </row>
    <row r="40" spans="1:8">
      <c r="E40" s="35"/>
      <c r="F40" s="35"/>
      <c r="G40" s="37"/>
    </row>
  </sheetData>
  <mergeCells count="4">
    <mergeCell ref="A2:H2"/>
    <mergeCell ref="A1:H1"/>
    <mergeCell ref="A3:H3"/>
    <mergeCell ref="A4:H4"/>
  </mergeCells>
  <pageMargins left="1.01" right="0.7" top="0.75" bottom="0.75" header="0.3" footer="0.3"/>
  <pageSetup orientation="portrait" r:id="rId1"/>
  <headerFooter>
    <oddFooter>&amp;L&amp;A</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J14"/>
  <sheetViews>
    <sheetView showGridLines="0" workbookViewId="0">
      <selection activeCell="H16" sqref="H16"/>
    </sheetView>
  </sheetViews>
  <sheetFormatPr defaultRowHeight="15.75"/>
  <cols>
    <col min="1" max="4" width="9.140625" style="155"/>
    <col min="5" max="5" width="2.7109375" style="155" customWidth="1"/>
    <col min="6" max="6" width="17.140625" style="155" bestFit="1" customWidth="1"/>
    <col min="7" max="7" width="4.140625" style="155" customWidth="1"/>
    <col min="8" max="8" width="17.140625" style="155" bestFit="1" customWidth="1"/>
    <col min="9" max="9" width="4" style="155" customWidth="1"/>
    <col min="10" max="10" width="17.140625" style="155" bestFit="1" customWidth="1"/>
    <col min="11" max="16384" width="9.140625" style="155"/>
  </cols>
  <sheetData>
    <row r="6" spans="1:10">
      <c r="F6" s="156">
        <v>2021</v>
      </c>
      <c r="G6" s="156"/>
      <c r="H6" s="156">
        <v>2020</v>
      </c>
    </row>
    <row r="7" spans="1:10">
      <c r="F7" s="156" t="s">
        <v>104</v>
      </c>
      <c r="G7" s="156"/>
      <c r="H7" s="156" t="s">
        <v>97</v>
      </c>
      <c r="I7" s="156"/>
      <c r="J7" s="156" t="s">
        <v>98</v>
      </c>
    </row>
    <row r="8" spans="1:10">
      <c r="A8" s="155" t="s">
        <v>101</v>
      </c>
      <c r="F8" s="157">
        <f>-'Projected Benefits'!F7</f>
        <v>-9838100.9578015581</v>
      </c>
      <c r="G8" s="157"/>
      <c r="H8" s="157">
        <v>-9838101</v>
      </c>
      <c r="J8" s="158">
        <f>F8-H8</f>
        <v>4.2198441922664642E-2</v>
      </c>
    </row>
    <row r="9" spans="1:10">
      <c r="A9" s="155" t="s">
        <v>103</v>
      </c>
      <c r="F9" s="157">
        <f>'Proposed ResEx Rate'!G9</f>
        <v>549470.75401378633</v>
      </c>
      <c r="G9" s="157"/>
      <c r="H9" s="157">
        <v>41667</v>
      </c>
      <c r="J9" s="158">
        <f t="shared" ref="J9:J11" si="0">F9-H9</f>
        <v>507803.75401378633</v>
      </c>
    </row>
    <row r="10" spans="1:10">
      <c r="A10" s="155" t="s">
        <v>99</v>
      </c>
      <c r="F10" s="159">
        <f>F11-F9-F8</f>
        <v>-431261.89241648652</v>
      </c>
      <c r="G10" s="158"/>
      <c r="H10" s="160">
        <f>H11-H9-H8</f>
        <v>-479657</v>
      </c>
      <c r="J10" s="159">
        <f t="shared" si="0"/>
        <v>48395.107583513483</v>
      </c>
    </row>
    <row r="11" spans="1:10">
      <c r="A11" s="161" t="s">
        <v>100</v>
      </c>
      <c r="F11" s="157">
        <f>'Proposed ResEx Rate'!G15</f>
        <v>-9719892.0962042585</v>
      </c>
      <c r="G11" s="157"/>
      <c r="H11" s="157">
        <v>-10276091</v>
      </c>
      <c r="J11" s="158">
        <f t="shared" si="0"/>
        <v>556198.9037957415</v>
      </c>
    </row>
    <row r="13" spans="1:10">
      <c r="J13" s="158"/>
    </row>
    <row r="14" spans="1:10">
      <c r="J14" s="158">
        <f>J11-'Proposed ResEx Rate'!I27</f>
        <v>-148702.05626203108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3"/>
  <sheetViews>
    <sheetView topLeftCell="A16" zoomScale="115" zoomScaleNormal="115" workbookViewId="0">
      <selection activeCell="H27" sqref="H27"/>
    </sheetView>
  </sheetViews>
  <sheetFormatPr defaultRowHeight="12.75"/>
  <cols>
    <col min="1" max="1" width="7.7109375" customWidth="1"/>
    <col min="2" max="2" width="10.140625" bestFit="1" customWidth="1"/>
    <col min="6" max="6" width="16.5703125" bestFit="1" customWidth="1"/>
    <col min="8" max="8" width="11.28515625" bestFit="1" customWidth="1"/>
    <col min="11" max="11" width="11.7109375" bestFit="1" customWidth="1"/>
    <col min="12" max="12" width="10.7109375" bestFit="1" customWidth="1"/>
    <col min="14" max="14" width="11.140625" bestFit="1" customWidth="1"/>
  </cols>
  <sheetData>
    <row r="1" spans="1:8">
      <c r="A1" s="181" t="s">
        <v>16</v>
      </c>
      <c r="B1" s="181"/>
      <c r="C1" s="181"/>
      <c r="D1" s="181"/>
      <c r="E1" s="181"/>
      <c r="F1" s="181"/>
      <c r="G1" s="181"/>
      <c r="H1" s="181"/>
    </row>
    <row r="2" spans="1:8">
      <c r="A2" s="181" t="s">
        <v>58</v>
      </c>
      <c r="B2" s="181"/>
      <c r="C2" s="181"/>
      <c r="D2" s="181"/>
      <c r="E2" s="181"/>
      <c r="F2" s="181"/>
      <c r="G2" s="181"/>
      <c r="H2" s="181"/>
    </row>
    <row r="3" spans="1:8">
      <c r="A3" s="181" t="s">
        <v>17</v>
      </c>
      <c r="B3" s="181"/>
      <c r="C3" s="181"/>
      <c r="D3" s="181"/>
      <c r="E3" s="181"/>
      <c r="F3" s="181"/>
      <c r="G3" s="181"/>
      <c r="H3" s="181"/>
    </row>
    <row r="5" spans="1:8">
      <c r="F5" s="9"/>
    </row>
    <row r="6" spans="1:8">
      <c r="A6" t="s">
        <v>18</v>
      </c>
      <c r="B6" s="3">
        <v>43982</v>
      </c>
      <c r="C6" t="s">
        <v>24</v>
      </c>
      <c r="F6" s="149">
        <v>202722.99</v>
      </c>
      <c r="H6" s="165">
        <v>2.5999999999999999E-3</v>
      </c>
    </row>
    <row r="7" spans="1:8">
      <c r="B7" t="s">
        <v>41</v>
      </c>
      <c r="F7" s="9">
        <v>-782634.19</v>
      </c>
      <c r="H7" s="178"/>
    </row>
    <row r="8" spans="1:8">
      <c r="B8" t="s">
        <v>20</v>
      </c>
      <c r="F8" s="63">
        <v>649051.80000000005</v>
      </c>
    </row>
    <row r="9" spans="1:8">
      <c r="B9" t="s">
        <v>21</v>
      </c>
      <c r="F9" s="64">
        <v>62.51</v>
      </c>
    </row>
    <row r="10" spans="1:8">
      <c r="A10" t="s">
        <v>18</v>
      </c>
      <c r="B10" s="3">
        <v>44012</v>
      </c>
      <c r="C10" t="s">
        <v>24</v>
      </c>
      <c r="F10" s="9">
        <f>SUM(F6:F9)</f>
        <v>69203.110000000088</v>
      </c>
    </row>
    <row r="11" spans="1:8">
      <c r="B11" t="s">
        <v>19</v>
      </c>
      <c r="F11" s="9">
        <v>-656070.55000000005</v>
      </c>
    </row>
    <row r="12" spans="1:8">
      <c r="B12" t="s">
        <v>20</v>
      </c>
      <c r="F12" s="63">
        <v>700520.61</v>
      </c>
      <c r="G12" s="5"/>
    </row>
    <row r="13" spans="1:8">
      <c r="B13" t="s">
        <v>21</v>
      </c>
      <c r="F13" s="64">
        <f>(F10*H6)/12</f>
        <v>14.994007166666684</v>
      </c>
      <c r="G13" s="5"/>
      <c r="H13" s="24"/>
    </row>
    <row r="14" spans="1:8">
      <c r="A14" t="s">
        <v>18</v>
      </c>
      <c r="B14" s="3">
        <v>44043</v>
      </c>
      <c r="C14" s="5" t="s">
        <v>24</v>
      </c>
      <c r="F14" s="9">
        <f>SUM(F10:F13)</f>
        <v>113668.16400716671</v>
      </c>
      <c r="G14" s="5"/>
    </row>
    <row r="15" spans="1:8">
      <c r="B15" t="s">
        <v>22</v>
      </c>
      <c r="F15" s="9">
        <v>-616745.53</v>
      </c>
      <c r="G15" s="5"/>
      <c r="H15" s="22"/>
    </row>
    <row r="16" spans="1:8" s="101" customFormat="1">
      <c r="B16" s="101" t="s">
        <v>92</v>
      </c>
      <c r="F16" s="9">
        <f>-'July Unbilled'!D22</f>
        <v>441415.50425846875</v>
      </c>
      <c r="G16" s="5"/>
      <c r="H16" s="22"/>
    </row>
    <row r="17" spans="1:17">
      <c r="B17" t="s">
        <v>20</v>
      </c>
      <c r="F17" s="63">
        <f>-'Projected kWhs'!B28*1000</f>
        <v>761730.82517673681</v>
      </c>
      <c r="G17" s="5"/>
      <c r="H17" s="9"/>
      <c r="I17" s="5"/>
      <c r="K17" s="4"/>
      <c r="N17" s="4"/>
      <c r="P17" s="4"/>
      <c r="Q17" s="4"/>
    </row>
    <row r="18" spans="1:17">
      <c r="B18" t="s">
        <v>21</v>
      </c>
      <c r="F18" s="64">
        <f>(F14*H6)/12</f>
        <v>24.628102201552782</v>
      </c>
      <c r="G18" s="5"/>
      <c r="H18" s="9"/>
    </row>
    <row r="19" spans="1:17">
      <c r="A19" t="s">
        <v>18</v>
      </c>
      <c r="B19" s="3">
        <v>44074</v>
      </c>
      <c r="C19" s="101" t="s">
        <v>25</v>
      </c>
      <c r="F19" s="9">
        <f>SUM(F14:F18)</f>
        <v>700093.59154457366</v>
      </c>
      <c r="G19" s="5"/>
      <c r="H19" s="22"/>
    </row>
    <row r="20" spans="1:17">
      <c r="B20" t="s">
        <v>23</v>
      </c>
      <c r="F20" s="9">
        <v>-683616.21</v>
      </c>
      <c r="G20" s="5"/>
      <c r="H20" s="22"/>
    </row>
    <row r="21" spans="1:17">
      <c r="B21" t="s">
        <v>20</v>
      </c>
      <c r="F21" s="63">
        <f>-'Projected kWhs'!C28*1000</f>
        <v>634607.09346041689</v>
      </c>
      <c r="G21" s="8" t="s">
        <v>27</v>
      </c>
      <c r="H21" s="22"/>
    </row>
    <row r="22" spans="1:17">
      <c r="B22" t="s">
        <v>21</v>
      </c>
      <c r="F22" s="64">
        <f>(F19*H6)/12</f>
        <v>151.68694483465762</v>
      </c>
      <c r="G22" s="5"/>
      <c r="H22" s="22"/>
    </row>
    <row r="23" spans="1:17">
      <c r="A23" t="s">
        <v>18</v>
      </c>
      <c r="B23" s="3">
        <v>44104</v>
      </c>
      <c r="C23" t="s">
        <v>25</v>
      </c>
      <c r="F23" s="9">
        <f>SUM(F19:F22)</f>
        <v>651236.16194982524</v>
      </c>
      <c r="G23" s="5"/>
      <c r="H23" s="22"/>
    </row>
    <row r="24" spans="1:17">
      <c r="B24" t="s">
        <v>26</v>
      </c>
      <c r="F24" s="9">
        <v>-823336.99</v>
      </c>
      <c r="G24" s="5"/>
      <c r="H24" s="22"/>
    </row>
    <row r="25" spans="1:17">
      <c r="B25" t="s">
        <v>20</v>
      </c>
      <c r="F25" s="63">
        <f>-'Projected kWhs'!D28*1000</f>
        <v>721430.48089553916</v>
      </c>
      <c r="G25" s="8" t="s">
        <v>27</v>
      </c>
      <c r="H25" s="22"/>
    </row>
    <row r="26" spans="1:17">
      <c r="B26" t="s">
        <v>21</v>
      </c>
      <c r="F26" s="64">
        <f>(F23*H6)/12</f>
        <v>141.10116842246214</v>
      </c>
      <c r="G26" s="5"/>
      <c r="H26" s="22"/>
    </row>
    <row r="27" spans="1:17">
      <c r="A27" s="101" t="s">
        <v>18</v>
      </c>
      <c r="B27" s="3">
        <v>44135</v>
      </c>
      <c r="C27" s="101" t="s">
        <v>25</v>
      </c>
      <c r="F27" s="148">
        <f>SUM(F23:F26)</f>
        <v>549470.75401378691</v>
      </c>
      <c r="G27" s="8"/>
      <c r="H27" s="22"/>
    </row>
    <row r="28" spans="1:17">
      <c r="F28" s="4"/>
      <c r="H28" s="22"/>
    </row>
    <row r="29" spans="1:17">
      <c r="A29" t="s">
        <v>28</v>
      </c>
      <c r="F29" s="4"/>
      <c r="H29" s="22"/>
    </row>
    <row r="30" spans="1:17">
      <c r="A30" t="s">
        <v>105</v>
      </c>
      <c r="F30" s="4"/>
      <c r="H30" s="22"/>
    </row>
    <row r="31" spans="1:17">
      <c r="F31" s="4"/>
    </row>
    <row r="32" spans="1:17">
      <c r="A32" s="1" t="s">
        <v>30</v>
      </c>
      <c r="F32" s="4"/>
    </row>
    <row r="33" spans="1:6">
      <c r="A33" t="s">
        <v>122</v>
      </c>
      <c r="F33" s="147">
        <f>F6</f>
        <v>202722.99</v>
      </c>
    </row>
    <row r="34" spans="1:6">
      <c r="A34" t="s">
        <v>31</v>
      </c>
      <c r="F34" s="22">
        <f>F20+F24+F15+F11+F7</f>
        <v>-3562403.47</v>
      </c>
    </row>
    <row r="35" spans="1:6">
      <c r="A35" t="s">
        <v>68</v>
      </c>
      <c r="F35" s="2">
        <f>F16</f>
        <v>441415.50425846875</v>
      </c>
    </row>
    <row r="36" spans="1:6">
      <c r="A36" t="s">
        <v>20</v>
      </c>
      <c r="F36" s="2">
        <f>F21+F25+F17+F12+F8</f>
        <v>3467340.8095326927</v>
      </c>
    </row>
    <row r="37" spans="1:6">
      <c r="A37" t="s">
        <v>21</v>
      </c>
      <c r="F37" s="146">
        <f>F22+F26+F18+F13+F9</f>
        <v>394.92022262533925</v>
      </c>
    </row>
    <row r="38" spans="1:6">
      <c r="A38" t="s">
        <v>18</v>
      </c>
      <c r="F38" s="147">
        <f>SUM(F33:F37)</f>
        <v>549470.75401378633</v>
      </c>
    </row>
    <row r="39" spans="1:6">
      <c r="F39" s="4"/>
    </row>
    <row r="43" spans="1:6">
      <c r="A43" s="101"/>
    </row>
  </sheetData>
  <mergeCells count="3">
    <mergeCell ref="A1:H1"/>
    <mergeCell ref="A2:H2"/>
    <mergeCell ref="A3:H3"/>
  </mergeCells>
  <pageMargins left="1.01" right="0.7" top="0.75" bottom="0.75" header="0.3" footer="0.3"/>
  <pageSetup orientation="portrait" r:id="rId1"/>
  <headerFooter>
    <oddFooter>&amp;L&amp;A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29"/>
  <sheetViews>
    <sheetView view="pageLayout" zoomScaleNormal="100" workbookViewId="0">
      <selection activeCell="F13" sqref="F13"/>
    </sheetView>
  </sheetViews>
  <sheetFormatPr defaultRowHeight="12.75"/>
  <cols>
    <col min="1" max="2" width="9.140625" style="26"/>
    <col min="3" max="3" width="6.85546875" style="26" customWidth="1"/>
    <col min="4" max="4" width="14" style="26" bestFit="1" customWidth="1"/>
    <col min="5" max="5" width="8.28515625" style="26" bestFit="1" customWidth="1"/>
    <col min="6" max="6" width="12.28515625" style="26" customWidth="1"/>
    <col min="7" max="7" width="12.7109375" style="26" bestFit="1" customWidth="1"/>
    <col min="8" max="8" width="8.28515625" style="26" bestFit="1" customWidth="1"/>
    <col min="9" max="9" width="10.140625" style="26" bestFit="1" customWidth="1"/>
    <col min="10" max="10" width="12.7109375" style="26" bestFit="1" customWidth="1"/>
    <col min="11" max="11" width="5.7109375" style="26" bestFit="1" customWidth="1"/>
    <col min="12" max="12" width="12.28515625" style="26" customWidth="1"/>
    <col min="13" max="16384" width="9.140625" style="26"/>
  </cols>
  <sheetData>
    <row r="1" spans="1:14">
      <c r="A1" s="179" t="s">
        <v>16</v>
      </c>
      <c r="B1" s="179"/>
      <c r="C1" s="179"/>
      <c r="D1" s="179"/>
      <c r="E1" s="179"/>
      <c r="F1" s="179"/>
      <c r="G1" s="179"/>
      <c r="H1" s="179"/>
      <c r="I1" s="179"/>
      <c r="J1" s="179"/>
      <c r="K1" s="179"/>
      <c r="L1" s="68"/>
      <c r="M1" s="68"/>
      <c r="N1" s="68"/>
    </row>
    <row r="2" spans="1:14" ht="14.25" customHeight="1">
      <c r="A2" s="179" t="s">
        <v>42</v>
      </c>
      <c r="B2" s="179"/>
      <c r="C2" s="179"/>
      <c r="D2" s="179"/>
      <c r="E2" s="179"/>
      <c r="F2" s="179"/>
      <c r="G2" s="179"/>
      <c r="H2" s="179"/>
      <c r="I2" s="179"/>
      <c r="J2" s="179"/>
      <c r="K2" s="179"/>
      <c r="L2" s="68"/>
      <c r="M2" s="68"/>
      <c r="N2" s="68"/>
    </row>
    <row r="4" spans="1:14">
      <c r="G4" s="25"/>
      <c r="H4" s="41"/>
      <c r="I4" s="42"/>
      <c r="J4" s="41"/>
      <c r="K4" s="41"/>
      <c r="L4" s="41"/>
    </row>
    <row r="5" spans="1:14">
      <c r="G5" s="41"/>
      <c r="H5" s="41"/>
      <c r="I5" s="41"/>
      <c r="J5" s="41"/>
      <c r="K5" s="41"/>
    </row>
    <row r="6" spans="1:14">
      <c r="A6" s="65" t="s">
        <v>114</v>
      </c>
      <c r="D6" s="43" t="s">
        <v>65</v>
      </c>
      <c r="E6" s="43" t="s">
        <v>3</v>
      </c>
      <c r="F6" s="43" t="s">
        <v>44</v>
      </c>
      <c r="J6" s="41"/>
      <c r="K6" s="41"/>
    </row>
    <row r="7" spans="1:14">
      <c r="A7" s="26" t="s">
        <v>13</v>
      </c>
      <c r="D7" s="44">
        <f>'Load Calculation'!E24</f>
        <v>2655931363.8036761</v>
      </c>
      <c r="E7" s="45">
        <f>D7/D9</f>
        <v>0.67484148172403713</v>
      </c>
      <c r="F7" s="27">
        <f>F9*E7</f>
        <v>9838100.9578015581</v>
      </c>
    </row>
    <row r="8" spans="1:14">
      <c r="A8" s="26" t="s">
        <v>14</v>
      </c>
      <c r="D8" s="30">
        <f>'Load Calculation'!F24</f>
        <v>1279706020.2801998</v>
      </c>
      <c r="E8" s="46">
        <f>D8/D9</f>
        <v>0.32515851827596293</v>
      </c>
      <c r="F8" s="7">
        <f>F9*E8</f>
        <v>4740287.040321907</v>
      </c>
    </row>
    <row r="9" spans="1:14">
      <c r="A9" s="26" t="s">
        <v>15</v>
      </c>
      <c r="D9" s="6">
        <f>D7+D8</f>
        <v>3935637384.0838757</v>
      </c>
      <c r="E9" s="45">
        <f>E7+E8</f>
        <v>1</v>
      </c>
      <c r="F9" s="47">
        <f>D17</f>
        <v>14578387.998123465</v>
      </c>
    </row>
    <row r="12" spans="1:14">
      <c r="A12" s="26" t="s">
        <v>11</v>
      </c>
      <c r="C12" s="48"/>
      <c r="D12" s="134">
        <v>67.599999999999994</v>
      </c>
    </row>
    <row r="13" spans="1:14">
      <c r="A13" s="35" t="s">
        <v>12</v>
      </c>
      <c r="C13" s="50"/>
      <c r="D13" s="135">
        <v>63.895800000000001</v>
      </c>
      <c r="E13" s="35"/>
    </row>
    <row r="14" spans="1:14">
      <c r="C14" s="50"/>
      <c r="D14" s="49">
        <f>D12-D13</f>
        <v>3.7041999999999931</v>
      </c>
      <c r="E14" s="35"/>
    </row>
    <row r="15" spans="1:14">
      <c r="C15" s="50"/>
      <c r="D15" s="49"/>
      <c r="E15" s="35"/>
    </row>
    <row r="16" spans="1:14">
      <c r="A16" s="26" t="s">
        <v>54</v>
      </c>
      <c r="C16" s="50"/>
      <c r="D16" s="51">
        <f>D9</f>
        <v>3935637384.0838757</v>
      </c>
      <c r="E16" s="35"/>
    </row>
    <row r="17" spans="1:18">
      <c r="A17" s="26" t="s">
        <v>55</v>
      </c>
      <c r="C17" s="52"/>
      <c r="D17" s="51">
        <f>D14*D16/1000</f>
        <v>14578387.998123465</v>
      </c>
      <c r="E17" s="35"/>
      <c r="P17" s="53"/>
      <c r="Q17" s="53"/>
      <c r="R17" s="53"/>
    </row>
    <row r="18" spans="1:18">
      <c r="E18" s="35"/>
      <c r="P18" s="54"/>
      <c r="Q18" s="54"/>
      <c r="R18" s="54"/>
    </row>
    <row r="19" spans="1:18">
      <c r="E19" s="35"/>
      <c r="P19" s="54"/>
      <c r="Q19" s="54"/>
      <c r="R19" s="54"/>
    </row>
    <row r="20" spans="1:18">
      <c r="A20" s="26" t="s">
        <v>106</v>
      </c>
      <c r="C20" s="48"/>
      <c r="D20" s="35"/>
      <c r="E20" s="35"/>
      <c r="P20" s="54"/>
      <c r="Q20" s="54"/>
      <c r="R20" s="54"/>
    </row>
    <row r="21" spans="1:18">
      <c r="C21" s="50"/>
      <c r="D21" s="35"/>
      <c r="E21" s="35"/>
      <c r="P21" s="55"/>
      <c r="Q21" s="55"/>
      <c r="R21" s="55"/>
    </row>
    <row r="22" spans="1:18">
      <c r="C22" s="50"/>
      <c r="D22" s="35"/>
      <c r="E22" s="35"/>
    </row>
    <row r="23" spans="1:18">
      <c r="C23" s="48"/>
      <c r="D23" s="35"/>
      <c r="E23" s="35"/>
    </row>
    <row r="24" spans="1:18">
      <c r="C24" s="50"/>
      <c r="D24" s="35"/>
      <c r="E24" s="35"/>
    </row>
    <row r="25" spans="1:18">
      <c r="C25" s="52"/>
      <c r="D25" s="35"/>
      <c r="E25" s="35"/>
    </row>
    <row r="26" spans="1:18">
      <c r="C26" s="52"/>
      <c r="D26" s="35"/>
      <c r="E26" s="35"/>
    </row>
    <row r="27" spans="1:18">
      <c r="C27" s="48"/>
      <c r="D27" s="35"/>
      <c r="E27" s="35"/>
    </row>
    <row r="28" spans="1:18">
      <c r="C28" s="48"/>
      <c r="D28" s="35"/>
      <c r="E28" s="35"/>
    </row>
    <row r="29" spans="1:18">
      <c r="C29" s="35"/>
      <c r="D29" s="35"/>
      <c r="E29" s="35"/>
    </row>
  </sheetData>
  <mergeCells count="2">
    <mergeCell ref="A1:K1"/>
    <mergeCell ref="A2:K2"/>
  </mergeCells>
  <pageMargins left="1.01" right="0.7" top="0.75" bottom="0.75" header="0.3" footer="0.3"/>
  <pageSetup orientation="landscape" r:id="rId1"/>
  <headerFooter>
    <oddFooter>&amp;L&amp;A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82"/>
  <sheetViews>
    <sheetView zoomScaleNormal="100" workbookViewId="0">
      <selection activeCell="M31" sqref="M31"/>
    </sheetView>
  </sheetViews>
  <sheetFormatPr defaultRowHeight="12.75"/>
  <cols>
    <col min="1" max="1" width="13.140625" style="26" bestFit="1" customWidth="1"/>
    <col min="2" max="2" width="11.7109375" style="26" customWidth="1"/>
    <col min="3" max="3" width="11.5703125" style="26" bestFit="1" customWidth="1"/>
    <col min="4" max="4" width="12.28515625" style="26" bestFit="1" customWidth="1"/>
    <col min="5" max="5" width="11.28515625" style="26" bestFit="1" customWidth="1"/>
    <col min="6" max="7" width="11.85546875" style="26" bestFit="1" customWidth="1"/>
    <col min="8" max="13" width="11.42578125" style="26" bestFit="1" customWidth="1"/>
    <col min="14" max="14" width="12.85546875" style="26" bestFit="1" customWidth="1"/>
    <col min="15" max="16" width="11.28515625" style="26" bestFit="1" customWidth="1"/>
    <col min="17" max="17" width="9.140625" style="26"/>
    <col min="18" max="19" width="16" style="26" bestFit="1" customWidth="1"/>
    <col min="20" max="20" width="14" style="26" bestFit="1" customWidth="1"/>
    <col min="21" max="16384" width="9.140625" style="26"/>
  </cols>
  <sheetData>
    <row r="1" spans="1:20">
      <c r="A1" s="179" t="s">
        <v>2</v>
      </c>
      <c r="B1" s="179"/>
      <c r="C1" s="179"/>
      <c r="D1" s="179"/>
      <c r="E1" s="179"/>
      <c r="F1" s="179"/>
      <c r="G1" s="179"/>
      <c r="H1" s="179"/>
      <c r="I1" s="179"/>
      <c r="J1" s="179"/>
      <c r="K1" s="179"/>
      <c r="L1" s="179"/>
      <c r="M1" s="179"/>
      <c r="N1" s="179"/>
      <c r="O1" s="179"/>
      <c r="P1" s="179"/>
    </row>
    <row r="2" spans="1:20">
      <c r="A2" s="179" t="s">
        <v>8</v>
      </c>
      <c r="B2" s="179"/>
      <c r="C2" s="179"/>
      <c r="D2" s="179"/>
      <c r="E2" s="179"/>
      <c r="F2" s="179"/>
      <c r="G2" s="179"/>
      <c r="H2" s="179"/>
      <c r="I2" s="179"/>
      <c r="J2" s="179"/>
      <c r="K2" s="179"/>
      <c r="L2" s="179"/>
      <c r="M2" s="179"/>
      <c r="N2" s="179"/>
      <c r="O2" s="179"/>
      <c r="P2" s="179"/>
    </row>
    <row r="3" spans="1:20">
      <c r="A3" s="179" t="s">
        <v>10</v>
      </c>
      <c r="B3" s="179"/>
      <c r="C3" s="179"/>
      <c r="D3" s="179"/>
      <c r="E3" s="179"/>
      <c r="F3" s="179"/>
      <c r="G3" s="179"/>
      <c r="H3" s="179"/>
      <c r="I3" s="179"/>
      <c r="J3" s="179"/>
      <c r="K3" s="179"/>
      <c r="L3" s="179"/>
      <c r="M3" s="179"/>
      <c r="N3" s="179"/>
      <c r="O3" s="179"/>
      <c r="P3" s="179"/>
    </row>
    <row r="4" spans="1:20">
      <c r="A4" s="180" t="s">
        <v>64</v>
      </c>
      <c r="B4" s="180"/>
      <c r="C4" s="180"/>
      <c r="D4" s="180"/>
      <c r="E4" s="180"/>
      <c r="F4" s="180"/>
      <c r="G4" s="180"/>
      <c r="H4" s="180"/>
      <c r="I4" s="180"/>
      <c r="J4" s="180"/>
      <c r="K4" s="180"/>
      <c r="L4" s="180"/>
      <c r="M4" s="180"/>
      <c r="N4" s="180"/>
      <c r="O4" s="180"/>
      <c r="P4" s="180"/>
    </row>
    <row r="6" spans="1:20">
      <c r="A6" s="56" t="s">
        <v>91</v>
      </c>
    </row>
    <row r="7" spans="1:20">
      <c r="A7" s="56" t="s">
        <v>9</v>
      </c>
    </row>
    <row r="8" spans="1:20">
      <c r="P8" s="26" t="s">
        <v>94</v>
      </c>
    </row>
    <row r="9" spans="1:20">
      <c r="A9" s="57"/>
      <c r="B9" s="62">
        <v>44136</v>
      </c>
      <c r="C9" s="62">
        <v>44166</v>
      </c>
      <c r="D9" s="62">
        <v>44197</v>
      </c>
      <c r="E9" s="62">
        <v>44228</v>
      </c>
      <c r="F9" s="62">
        <v>44256</v>
      </c>
      <c r="G9" s="62">
        <v>44287</v>
      </c>
      <c r="H9" s="62">
        <v>44317</v>
      </c>
      <c r="I9" s="62">
        <v>44348</v>
      </c>
      <c r="J9" s="62">
        <v>44378</v>
      </c>
      <c r="K9" s="62">
        <v>44409</v>
      </c>
      <c r="L9" s="62">
        <v>44440</v>
      </c>
      <c r="M9" s="62">
        <v>44470</v>
      </c>
      <c r="N9" s="87" t="s">
        <v>0</v>
      </c>
      <c r="P9" s="26" t="s">
        <v>95</v>
      </c>
    </row>
    <row r="10" spans="1:20">
      <c r="A10" s="32" t="s">
        <v>0</v>
      </c>
    </row>
    <row r="11" spans="1:20">
      <c r="A11" s="58" t="s">
        <v>59</v>
      </c>
      <c r="B11" s="98">
        <v>226848.27152747425</v>
      </c>
      <c r="C11" s="98">
        <v>284264.00132638012</v>
      </c>
      <c r="D11" s="98">
        <v>278750.55427552079</v>
      </c>
      <c r="E11" s="98">
        <v>228403.21714944029</v>
      </c>
      <c r="F11" s="98">
        <v>218728.55621334654</v>
      </c>
      <c r="G11" s="98">
        <v>174832.93181877211</v>
      </c>
      <c r="H11" s="98">
        <v>157551.4939917509</v>
      </c>
      <c r="I11" s="98">
        <v>153398.72783458745</v>
      </c>
      <c r="J11" s="98">
        <v>185216.28384022086</v>
      </c>
      <c r="K11" s="98">
        <v>181286.03756468964</v>
      </c>
      <c r="L11" s="98">
        <v>152139.65132424136</v>
      </c>
      <c r="M11" s="98">
        <v>171537.11193139671</v>
      </c>
      <c r="N11" s="6">
        <f>SUM(B11:M11)</f>
        <v>2412956.8387978212</v>
      </c>
      <c r="R11" s="6">
        <f>N11*$P$16*1000</f>
        <v>675627.9148633898</v>
      </c>
      <c r="S11" s="172">
        <v>227266000</v>
      </c>
      <c r="T11" s="40">
        <f>R11/S11</f>
        <v>2.97285082178324E-3</v>
      </c>
    </row>
    <row r="12" spans="1:20">
      <c r="A12" s="59" t="s">
        <v>60</v>
      </c>
      <c r="B12" s="98">
        <v>5681.6874178397375</v>
      </c>
      <c r="C12" s="98">
        <v>6959.0797146364584</v>
      </c>
      <c r="D12" s="98">
        <v>7033.4325140525498</v>
      </c>
      <c r="E12" s="98">
        <v>5978.6858441679788</v>
      </c>
      <c r="F12" s="98">
        <v>5771.2167591659891</v>
      </c>
      <c r="G12" s="98">
        <v>4603.4710986749751</v>
      </c>
      <c r="H12" s="98">
        <v>4073.3313974440739</v>
      </c>
      <c r="I12" s="98">
        <v>3883.168742793202</v>
      </c>
      <c r="J12" s="98">
        <v>4342.9173621004984</v>
      </c>
      <c r="K12" s="98">
        <v>4231.2620558352783</v>
      </c>
      <c r="L12" s="98">
        <v>3885.3343014623606</v>
      </c>
      <c r="M12" s="98">
        <v>4540.2505814712513</v>
      </c>
      <c r="N12" s="6">
        <f>SUM(B12:M12)</f>
        <v>60983.837789644356</v>
      </c>
      <c r="R12" s="6">
        <f t="shared" ref="R12:R15" si="0">N12*$P$16*1000</f>
        <v>17075.474581100418</v>
      </c>
      <c r="S12" s="172">
        <v>80143000</v>
      </c>
      <c r="T12" s="40">
        <f t="shared" ref="T12:T15" si="1">R12/S12</f>
        <v>2.1306258289682713E-4</v>
      </c>
    </row>
    <row r="13" spans="1:20">
      <c r="A13" s="59" t="s">
        <v>61</v>
      </c>
      <c r="B13" s="98">
        <v>2906.2525403435297</v>
      </c>
      <c r="C13" s="98">
        <v>3444.6875470116929</v>
      </c>
      <c r="D13" s="98">
        <v>3438.9005740801649</v>
      </c>
      <c r="E13" s="98">
        <v>2891.5963498096371</v>
      </c>
      <c r="F13" s="98">
        <v>2842.5710644231494</v>
      </c>
      <c r="G13" s="98">
        <v>2460.7389459994083</v>
      </c>
      <c r="H13" s="98">
        <v>2379.708578175404</v>
      </c>
      <c r="I13" s="98">
        <v>2334.7014008522842</v>
      </c>
      <c r="J13" s="98">
        <v>2636.1078074484049</v>
      </c>
      <c r="K13" s="98">
        <v>2557.045199423927</v>
      </c>
      <c r="L13" s="98">
        <v>2262.4438078898975</v>
      </c>
      <c r="M13" s="98">
        <v>2503.2235681226871</v>
      </c>
      <c r="N13" s="6">
        <f>SUM(B13:M13)</f>
        <v>32657.97738358019</v>
      </c>
      <c r="R13" s="6">
        <f t="shared" si="0"/>
        <v>9144.2336674024536</v>
      </c>
      <c r="S13" s="172">
        <v>137101000</v>
      </c>
      <c r="T13" s="40">
        <f t="shared" si="1"/>
        <v>6.6697060323429102E-5</v>
      </c>
    </row>
    <row r="14" spans="1:20">
      <c r="A14" s="59" t="s">
        <v>62</v>
      </c>
      <c r="B14" s="98">
        <v>287.63113397408142</v>
      </c>
      <c r="C14" s="98">
        <v>292.61685156395185</v>
      </c>
      <c r="D14" s="98">
        <v>304.44688268049549</v>
      </c>
      <c r="E14" s="98">
        <v>260.03908610739364</v>
      </c>
      <c r="F14" s="98">
        <v>265.58691021430189</v>
      </c>
      <c r="G14" s="98">
        <v>393.31098044776007</v>
      </c>
      <c r="H14" s="98">
        <v>700.91588416348861</v>
      </c>
      <c r="I14" s="98">
        <v>1133.9740929447239</v>
      </c>
      <c r="J14" s="98">
        <v>1742.9762552989873</v>
      </c>
      <c r="K14" s="98">
        <v>1582.1374225068564</v>
      </c>
      <c r="L14" s="98">
        <v>986.542820428597</v>
      </c>
      <c r="M14" s="98">
        <v>520.5600463878759</v>
      </c>
      <c r="N14" s="6">
        <f>SUM(B14:M14)</f>
        <v>8470.738366718515</v>
      </c>
      <c r="R14" s="6">
        <f t="shared" si="0"/>
        <v>2371.806742681184</v>
      </c>
      <c r="S14" s="172">
        <v>12559000</v>
      </c>
      <c r="T14" s="40">
        <f t="shared" si="1"/>
        <v>1.8885315253453172E-4</v>
      </c>
    </row>
    <row r="15" spans="1:20">
      <c r="A15" s="58" t="s">
        <v>63</v>
      </c>
      <c r="B15" s="30">
        <v>202.83636999999999</v>
      </c>
      <c r="C15" s="30">
        <v>202.83636999999999</v>
      </c>
      <c r="D15" s="30">
        <v>202.83636999999999</v>
      </c>
      <c r="E15" s="30">
        <v>202.83636999999999</v>
      </c>
      <c r="F15" s="30">
        <v>202.83636999999999</v>
      </c>
      <c r="G15" s="30">
        <v>202.83636999999999</v>
      </c>
      <c r="H15" s="30">
        <v>202.83636999999999</v>
      </c>
      <c r="I15" s="30">
        <v>202.83636999999999</v>
      </c>
      <c r="J15" s="30">
        <v>202.83636999999999</v>
      </c>
      <c r="K15" s="30">
        <v>202.83636999999999</v>
      </c>
      <c r="L15" s="30">
        <v>202.83636999999999</v>
      </c>
      <c r="M15" s="30">
        <v>202.83636999999999</v>
      </c>
      <c r="N15" s="7">
        <f>SUM(B15:M15)</f>
        <v>2434.0364399999999</v>
      </c>
      <c r="R15" s="6">
        <f t="shared" si="0"/>
        <v>681.53020319999996</v>
      </c>
      <c r="S15" s="172">
        <v>6758000</v>
      </c>
      <c r="T15" s="40">
        <f t="shared" si="1"/>
        <v>1.0084791405741342E-4</v>
      </c>
    </row>
    <row r="16" spans="1:20">
      <c r="A16" s="26" t="s">
        <v>0</v>
      </c>
      <c r="B16" s="44">
        <f t="shared" ref="B16:N16" si="2">SUM(B11:B15)</f>
        <v>235926.67898963162</v>
      </c>
      <c r="C16" s="44">
        <f t="shared" si="2"/>
        <v>295163.22180959221</v>
      </c>
      <c r="D16" s="44">
        <f t="shared" si="2"/>
        <v>289730.17061633401</v>
      </c>
      <c r="E16" s="44">
        <f t="shared" si="2"/>
        <v>237736.37479952531</v>
      </c>
      <c r="F16" s="44">
        <f t="shared" si="2"/>
        <v>227810.76731714999</v>
      </c>
      <c r="G16" s="44">
        <f t="shared" si="2"/>
        <v>182493.28921389428</v>
      </c>
      <c r="H16" s="44">
        <f t="shared" si="2"/>
        <v>164908.28622153387</v>
      </c>
      <c r="I16" s="44">
        <f t="shared" si="2"/>
        <v>160953.40844117769</v>
      </c>
      <c r="J16" s="44">
        <f t="shared" si="2"/>
        <v>194141.12163506876</v>
      </c>
      <c r="K16" s="44">
        <f t="shared" si="2"/>
        <v>189859.31861245571</v>
      </c>
      <c r="L16" s="44">
        <f t="shared" si="2"/>
        <v>159476.80862402223</v>
      </c>
      <c r="M16" s="44">
        <f t="shared" si="2"/>
        <v>179303.98249737851</v>
      </c>
      <c r="N16" s="6">
        <f t="shared" si="2"/>
        <v>2517503.4287777641</v>
      </c>
      <c r="P16" s="154">
        <f>ROUND('Proposed ResEx Rate'!$G$27,5)</f>
        <v>2.7999999999999998E-4</v>
      </c>
      <c r="R16" s="6">
        <f>(N16*1000)*P16</f>
        <v>704900.96005777398</v>
      </c>
      <c r="S16" s="172"/>
    </row>
    <row r="18" spans="1:25">
      <c r="A18" s="32" t="s">
        <v>120</v>
      </c>
      <c r="B18" s="62">
        <v>44044</v>
      </c>
      <c r="C18" s="62">
        <v>44075</v>
      </c>
      <c r="D18" s="62">
        <v>44105</v>
      </c>
      <c r="E18" s="45"/>
    </row>
    <row r="19" spans="1:25">
      <c r="A19" s="26" t="str">
        <f t="shared" ref="A19:A24" si="3">A11</f>
        <v>WA001</v>
      </c>
      <c r="B19" s="98">
        <v>183924.85564376047</v>
      </c>
      <c r="C19" s="98">
        <v>153143.6798414402</v>
      </c>
      <c r="D19" s="98">
        <v>174619.342777627</v>
      </c>
      <c r="E19" s="6"/>
      <c r="F19" s="6"/>
      <c r="G19" s="6"/>
      <c r="H19" s="6"/>
      <c r="I19" s="6"/>
      <c r="J19" s="6"/>
      <c r="K19" s="6"/>
      <c r="L19" s="6"/>
      <c r="M19" s="6"/>
      <c r="N19" s="6"/>
      <c r="O19" s="6"/>
      <c r="P19" s="6" t="s">
        <v>96</v>
      </c>
      <c r="R19" s="164">
        <v>530696000</v>
      </c>
    </row>
    <row r="20" spans="1:25">
      <c r="A20" s="26" t="str">
        <f t="shared" si="3"/>
        <v>WA012</v>
      </c>
      <c r="B20" s="98">
        <v>4254.2002844780045</v>
      </c>
      <c r="C20" s="98">
        <v>3854.4403423583185</v>
      </c>
      <c r="D20" s="98">
        <v>4529.8811476572346</v>
      </c>
      <c r="E20" s="6"/>
      <c r="F20" s="6"/>
      <c r="G20" s="6"/>
      <c r="H20" s="44"/>
      <c r="I20" s="44"/>
      <c r="J20" s="44"/>
      <c r="K20" s="44"/>
      <c r="L20" s="44"/>
      <c r="M20" s="44"/>
      <c r="N20" s="44"/>
      <c r="O20" s="44"/>
      <c r="P20" s="44"/>
      <c r="Q20" s="35"/>
      <c r="R20" s="35"/>
      <c r="S20" s="35"/>
      <c r="T20" s="35"/>
      <c r="U20" s="35"/>
      <c r="V20" s="35"/>
    </row>
    <row r="21" spans="1:25">
      <c r="A21" s="26" t="str">
        <f t="shared" si="3"/>
        <v>WA022</v>
      </c>
      <c r="B21" s="98">
        <v>2570.1184964713616</v>
      </c>
      <c r="C21" s="98">
        <v>2237.5385969972622</v>
      </c>
      <c r="D21" s="98">
        <v>2486.4132190612759</v>
      </c>
      <c r="E21" s="60"/>
      <c r="F21" s="60"/>
      <c r="G21" s="60"/>
      <c r="H21" s="138"/>
      <c r="I21" s="138"/>
      <c r="J21" s="138"/>
      <c r="K21" s="138"/>
      <c r="L21" s="138"/>
      <c r="M21" s="138"/>
      <c r="N21" s="138"/>
      <c r="O21" s="138"/>
      <c r="P21" s="138"/>
      <c r="Q21" s="48"/>
      <c r="R21" s="171">
        <f>R16/R19</f>
        <v>1.3282575336120378E-3</v>
      </c>
      <c r="S21" s="35"/>
      <c r="T21" s="35"/>
      <c r="U21" s="35"/>
      <c r="V21" s="35"/>
    </row>
    <row r="22" spans="1:25">
      <c r="A22" s="26" t="str">
        <f t="shared" si="3"/>
        <v>WA032</v>
      </c>
      <c r="B22" s="98">
        <v>1583.5525568775397</v>
      </c>
      <c r="C22" s="98">
        <v>965.19366928783791</v>
      </c>
      <c r="D22" s="98">
        <v>510.74942277459928</v>
      </c>
      <c r="E22" s="41"/>
      <c r="F22" s="60"/>
      <c r="G22" s="60"/>
      <c r="H22" s="145"/>
      <c r="I22" s="145"/>
      <c r="J22" s="145"/>
      <c r="K22" s="145"/>
      <c r="L22" s="145"/>
      <c r="M22" s="145"/>
      <c r="N22" s="145"/>
      <c r="O22" s="145"/>
      <c r="P22" s="145"/>
      <c r="Q22" s="145"/>
      <c r="R22" s="145"/>
      <c r="S22" s="145"/>
      <c r="T22" s="48"/>
      <c r="U22" s="48"/>
      <c r="V22" s="48"/>
      <c r="W22" s="48"/>
      <c r="X22" s="48"/>
      <c r="Y22" s="48"/>
    </row>
    <row r="23" spans="1:25">
      <c r="A23" s="26" t="str">
        <f t="shared" si="3"/>
        <v>WA048</v>
      </c>
      <c r="B23" s="30">
        <v>202.83636999999999</v>
      </c>
      <c r="C23" s="30">
        <v>202.83636999999999</v>
      </c>
      <c r="D23" s="30">
        <v>202.83636999999999</v>
      </c>
      <c r="E23" s="60"/>
      <c r="F23" s="60"/>
      <c r="G23" s="60"/>
      <c r="H23" s="138"/>
      <c r="I23" s="138"/>
      <c r="J23" s="138"/>
      <c r="K23" s="138"/>
      <c r="L23" s="138"/>
      <c r="M23" s="138"/>
      <c r="N23" s="167"/>
      <c r="O23" s="138"/>
      <c r="P23" s="138"/>
      <c r="Q23" s="138"/>
      <c r="R23" s="138"/>
      <c r="S23" s="138"/>
      <c r="T23" s="48"/>
      <c r="U23" s="48"/>
      <c r="V23" s="48"/>
      <c r="W23" s="48"/>
      <c r="X23" s="48"/>
      <c r="Y23" s="48"/>
    </row>
    <row r="24" spans="1:25">
      <c r="A24" s="26" t="str">
        <f t="shared" si="3"/>
        <v>Total</v>
      </c>
      <c r="B24" s="6">
        <f>SUM(B19:B23)</f>
        <v>192535.56335158739</v>
      </c>
      <c r="C24" s="6">
        <f>SUM(C19:C23)</f>
        <v>160403.68882008363</v>
      </c>
      <c r="D24" s="6">
        <f>SUM(D19:D23)</f>
        <v>182349.2229371201</v>
      </c>
      <c r="E24" s="60"/>
      <c r="F24" s="60"/>
      <c r="G24" s="60"/>
      <c r="H24" s="138"/>
      <c r="I24" s="138"/>
      <c r="J24" s="138"/>
      <c r="K24" s="138"/>
      <c r="L24" s="138"/>
      <c r="M24" s="138"/>
      <c r="N24" s="167"/>
      <c r="O24" s="138"/>
      <c r="P24" s="138"/>
      <c r="Q24" s="48"/>
      <c r="R24" s="48"/>
      <c r="S24" s="48"/>
      <c r="T24" s="48"/>
      <c r="U24" s="48"/>
      <c r="V24" s="48"/>
      <c r="W24" s="48"/>
      <c r="X24" s="48"/>
      <c r="Y24" s="48"/>
    </row>
    <row r="25" spans="1:25">
      <c r="A25" s="26" t="s">
        <v>4</v>
      </c>
      <c r="B25" s="137">
        <v>-4.1399999999999996E-3</v>
      </c>
      <c r="C25" s="162">
        <f>B25</f>
        <v>-4.1399999999999996E-3</v>
      </c>
      <c r="D25" s="162">
        <f>C25</f>
        <v>-4.1399999999999996E-3</v>
      </c>
      <c r="E25" s="60"/>
      <c r="F25" s="60"/>
      <c r="G25" s="60"/>
      <c r="H25" s="90"/>
      <c r="I25" s="139"/>
      <c r="J25" s="139"/>
      <c r="K25" s="139"/>
      <c r="L25" s="139"/>
      <c r="M25" s="139"/>
      <c r="N25" s="168"/>
      <c r="O25" s="139"/>
      <c r="P25" s="139"/>
      <c r="Q25" s="139"/>
      <c r="R25" s="139"/>
      <c r="S25" s="139"/>
      <c r="T25" s="139"/>
      <c r="U25" s="139"/>
      <c r="V25" s="139"/>
      <c r="W25" s="139"/>
      <c r="X25" s="139"/>
      <c r="Y25" s="48"/>
    </row>
    <row r="26" spans="1:25">
      <c r="A26" s="26" t="s">
        <v>5</v>
      </c>
      <c r="B26" s="27">
        <f>B24*B25</f>
        <v>-797.09723227557174</v>
      </c>
      <c r="C26" s="27">
        <f>C24*C25</f>
        <v>-664.07127171514617</v>
      </c>
      <c r="D26" s="27">
        <f>D24*D25</f>
        <v>-754.92578295967712</v>
      </c>
      <c r="E26" s="67"/>
      <c r="F26" s="60"/>
      <c r="G26" s="60"/>
      <c r="H26" s="90"/>
      <c r="I26" s="139"/>
      <c r="J26" s="139"/>
      <c r="K26" s="139"/>
      <c r="L26" s="139"/>
      <c r="M26" s="139"/>
      <c r="N26" s="168"/>
      <c r="O26" s="139"/>
      <c r="P26" s="139"/>
      <c r="Q26" s="139"/>
      <c r="R26" s="139"/>
      <c r="S26" s="139"/>
      <c r="T26" s="139"/>
      <c r="U26" s="139"/>
      <c r="V26" s="139"/>
      <c r="W26" s="139"/>
      <c r="X26" s="139"/>
      <c r="Y26" s="48"/>
    </row>
    <row r="27" spans="1:25">
      <c r="A27" s="26" t="s">
        <v>6</v>
      </c>
      <c r="B27" s="163">
        <f>'Proposed ResEx Rate'!G13</f>
        <v>0.95563100000000001</v>
      </c>
      <c r="C27" s="69">
        <f>B27</f>
        <v>0.95563100000000001</v>
      </c>
      <c r="D27" s="69">
        <f>B27</f>
        <v>0.95563100000000001</v>
      </c>
      <c r="E27" s="85"/>
      <c r="F27" s="60"/>
      <c r="G27" s="60"/>
      <c r="H27" s="90"/>
      <c r="I27" s="139"/>
      <c r="J27" s="139"/>
      <c r="K27" s="139"/>
      <c r="L27" s="139"/>
      <c r="M27" s="139"/>
      <c r="N27" s="168"/>
      <c r="O27" s="139"/>
      <c r="P27" s="139"/>
      <c r="Q27" s="139"/>
      <c r="R27" s="139"/>
      <c r="S27" s="139"/>
      <c r="T27" s="139"/>
      <c r="U27" s="139"/>
      <c r="V27" s="139"/>
      <c r="W27" s="139"/>
      <c r="X27" s="139"/>
      <c r="Y27" s="48"/>
    </row>
    <row r="28" spans="1:25">
      <c r="A28" s="26" t="s">
        <v>7</v>
      </c>
      <c r="B28" s="27">
        <f>B26*B27</f>
        <v>-761.73082517673686</v>
      </c>
      <c r="C28" s="27">
        <f>C26*C27</f>
        <v>-634.60709346041688</v>
      </c>
      <c r="D28" s="27">
        <f>D26*D27</f>
        <v>-721.43048089553918</v>
      </c>
      <c r="E28" s="86"/>
      <c r="F28" s="60"/>
      <c r="G28" s="60"/>
      <c r="H28" s="90"/>
      <c r="I28" s="139"/>
      <c r="J28" s="139"/>
      <c r="K28" s="139"/>
      <c r="L28" s="139"/>
      <c r="M28" s="139"/>
      <c r="N28" s="139"/>
      <c r="O28" s="139"/>
      <c r="P28" s="139"/>
      <c r="Q28" s="139"/>
      <c r="R28" s="139"/>
      <c r="S28" s="139"/>
      <c r="T28" s="139"/>
      <c r="U28" s="139"/>
      <c r="V28" s="139"/>
      <c r="W28" s="139"/>
      <c r="X28" s="139"/>
      <c r="Y28" s="48"/>
    </row>
    <row r="29" spans="1:25">
      <c r="C29" s="6"/>
      <c r="D29" s="85"/>
      <c r="E29" s="85"/>
      <c r="F29" s="60"/>
      <c r="G29" s="60"/>
      <c r="H29" s="90"/>
      <c r="I29" s="139"/>
      <c r="J29" s="139"/>
      <c r="K29" s="139"/>
      <c r="L29" s="139"/>
      <c r="M29" s="139"/>
      <c r="N29" s="139"/>
      <c r="O29" s="139"/>
      <c r="P29" s="139"/>
      <c r="Q29" s="139"/>
      <c r="R29" s="139"/>
      <c r="S29" s="139"/>
      <c r="T29" s="139"/>
      <c r="U29" s="139"/>
      <c r="V29" s="139"/>
      <c r="W29" s="139"/>
      <c r="X29" s="139"/>
      <c r="Y29" s="48"/>
    </row>
    <row r="30" spans="1:25">
      <c r="D30" s="41"/>
      <c r="E30" s="41"/>
      <c r="F30" s="41"/>
      <c r="G30" s="41"/>
      <c r="H30" s="90"/>
      <c r="I30" s="139"/>
      <c r="J30" s="139"/>
      <c r="K30" s="139"/>
      <c r="L30" s="139"/>
      <c r="M30" s="139"/>
      <c r="N30" s="139"/>
      <c r="O30" s="139"/>
      <c r="P30" s="139"/>
      <c r="Q30" s="139"/>
      <c r="R30" s="139"/>
      <c r="S30" s="139"/>
      <c r="T30" s="139"/>
      <c r="U30" s="139"/>
      <c r="V30" s="139"/>
      <c r="W30" s="139"/>
      <c r="X30" s="139"/>
      <c r="Y30" s="48"/>
    </row>
    <row r="31" spans="1:25">
      <c r="D31" s="41"/>
      <c r="E31" s="41"/>
      <c r="F31" s="25"/>
      <c r="G31" s="41"/>
      <c r="H31" s="140"/>
      <c r="I31" s="140"/>
      <c r="J31" s="140"/>
      <c r="K31" s="140"/>
      <c r="L31" s="140"/>
      <c r="M31" s="140"/>
      <c r="N31" s="140"/>
      <c r="O31" s="48"/>
      <c r="P31" s="48"/>
      <c r="Q31" s="48"/>
      <c r="R31" s="48"/>
      <c r="S31" s="48"/>
      <c r="T31" s="48"/>
      <c r="U31" s="48"/>
      <c r="V31" s="48"/>
      <c r="W31" s="48"/>
      <c r="X31" s="48"/>
      <c r="Y31" s="48"/>
    </row>
    <row r="32" spans="1:25">
      <c r="D32" s="66"/>
      <c r="E32" s="61"/>
      <c r="F32" s="61"/>
      <c r="G32" s="41"/>
      <c r="H32" s="141"/>
      <c r="I32" s="141"/>
      <c r="J32" s="141"/>
      <c r="K32" s="141"/>
      <c r="L32" s="141"/>
      <c r="M32" s="141"/>
      <c r="N32" s="141"/>
      <c r="O32" s="48"/>
      <c r="P32" s="48"/>
      <c r="Q32" s="48"/>
      <c r="R32" s="48"/>
      <c r="S32" s="48"/>
      <c r="T32" s="48"/>
      <c r="U32" s="48"/>
      <c r="V32" s="48"/>
      <c r="W32" s="48"/>
      <c r="X32" s="48"/>
      <c r="Y32" s="48"/>
    </row>
    <row r="33" spans="1:25">
      <c r="A33" s="35"/>
      <c r="B33" s="35"/>
      <c r="C33" s="35"/>
      <c r="D33" s="48"/>
      <c r="E33" s="90"/>
      <c r="F33" s="96"/>
      <c r="G33" s="48"/>
      <c r="H33" s="142"/>
      <c r="I33" s="142"/>
      <c r="J33" s="142"/>
      <c r="K33" s="142"/>
      <c r="L33" s="142"/>
      <c r="M33" s="142"/>
      <c r="N33" s="142"/>
      <c r="O33" s="48"/>
      <c r="P33" s="48"/>
      <c r="Q33" s="48"/>
      <c r="R33" s="48"/>
      <c r="S33" s="48"/>
      <c r="T33" s="48"/>
      <c r="U33" s="48"/>
      <c r="V33" s="48"/>
      <c r="W33" s="48"/>
      <c r="X33" s="48"/>
      <c r="Y33" s="48"/>
    </row>
    <row r="34" spans="1:25">
      <c r="A34" s="35"/>
      <c r="B34" s="35"/>
      <c r="C34" s="35"/>
      <c r="D34" s="48"/>
      <c r="E34" s="90"/>
      <c r="F34" s="96"/>
      <c r="G34" s="48"/>
      <c r="H34" s="143"/>
      <c r="I34" s="143"/>
      <c r="J34" s="143"/>
      <c r="K34" s="143"/>
      <c r="L34" s="143"/>
      <c r="M34" s="143"/>
      <c r="N34" s="143"/>
      <c r="O34" s="48"/>
      <c r="P34" s="48"/>
      <c r="Q34" s="48"/>
      <c r="R34" s="48"/>
      <c r="S34" s="48"/>
      <c r="T34" s="48"/>
      <c r="U34" s="48"/>
      <c r="V34" s="48"/>
      <c r="W34" s="48"/>
      <c r="X34" s="48"/>
      <c r="Y34" s="48"/>
    </row>
    <row r="35" spans="1:25">
      <c r="A35" s="88"/>
      <c r="B35" s="88"/>
      <c r="C35" s="94"/>
      <c r="D35" s="94"/>
      <c r="E35" s="94"/>
      <c r="F35" s="94"/>
      <c r="G35" s="94"/>
      <c r="H35" s="35"/>
      <c r="I35" s="35"/>
      <c r="J35" s="35"/>
      <c r="K35" s="35"/>
      <c r="L35" s="35"/>
      <c r="M35" s="35"/>
      <c r="N35" s="35"/>
      <c r="O35" s="35"/>
    </row>
    <row r="36" spans="1:25">
      <c r="A36" s="89"/>
      <c r="B36" s="89"/>
      <c r="C36" s="97"/>
      <c r="D36" s="97"/>
      <c r="E36" s="97"/>
      <c r="F36" s="97"/>
      <c r="G36" s="97"/>
      <c r="H36" s="92"/>
      <c r="I36" s="92"/>
      <c r="J36" s="92"/>
      <c r="K36" s="92"/>
      <c r="L36" s="92"/>
      <c r="M36" s="92"/>
      <c r="N36" s="92"/>
      <c r="O36" s="35"/>
    </row>
    <row r="37" spans="1:25">
      <c r="A37" s="91"/>
      <c r="B37" s="91"/>
      <c r="C37" s="95"/>
      <c r="D37" s="95"/>
      <c r="E37" s="95"/>
      <c r="F37" s="95"/>
      <c r="G37" s="95"/>
      <c r="H37" s="92"/>
      <c r="I37" s="92"/>
      <c r="J37" s="92"/>
      <c r="K37" s="92"/>
      <c r="L37" s="92"/>
      <c r="M37" s="92"/>
      <c r="N37" s="92"/>
      <c r="O37" s="35"/>
    </row>
    <row r="38" spans="1:25">
      <c r="A38" s="93"/>
      <c r="B38" s="93"/>
      <c r="C38" s="99"/>
      <c r="D38" s="99"/>
      <c r="E38" s="99"/>
      <c r="F38" s="99"/>
      <c r="G38" s="99"/>
      <c r="H38" s="92"/>
      <c r="I38" s="92"/>
      <c r="J38" s="92"/>
      <c r="K38" s="92"/>
      <c r="L38" s="92"/>
      <c r="M38" s="92"/>
      <c r="N38" s="92"/>
      <c r="O38" s="35"/>
    </row>
    <row r="39" spans="1:25">
      <c r="A39" s="35"/>
      <c r="B39" s="35"/>
      <c r="C39" s="35"/>
      <c r="D39" s="48"/>
      <c r="E39" s="67"/>
      <c r="F39" s="67"/>
      <c r="G39" s="48"/>
      <c r="H39" s="92"/>
      <c r="I39" s="92"/>
      <c r="J39" s="92"/>
      <c r="K39" s="92"/>
      <c r="L39" s="92"/>
      <c r="M39" s="92"/>
      <c r="N39" s="92"/>
      <c r="O39" s="35"/>
    </row>
    <row r="40" spans="1:25">
      <c r="A40" s="92"/>
      <c r="B40" s="92"/>
      <c r="C40" s="92"/>
      <c r="D40" s="92"/>
      <c r="E40" s="92"/>
      <c r="F40" s="92"/>
      <c r="G40" s="92"/>
      <c r="H40" s="35"/>
      <c r="I40" s="35"/>
      <c r="J40" s="35"/>
      <c r="K40" s="35"/>
      <c r="L40" s="35"/>
      <c r="M40" s="35"/>
      <c r="N40" s="35"/>
      <c r="O40" s="35"/>
    </row>
    <row r="41" spans="1:25">
      <c r="A41" s="92"/>
      <c r="B41" s="92"/>
      <c r="C41" s="92"/>
      <c r="D41" s="92"/>
      <c r="E41" s="92"/>
      <c r="F41" s="92"/>
      <c r="G41" s="92"/>
    </row>
    <row r="42" spans="1:25">
      <c r="A42" s="92"/>
      <c r="B42" s="92"/>
      <c r="C42" s="92"/>
      <c r="D42" s="92"/>
      <c r="E42" s="92"/>
      <c r="F42" s="92"/>
      <c r="G42" s="92"/>
    </row>
    <row r="43" spans="1:25">
      <c r="A43" s="92"/>
      <c r="B43" s="92"/>
      <c r="C43" s="92"/>
      <c r="D43" s="92"/>
      <c r="E43" s="92"/>
      <c r="F43" s="92"/>
      <c r="G43" s="92"/>
    </row>
    <row r="44" spans="1:25">
      <c r="A44" s="35"/>
      <c r="B44" s="35"/>
      <c r="C44" s="35"/>
      <c r="D44" s="48"/>
      <c r="E44" s="48"/>
      <c r="F44" s="48"/>
      <c r="G44" s="48"/>
    </row>
    <row r="46" spans="1:25">
      <c r="A46" s="101"/>
      <c r="B46" s="175">
        <v>44136</v>
      </c>
      <c r="C46" s="175">
        <v>44166</v>
      </c>
      <c r="D46" s="175">
        <v>44197</v>
      </c>
      <c r="E46" s="175">
        <v>44228</v>
      </c>
      <c r="F46" s="175">
        <v>44256</v>
      </c>
      <c r="G46" s="175">
        <v>44287</v>
      </c>
      <c r="H46" s="175">
        <v>44317</v>
      </c>
      <c r="I46" s="175">
        <v>44348</v>
      </c>
      <c r="J46" s="175">
        <v>44378</v>
      </c>
      <c r="K46" s="175">
        <v>44409</v>
      </c>
      <c r="L46" s="175">
        <v>44440</v>
      </c>
      <c r="M46" s="175">
        <v>44470</v>
      </c>
      <c r="N46" s="101" t="s">
        <v>0</v>
      </c>
    </row>
    <row r="47" spans="1:25">
      <c r="A47" s="101" t="s">
        <v>59</v>
      </c>
      <c r="B47" s="176">
        <v>226848271.52747425</v>
      </c>
      <c r="C47" s="176">
        <v>284264001.32638013</v>
      </c>
      <c r="D47" s="176">
        <v>278750554.2755208</v>
      </c>
      <c r="E47" s="176">
        <v>228403217.14944029</v>
      </c>
      <c r="F47" s="176">
        <v>218728556.21334654</v>
      </c>
      <c r="G47" s="176">
        <v>174832931.81877211</v>
      </c>
      <c r="H47" s="176">
        <v>157551493.9917509</v>
      </c>
      <c r="I47" s="176">
        <v>153398727.83458745</v>
      </c>
      <c r="J47" s="176">
        <v>185216283.84022087</v>
      </c>
      <c r="K47" s="176">
        <v>181286037.56468964</v>
      </c>
      <c r="L47" s="176">
        <v>152139651.32424137</v>
      </c>
      <c r="M47" s="176">
        <v>171537111.93139669</v>
      </c>
      <c r="N47" s="23">
        <f>SUM(B47:M47)</f>
        <v>2412956838.7978206</v>
      </c>
    </row>
    <row r="48" spans="1:25">
      <c r="A48" s="101" t="s">
        <v>115</v>
      </c>
      <c r="B48" s="176">
        <v>48944302.835443452</v>
      </c>
      <c r="C48" s="176">
        <v>55669812.882580042</v>
      </c>
      <c r="D48" s="176">
        <v>55171436.152782246</v>
      </c>
      <c r="E48" s="176">
        <v>47595723.98205521</v>
      </c>
      <c r="F48" s="176">
        <v>48498480.357791789</v>
      </c>
      <c r="G48" s="176">
        <v>42387562.252365552</v>
      </c>
      <c r="H48" s="176">
        <v>41984487.391527332</v>
      </c>
      <c r="I48" s="176">
        <v>43261279.116157189</v>
      </c>
      <c r="J48" s="176">
        <v>50852157.280781381</v>
      </c>
      <c r="K48" s="176">
        <v>49697807.155147128</v>
      </c>
      <c r="L48" s="176">
        <v>42351078.88671346</v>
      </c>
      <c r="M48" s="176">
        <v>44495254.575372711</v>
      </c>
      <c r="N48" s="23">
        <f t="shared" ref="N48:N55" si="4">SUM(B48:M48)</f>
        <v>570909382.86871755</v>
      </c>
    </row>
    <row r="49" spans="1:14">
      <c r="A49" s="101" t="s">
        <v>60</v>
      </c>
      <c r="B49" s="176">
        <v>5681687.4178397376</v>
      </c>
      <c r="C49" s="176">
        <v>6959079.7146364581</v>
      </c>
      <c r="D49" s="176">
        <v>7033432.5140525494</v>
      </c>
      <c r="E49" s="176">
        <v>5978685.8441679785</v>
      </c>
      <c r="F49" s="176">
        <v>5771216.7591659892</v>
      </c>
      <c r="G49" s="176">
        <v>4603471.0986749753</v>
      </c>
      <c r="H49" s="176">
        <v>4073331.397444074</v>
      </c>
      <c r="I49" s="176">
        <v>3883168.7427932019</v>
      </c>
      <c r="J49" s="176">
        <v>4342917.3621004988</v>
      </c>
      <c r="K49" s="176">
        <v>4231262.0558352787</v>
      </c>
      <c r="L49" s="176">
        <v>3885334.3014623607</v>
      </c>
      <c r="M49" s="176">
        <v>4540250.5814712513</v>
      </c>
      <c r="N49" s="23">
        <f t="shared" si="4"/>
        <v>60983837.789644346</v>
      </c>
    </row>
    <row r="50" spans="1:14">
      <c r="A50" s="101" t="s">
        <v>116</v>
      </c>
      <c r="B50" s="176">
        <v>113859115.08580782</v>
      </c>
      <c r="C50" s="176">
        <v>119507265.10193489</v>
      </c>
      <c r="D50" s="176">
        <v>117329479.37971318</v>
      </c>
      <c r="E50" s="176">
        <v>104067750.88927273</v>
      </c>
      <c r="F50" s="176">
        <v>110472845.71233544</v>
      </c>
      <c r="G50" s="176">
        <v>103509679.04670116</v>
      </c>
      <c r="H50" s="176">
        <v>107418493.64261299</v>
      </c>
      <c r="I50" s="176">
        <v>110403863.72386377</v>
      </c>
      <c r="J50" s="176">
        <v>124008596.00135891</v>
      </c>
      <c r="K50" s="176">
        <v>118970771.17205705</v>
      </c>
      <c r="L50" s="176">
        <v>106164107.2053968</v>
      </c>
      <c r="M50" s="176">
        <v>113804658.47033389</v>
      </c>
      <c r="N50" s="23">
        <f t="shared" si="4"/>
        <v>1349516625.4313886</v>
      </c>
    </row>
    <row r="51" spans="1:14">
      <c r="A51" s="101" t="s">
        <v>61</v>
      </c>
      <c r="B51" s="176">
        <v>2906252.5403435295</v>
      </c>
      <c r="C51" s="176">
        <v>3444687.547011693</v>
      </c>
      <c r="D51" s="176">
        <v>3438900.574080165</v>
      </c>
      <c r="E51" s="176">
        <v>2891596.3498096373</v>
      </c>
      <c r="F51" s="176">
        <v>2842571.0644231495</v>
      </c>
      <c r="G51" s="176">
        <v>2460738.9459994081</v>
      </c>
      <c r="H51" s="176">
        <v>2379708.5781754041</v>
      </c>
      <c r="I51" s="176">
        <v>2334701.4008522844</v>
      </c>
      <c r="J51" s="176">
        <v>2636107.8074484048</v>
      </c>
      <c r="K51" s="176">
        <v>2557045.1994239269</v>
      </c>
      <c r="L51" s="176">
        <v>2262443.8078898974</v>
      </c>
      <c r="M51" s="176">
        <v>2503223.5681226873</v>
      </c>
      <c r="N51" s="23">
        <f t="shared" si="4"/>
        <v>32657977.383580193</v>
      </c>
    </row>
    <row r="52" spans="1:14">
      <c r="A52" s="101" t="s">
        <v>117</v>
      </c>
      <c r="B52" s="176">
        <v>87977703</v>
      </c>
      <c r="C52" s="176">
        <v>88518578</v>
      </c>
      <c r="D52" s="176">
        <v>89488818</v>
      </c>
      <c r="E52" s="176">
        <v>88268850</v>
      </c>
      <c r="F52" s="176">
        <v>87017607</v>
      </c>
      <c r="G52" s="176">
        <v>88374643</v>
      </c>
      <c r="H52" s="176">
        <v>89232541</v>
      </c>
      <c r="I52" s="176">
        <v>89374249</v>
      </c>
      <c r="J52" s="176">
        <v>90001196</v>
      </c>
      <c r="K52" s="176">
        <v>93201094</v>
      </c>
      <c r="L52" s="176">
        <v>91377024</v>
      </c>
      <c r="M52" s="176">
        <v>90565613</v>
      </c>
      <c r="N52" s="23">
        <f t="shared" si="4"/>
        <v>1073397916</v>
      </c>
    </row>
    <row r="53" spans="1:14">
      <c r="A53" s="101" t="s">
        <v>118</v>
      </c>
      <c r="B53" s="176">
        <v>4616059.232220646</v>
      </c>
      <c r="C53" s="176">
        <v>3897917.3213902027</v>
      </c>
      <c r="D53" s="176">
        <v>3870384.3676620619</v>
      </c>
      <c r="E53" s="176">
        <v>3616420.1794240288</v>
      </c>
      <c r="F53" s="176">
        <v>4495902.1590908617</v>
      </c>
      <c r="G53" s="176">
        <v>7042076.3603156582</v>
      </c>
      <c r="H53" s="176">
        <v>12886436.323981013</v>
      </c>
      <c r="I53" s="176">
        <v>18215970.393878918</v>
      </c>
      <c r="J53" s="176">
        <v>24389352.643595517</v>
      </c>
      <c r="K53" s="176">
        <v>24648353.128239043</v>
      </c>
      <c r="L53" s="176">
        <v>17583718.006854102</v>
      </c>
      <c r="M53" s="176">
        <v>10278500.141798589</v>
      </c>
      <c r="N53" s="23">
        <f t="shared" si="4"/>
        <v>135541090.25845066</v>
      </c>
    </row>
    <row r="54" spans="1:14">
      <c r="A54" s="101" t="s">
        <v>62</v>
      </c>
      <c r="B54" s="176">
        <v>287631.13397408143</v>
      </c>
      <c r="C54" s="176">
        <v>292616.85156395187</v>
      </c>
      <c r="D54" s="176">
        <v>304446.8826804955</v>
      </c>
      <c r="E54" s="176">
        <v>260039.08610739367</v>
      </c>
      <c r="F54" s="176">
        <v>265586.9102143019</v>
      </c>
      <c r="G54" s="176">
        <v>393310.98044776008</v>
      </c>
      <c r="H54" s="176">
        <v>700915.88416348863</v>
      </c>
      <c r="I54" s="176">
        <v>1133974.092944724</v>
      </c>
      <c r="J54" s="176">
        <v>1742976.2552989873</v>
      </c>
      <c r="K54" s="176">
        <v>1582137.4225068565</v>
      </c>
      <c r="L54" s="176">
        <v>986542.82042859704</v>
      </c>
      <c r="M54" s="176">
        <v>520560.04638787592</v>
      </c>
      <c r="N54" s="23">
        <f t="shared" si="4"/>
        <v>8470738.3667185139</v>
      </c>
    </row>
    <row r="55" spans="1:14">
      <c r="A55" s="101" t="s">
        <v>119</v>
      </c>
      <c r="B55" s="176">
        <v>1445518.1589530283</v>
      </c>
      <c r="C55" s="176">
        <v>1496702.1987002252</v>
      </c>
      <c r="D55" s="176">
        <v>1476750.4532663552</v>
      </c>
      <c r="E55" s="176">
        <v>1414917.8970354958</v>
      </c>
      <c r="F55" s="176">
        <v>1438262.7732153982</v>
      </c>
      <c r="G55" s="176">
        <v>1431618.3112398528</v>
      </c>
      <c r="H55" s="176">
        <v>1445599.1165151587</v>
      </c>
      <c r="I55" s="176">
        <v>1453193.7655177775</v>
      </c>
      <c r="J55" s="176">
        <v>1429327.1889835284</v>
      </c>
      <c r="K55" s="176">
        <v>1444604.0307205543</v>
      </c>
      <c r="L55" s="176">
        <v>1457967.3307486803</v>
      </c>
      <c r="M55" s="176">
        <v>1428605.9162320765</v>
      </c>
      <c r="N55" s="23">
        <f t="shared" si="4"/>
        <v>17363067.14112813</v>
      </c>
    </row>
    <row r="56" spans="1:14">
      <c r="A56" s="101"/>
      <c r="B56" s="101"/>
      <c r="C56" s="101"/>
      <c r="D56" s="101"/>
      <c r="E56" s="101"/>
      <c r="F56" s="101"/>
      <c r="G56" s="101"/>
      <c r="H56" s="101"/>
      <c r="I56" s="101"/>
      <c r="J56" s="101"/>
      <c r="K56" s="101"/>
      <c r="L56" s="101"/>
      <c r="M56" s="101"/>
      <c r="N56" s="23">
        <f>SUM(N47:N55)</f>
        <v>5661797474.0374489</v>
      </c>
    </row>
    <row r="58" spans="1:14">
      <c r="A58" s="101" t="s">
        <v>59</v>
      </c>
      <c r="B58" s="177">
        <f>B47/1000</f>
        <v>226848.27152747425</v>
      </c>
      <c r="C58" s="177">
        <f t="shared" ref="C58:M58" si="5">C47/1000</f>
        <v>284264.00132638012</v>
      </c>
      <c r="D58" s="177">
        <f t="shared" si="5"/>
        <v>278750.55427552079</v>
      </c>
      <c r="E58" s="177">
        <f t="shared" si="5"/>
        <v>228403.21714944029</v>
      </c>
      <c r="F58" s="177">
        <f t="shared" si="5"/>
        <v>218728.55621334654</v>
      </c>
      <c r="G58" s="177">
        <f t="shared" si="5"/>
        <v>174832.93181877211</v>
      </c>
      <c r="H58" s="177">
        <f t="shared" si="5"/>
        <v>157551.4939917509</v>
      </c>
      <c r="I58" s="177">
        <f t="shared" si="5"/>
        <v>153398.72783458745</v>
      </c>
      <c r="J58" s="177">
        <f t="shared" si="5"/>
        <v>185216.28384022086</v>
      </c>
      <c r="K58" s="177">
        <f t="shared" si="5"/>
        <v>181286.03756468964</v>
      </c>
      <c r="L58" s="177">
        <f t="shared" si="5"/>
        <v>152139.65132424136</v>
      </c>
      <c r="M58" s="177">
        <f t="shared" si="5"/>
        <v>171537.11193139671</v>
      </c>
      <c r="N58" s="177">
        <f>SUM(B58:M58)</f>
        <v>2412956.8387978212</v>
      </c>
    </row>
    <row r="59" spans="1:14">
      <c r="A59" s="101" t="s">
        <v>60</v>
      </c>
      <c r="B59" s="177">
        <f>B49/1000</f>
        <v>5681.6874178397375</v>
      </c>
      <c r="C59" s="177">
        <f t="shared" ref="C59:M59" si="6">C49/1000</f>
        <v>6959.0797146364584</v>
      </c>
      <c r="D59" s="177">
        <f t="shared" si="6"/>
        <v>7033.4325140525498</v>
      </c>
      <c r="E59" s="177">
        <f t="shared" si="6"/>
        <v>5978.6858441679788</v>
      </c>
      <c r="F59" s="177">
        <f t="shared" si="6"/>
        <v>5771.2167591659891</v>
      </c>
      <c r="G59" s="177">
        <f t="shared" si="6"/>
        <v>4603.4710986749751</v>
      </c>
      <c r="H59" s="177">
        <f t="shared" si="6"/>
        <v>4073.3313974440739</v>
      </c>
      <c r="I59" s="177">
        <f t="shared" si="6"/>
        <v>3883.168742793202</v>
      </c>
      <c r="J59" s="177">
        <f t="shared" si="6"/>
        <v>4342.9173621004984</v>
      </c>
      <c r="K59" s="177">
        <f t="shared" si="6"/>
        <v>4231.2620558352783</v>
      </c>
      <c r="L59" s="177">
        <f t="shared" si="6"/>
        <v>3885.3343014623606</v>
      </c>
      <c r="M59" s="177">
        <f t="shared" si="6"/>
        <v>4540.2505814712513</v>
      </c>
      <c r="N59" s="177">
        <f t="shared" ref="N59:N61" si="7">SUM(B59:M59)</f>
        <v>60983.837789644356</v>
      </c>
    </row>
    <row r="60" spans="1:14">
      <c r="A60" s="101" t="s">
        <v>61</v>
      </c>
      <c r="B60" s="177">
        <f>B51/1000</f>
        <v>2906.2525403435297</v>
      </c>
      <c r="C60" s="177">
        <f t="shared" ref="C60:M60" si="8">C51/1000</f>
        <v>3444.6875470116929</v>
      </c>
      <c r="D60" s="177">
        <f t="shared" si="8"/>
        <v>3438.9005740801649</v>
      </c>
      <c r="E60" s="177">
        <f t="shared" si="8"/>
        <v>2891.5963498096371</v>
      </c>
      <c r="F60" s="177">
        <f t="shared" si="8"/>
        <v>2842.5710644231494</v>
      </c>
      <c r="G60" s="177">
        <f t="shared" si="8"/>
        <v>2460.7389459994083</v>
      </c>
      <c r="H60" s="177">
        <f t="shared" si="8"/>
        <v>2379.708578175404</v>
      </c>
      <c r="I60" s="177">
        <f t="shared" si="8"/>
        <v>2334.7014008522842</v>
      </c>
      <c r="J60" s="177">
        <f t="shared" si="8"/>
        <v>2636.1078074484049</v>
      </c>
      <c r="K60" s="177">
        <f t="shared" si="8"/>
        <v>2557.045199423927</v>
      </c>
      <c r="L60" s="177">
        <f t="shared" si="8"/>
        <v>2262.4438078898975</v>
      </c>
      <c r="M60" s="177">
        <f t="shared" si="8"/>
        <v>2503.2235681226871</v>
      </c>
      <c r="N60" s="177">
        <f t="shared" si="7"/>
        <v>32657.97738358019</v>
      </c>
    </row>
    <row r="61" spans="1:14">
      <c r="A61" s="101" t="s">
        <v>62</v>
      </c>
      <c r="B61" s="177">
        <f>B54/1000</f>
        <v>287.63113397408142</v>
      </c>
      <c r="C61" s="177">
        <f t="shared" ref="C61:M61" si="9">C54/1000</f>
        <v>292.61685156395185</v>
      </c>
      <c r="D61" s="177">
        <f t="shared" si="9"/>
        <v>304.44688268049549</v>
      </c>
      <c r="E61" s="177">
        <f t="shared" si="9"/>
        <v>260.03908610739364</v>
      </c>
      <c r="F61" s="177">
        <f t="shared" si="9"/>
        <v>265.58691021430189</v>
      </c>
      <c r="G61" s="177">
        <f t="shared" si="9"/>
        <v>393.31098044776007</v>
      </c>
      <c r="H61" s="177">
        <f t="shared" si="9"/>
        <v>700.91588416348861</v>
      </c>
      <c r="I61" s="177">
        <f t="shared" si="9"/>
        <v>1133.9740929447239</v>
      </c>
      <c r="J61" s="177">
        <f t="shared" si="9"/>
        <v>1742.9762552989873</v>
      </c>
      <c r="K61" s="177">
        <f t="shared" si="9"/>
        <v>1582.1374225068564</v>
      </c>
      <c r="L61" s="177">
        <f t="shared" si="9"/>
        <v>986.542820428597</v>
      </c>
      <c r="M61" s="177">
        <f t="shared" si="9"/>
        <v>520.5600463878759</v>
      </c>
      <c r="N61" s="177">
        <f t="shared" si="7"/>
        <v>8470.738366718515</v>
      </c>
    </row>
    <row r="67" spans="1:4">
      <c r="A67" s="101"/>
      <c r="B67" s="175">
        <v>44044</v>
      </c>
      <c r="C67" s="175">
        <v>44075</v>
      </c>
      <c r="D67" s="175">
        <v>44105</v>
      </c>
    </row>
    <row r="68" spans="1:4">
      <c r="A68" s="101" t="s">
        <v>59</v>
      </c>
      <c r="B68" s="176">
        <v>183924855.64376047</v>
      </c>
      <c r="C68" s="176">
        <v>153143679.8414402</v>
      </c>
      <c r="D68" s="176">
        <v>174619342.77762699</v>
      </c>
    </row>
    <row r="69" spans="1:4">
      <c r="A69" s="101" t="s">
        <v>115</v>
      </c>
      <c r="B69" s="176">
        <v>49671462.049514316</v>
      </c>
      <c r="C69" s="176">
        <v>42170938.278646015</v>
      </c>
      <c r="D69" s="176">
        <v>44364425.722319804</v>
      </c>
    </row>
    <row r="70" spans="1:4">
      <c r="A70" s="101" t="s">
        <v>60</v>
      </c>
      <c r="B70" s="176">
        <v>4254200.2844780041</v>
      </c>
      <c r="C70" s="176">
        <v>3854440.3423583186</v>
      </c>
      <c r="D70" s="176">
        <v>4529881.1476572342</v>
      </c>
    </row>
    <row r="71" spans="1:4">
      <c r="A71" s="101" t="s">
        <v>116</v>
      </c>
      <c r="B71" s="176">
        <v>120272463.84152225</v>
      </c>
      <c r="C71" s="176">
        <v>107203333.60560773</v>
      </c>
      <c r="D71" s="176">
        <v>113742569.29089782</v>
      </c>
    </row>
    <row r="72" spans="1:4">
      <c r="A72" s="101" t="s">
        <v>61</v>
      </c>
      <c r="B72" s="176">
        <v>2570118.4964713617</v>
      </c>
      <c r="C72" s="176">
        <v>2237538.596997262</v>
      </c>
      <c r="D72" s="176">
        <v>2486413.2190612759</v>
      </c>
    </row>
    <row r="73" spans="1:4">
      <c r="A73" s="101" t="s">
        <v>117</v>
      </c>
      <c r="B73" s="176">
        <v>95584225</v>
      </c>
      <c r="C73" s="176">
        <v>91570582</v>
      </c>
      <c r="D73" s="176">
        <v>91515705</v>
      </c>
    </row>
    <row r="74" spans="1:4">
      <c r="A74" s="101" t="s">
        <v>118</v>
      </c>
      <c r="B74" s="176">
        <v>24376313.72695554</v>
      </c>
      <c r="C74" s="176">
        <v>16885207.397895597</v>
      </c>
      <c r="D74" s="176">
        <v>9613592.6013661847</v>
      </c>
    </row>
    <row r="75" spans="1:4">
      <c r="A75" s="101" t="s">
        <v>62</v>
      </c>
      <c r="B75" s="176">
        <v>1583552.5568775397</v>
      </c>
      <c r="C75" s="176">
        <v>965193.66928783793</v>
      </c>
      <c r="D75" s="176">
        <v>510749.42277459928</v>
      </c>
    </row>
    <row r="76" spans="1:4">
      <c r="A76" s="101" t="s">
        <v>119</v>
      </c>
      <c r="B76" s="176">
        <v>1466534.9889252647</v>
      </c>
      <c r="C76" s="176">
        <v>1478001.4345145924</v>
      </c>
      <c r="D76" s="176">
        <v>1449168.1485833083</v>
      </c>
    </row>
    <row r="77" spans="1:4">
      <c r="A77" s="101"/>
      <c r="B77" s="101"/>
      <c r="C77" s="101"/>
      <c r="D77" s="101"/>
    </row>
    <row r="79" spans="1:4">
      <c r="A79" s="101" t="s">
        <v>59</v>
      </c>
      <c r="B79" s="177">
        <f>B68/1000</f>
        <v>183924.85564376047</v>
      </c>
      <c r="C79" s="177">
        <f t="shared" ref="C79:D79" si="10">C68/1000</f>
        <v>153143.6798414402</v>
      </c>
      <c r="D79" s="177">
        <f t="shared" si="10"/>
        <v>174619.342777627</v>
      </c>
    </row>
    <row r="80" spans="1:4">
      <c r="A80" s="101" t="s">
        <v>60</v>
      </c>
      <c r="B80" s="177">
        <f>B70/1000</f>
        <v>4254.2002844780045</v>
      </c>
      <c r="C80" s="177">
        <f t="shared" ref="C80:D80" si="11">C70/1000</f>
        <v>3854.4403423583185</v>
      </c>
      <c r="D80" s="177">
        <f t="shared" si="11"/>
        <v>4529.8811476572346</v>
      </c>
    </row>
    <row r="81" spans="1:4">
      <c r="A81" s="101" t="s">
        <v>61</v>
      </c>
      <c r="B81" s="177">
        <f>B72/1000</f>
        <v>2570.1184964713616</v>
      </c>
      <c r="C81" s="177">
        <f t="shared" ref="C81:D81" si="12">C72/1000</f>
        <v>2237.5385969972622</v>
      </c>
      <c r="D81" s="177">
        <f t="shared" si="12"/>
        <v>2486.4132190612759</v>
      </c>
    </row>
    <row r="82" spans="1:4">
      <c r="A82" s="101" t="s">
        <v>62</v>
      </c>
      <c r="B82" s="177">
        <f>B75/1000</f>
        <v>1583.5525568775397</v>
      </c>
      <c r="C82" s="177">
        <f t="shared" ref="C82:D82" si="13">C75/1000</f>
        <v>965.19366928783791</v>
      </c>
      <c r="D82" s="177">
        <f t="shared" si="13"/>
        <v>510.74942277459928</v>
      </c>
    </row>
  </sheetData>
  <mergeCells count="4">
    <mergeCell ref="A1:P1"/>
    <mergeCell ref="A2:P2"/>
    <mergeCell ref="A4:P4"/>
    <mergeCell ref="A3:P3"/>
  </mergeCells>
  <pageMargins left="1.01" right="0.7" top="0.75" bottom="0.75" header="0.3" footer="0.3"/>
  <pageSetup scale="51" orientation="landscape" r:id="rId1"/>
  <headerFooter>
    <oddFooter>&amp;L&amp;A</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33"/>
  <sheetViews>
    <sheetView zoomScaleNormal="100" workbookViewId="0">
      <selection activeCell="C31" sqref="C31"/>
    </sheetView>
  </sheetViews>
  <sheetFormatPr defaultRowHeight="12.75"/>
  <cols>
    <col min="1" max="1" width="10" style="11" bestFit="1" customWidth="1"/>
    <col min="2" max="6" width="17.140625" style="11" customWidth="1"/>
    <col min="7" max="7" width="16.85546875" style="11" bestFit="1" customWidth="1"/>
    <col min="8" max="8" width="17.140625" style="11" customWidth="1"/>
    <col min="9" max="9" width="17.7109375" style="11" customWidth="1"/>
    <col min="10" max="10" width="17.140625" style="12" customWidth="1"/>
    <col min="11" max="13" width="17.140625" style="11" customWidth="1"/>
    <col min="14" max="16384" width="9.140625" style="11"/>
  </cols>
  <sheetData>
    <row r="1" spans="1:13" ht="15">
      <c r="A1" s="10" t="s">
        <v>45</v>
      </c>
      <c r="B1" s="73"/>
      <c r="C1" s="73"/>
      <c r="D1" s="73"/>
      <c r="E1" s="73"/>
      <c r="F1" s="73"/>
      <c r="G1" s="73"/>
      <c r="H1"/>
      <c r="I1" s="72"/>
      <c r="J1" s="72"/>
      <c r="K1" s="72"/>
      <c r="L1" s="72"/>
      <c r="M1" s="72"/>
    </row>
    <row r="2" spans="1:13" ht="15">
      <c r="A2" s="10" t="s">
        <v>46</v>
      </c>
      <c r="B2" s="73"/>
      <c r="C2" s="73"/>
      <c r="D2" s="73"/>
      <c r="E2" s="73"/>
      <c r="F2" s="73"/>
      <c r="G2" s="73"/>
      <c r="H2"/>
      <c r="I2" s="72"/>
      <c r="J2" s="72"/>
      <c r="K2" s="72"/>
      <c r="L2" s="72"/>
      <c r="M2" s="72"/>
    </row>
    <row r="3" spans="1:13" ht="15">
      <c r="A3"/>
      <c r="B3" s="73"/>
      <c r="C3" s="73"/>
      <c r="D3" s="73"/>
      <c r="E3" s="73"/>
      <c r="F3" s="73"/>
      <c r="G3" s="73"/>
      <c r="H3"/>
      <c r="I3"/>
      <c r="J3"/>
      <c r="K3"/>
      <c r="L3"/>
      <c r="M3"/>
    </row>
    <row r="4" spans="1:13" ht="12.75" customHeight="1">
      <c r="A4"/>
      <c r="B4" s="73"/>
      <c r="C4" s="73"/>
      <c r="D4" s="73"/>
      <c r="E4" s="73"/>
      <c r="F4" s="73"/>
      <c r="G4" s="73"/>
      <c r="H4"/>
      <c r="I4" s="182" t="s">
        <v>107</v>
      </c>
      <c r="J4" s="13"/>
      <c r="K4" s="72"/>
      <c r="L4" s="72"/>
      <c r="M4" s="72"/>
    </row>
    <row r="5" spans="1:13" ht="15">
      <c r="A5"/>
      <c r="B5" s="184">
        <v>2017</v>
      </c>
      <c r="C5" s="184"/>
      <c r="D5" s="14"/>
      <c r="E5" s="184">
        <v>2018</v>
      </c>
      <c r="F5" s="184"/>
      <c r="G5" s="73"/>
      <c r="H5"/>
      <c r="I5" s="182"/>
      <c r="J5" s="13"/>
      <c r="K5" s="184" t="s">
        <v>47</v>
      </c>
      <c r="L5" s="184"/>
      <c r="M5" s="184"/>
    </row>
    <row r="6" spans="1:13" ht="34.5" customHeight="1">
      <c r="A6"/>
      <c r="B6" s="84" t="s">
        <v>49</v>
      </c>
      <c r="C6" s="84" t="s">
        <v>50</v>
      </c>
      <c r="D6" s="84" t="s">
        <v>0</v>
      </c>
      <c r="E6" s="84" t="s">
        <v>49</v>
      </c>
      <c r="F6" s="84" t="s">
        <v>50</v>
      </c>
      <c r="G6" s="84" t="s">
        <v>0</v>
      </c>
      <c r="H6" s="15" t="s">
        <v>47</v>
      </c>
      <c r="I6" s="183"/>
      <c r="J6" s="71" t="s">
        <v>77</v>
      </c>
      <c r="K6" s="70" t="s">
        <v>49</v>
      </c>
      <c r="L6" s="70" t="s">
        <v>50</v>
      </c>
      <c r="M6" s="15" t="s">
        <v>48</v>
      </c>
    </row>
    <row r="7" spans="1:13" ht="15">
      <c r="A7" t="s">
        <v>76</v>
      </c>
      <c r="B7" s="150">
        <v>356941619.38800001</v>
      </c>
      <c r="C7" s="150">
        <v>171454441.47999999</v>
      </c>
      <c r="D7" s="82">
        <f t="shared" ref="D7:D18" si="0">SUM(B7:C7)</f>
        <v>528396060.86800003</v>
      </c>
      <c r="E7" s="152">
        <v>316481022.47399998</v>
      </c>
      <c r="F7" s="152">
        <v>149363788.4048</v>
      </c>
      <c r="G7" s="82">
        <f t="shared" ref="G7:G18" si="1">SUM(E7:F7)</f>
        <v>465844810.87879997</v>
      </c>
      <c r="H7" s="23">
        <f t="shared" ref="H7:H18" si="2">AVERAGE(G7,D7)</f>
        <v>497120435.87339997</v>
      </c>
      <c r="I7" s="81">
        <v>497120435.97800004</v>
      </c>
      <c r="J7" s="80">
        <f t="shared" ref="J7:J18" si="3">H7-I7</f>
        <v>-0.10460007190704346</v>
      </c>
      <c r="K7" s="79">
        <f t="shared" ref="K7:K18" si="4">AVERAGE(E7,B7)</f>
        <v>336711320.93099999</v>
      </c>
      <c r="L7" s="79">
        <f t="shared" ref="L7:L18" si="5">AVERAGE(F7,C7)</f>
        <v>160409114.94239998</v>
      </c>
      <c r="M7" s="16">
        <f t="shared" ref="M7:M18" si="6">K7+L7</f>
        <v>497120435.87339997</v>
      </c>
    </row>
    <row r="8" spans="1:13" ht="15">
      <c r="A8" t="s">
        <v>75</v>
      </c>
      <c r="B8" s="150">
        <v>299955697.33399999</v>
      </c>
      <c r="C8" s="150">
        <v>139672062.016</v>
      </c>
      <c r="D8" s="82">
        <f t="shared" si="0"/>
        <v>439627759.35000002</v>
      </c>
      <c r="E8" s="150">
        <v>248193191.57922602</v>
      </c>
      <c r="F8" s="150">
        <v>122545911.29091954</v>
      </c>
      <c r="G8" s="82">
        <f t="shared" si="1"/>
        <v>370739102.87014556</v>
      </c>
      <c r="H8" s="23">
        <f t="shared" si="2"/>
        <v>405183431.11007279</v>
      </c>
      <c r="I8" s="81">
        <v>405183431.222</v>
      </c>
      <c r="J8" s="80">
        <f t="shared" si="3"/>
        <v>-0.11192721128463745</v>
      </c>
      <c r="K8" s="79">
        <f t="shared" si="4"/>
        <v>274074444.456613</v>
      </c>
      <c r="L8" s="79">
        <f t="shared" si="5"/>
        <v>131108986.65345977</v>
      </c>
      <c r="M8" s="16">
        <f t="shared" si="6"/>
        <v>405183431.11007279</v>
      </c>
    </row>
    <row r="9" spans="1:13" ht="15">
      <c r="A9" t="s">
        <v>74</v>
      </c>
      <c r="B9" s="150">
        <v>248367573.55399999</v>
      </c>
      <c r="C9" s="150">
        <v>121037657.788</v>
      </c>
      <c r="D9" s="82">
        <f t="shared" si="0"/>
        <v>369405231.34200001</v>
      </c>
      <c r="E9" s="150">
        <v>253962154.40636</v>
      </c>
      <c r="F9" s="150">
        <v>124959793.48712</v>
      </c>
      <c r="G9" s="82">
        <f t="shared" si="1"/>
        <v>378921947.89348</v>
      </c>
      <c r="H9" s="23">
        <f t="shared" si="2"/>
        <v>374163589.61774004</v>
      </c>
      <c r="I9" s="81">
        <v>374163589.41900003</v>
      </c>
      <c r="J9" s="80">
        <f t="shared" si="3"/>
        <v>0.19874000549316406</v>
      </c>
      <c r="K9" s="79">
        <f t="shared" si="4"/>
        <v>251164863.98018</v>
      </c>
      <c r="L9" s="79">
        <f t="shared" si="5"/>
        <v>122998725.63756001</v>
      </c>
      <c r="M9" s="16">
        <f t="shared" si="6"/>
        <v>374163589.61774004</v>
      </c>
    </row>
    <row r="10" spans="1:13" ht="15">
      <c r="A10" t="s">
        <v>73</v>
      </c>
      <c r="B10" s="150">
        <v>208943432.93599999</v>
      </c>
      <c r="C10" s="150">
        <v>102724550.242</v>
      </c>
      <c r="D10" s="82">
        <f t="shared" si="0"/>
        <v>311667983.17799997</v>
      </c>
      <c r="E10" s="150">
        <v>213622405.366</v>
      </c>
      <c r="F10" s="150">
        <v>106084253.08</v>
      </c>
      <c r="G10" s="82">
        <f t="shared" si="1"/>
        <v>319706658.44599998</v>
      </c>
      <c r="H10" s="23">
        <f t="shared" si="2"/>
        <v>315687320.81199998</v>
      </c>
      <c r="I10" s="81">
        <v>315687320.81199998</v>
      </c>
      <c r="J10" s="80">
        <f t="shared" si="3"/>
        <v>0</v>
      </c>
      <c r="K10" s="79">
        <f t="shared" si="4"/>
        <v>211282919.15099999</v>
      </c>
      <c r="L10" s="79">
        <f t="shared" si="5"/>
        <v>104404401.661</v>
      </c>
      <c r="M10" s="16">
        <f t="shared" si="6"/>
        <v>315687320.81199998</v>
      </c>
    </row>
    <row r="11" spans="1:13" ht="15">
      <c r="A11" t="s">
        <v>72</v>
      </c>
      <c r="B11" s="150">
        <v>179564116.09</v>
      </c>
      <c r="C11" s="150">
        <v>88733656.952000007</v>
      </c>
      <c r="D11" s="82">
        <f t="shared" si="0"/>
        <v>268297773.042</v>
      </c>
      <c r="E11" s="150">
        <v>174666515.16558847</v>
      </c>
      <c r="F11" s="150">
        <v>82847792.268444002</v>
      </c>
      <c r="G11" s="82">
        <f t="shared" si="1"/>
        <v>257514307.43403247</v>
      </c>
      <c r="H11" s="23">
        <f t="shared" si="2"/>
        <v>262906040.23801625</v>
      </c>
      <c r="I11" s="81">
        <v>262906039.99900001</v>
      </c>
      <c r="J11" s="80">
        <f t="shared" si="3"/>
        <v>0.23901623487472534</v>
      </c>
      <c r="K11" s="79">
        <f t="shared" si="4"/>
        <v>177115315.62779424</v>
      </c>
      <c r="L11" s="79">
        <f t="shared" si="5"/>
        <v>85790724.610222012</v>
      </c>
      <c r="M11" s="16">
        <f t="shared" si="6"/>
        <v>262906040.23801625</v>
      </c>
    </row>
    <row r="12" spans="1:13" ht="15">
      <c r="A12" t="s">
        <v>71</v>
      </c>
      <c r="B12" s="150">
        <v>169527755.1666441</v>
      </c>
      <c r="C12" s="150">
        <v>80562585.280000001</v>
      </c>
      <c r="D12" s="82">
        <f t="shared" si="0"/>
        <v>250090340.4466441</v>
      </c>
      <c r="E12" s="150">
        <v>163470208.41999999</v>
      </c>
      <c r="F12" s="150">
        <v>77943535.167999998</v>
      </c>
      <c r="G12" s="82">
        <f t="shared" si="1"/>
        <v>241413743.588</v>
      </c>
      <c r="H12" s="23">
        <f t="shared" si="2"/>
        <v>245752042.01732206</v>
      </c>
      <c r="I12" s="81">
        <v>245752042.18599999</v>
      </c>
      <c r="J12" s="80">
        <f t="shared" si="3"/>
        <v>-0.1686779260635376</v>
      </c>
      <c r="K12" s="79">
        <f t="shared" si="4"/>
        <v>166498981.79332203</v>
      </c>
      <c r="L12" s="79">
        <f t="shared" si="5"/>
        <v>79253060.224000007</v>
      </c>
      <c r="M12" s="16">
        <f t="shared" si="6"/>
        <v>245752042.01732203</v>
      </c>
    </row>
    <row r="13" spans="1:13" ht="15">
      <c r="A13" t="s">
        <v>70</v>
      </c>
      <c r="B13" s="150">
        <v>190655834.8887929</v>
      </c>
      <c r="C13" s="150">
        <v>94119756.761999995</v>
      </c>
      <c r="D13" s="82">
        <f t="shared" si="0"/>
        <v>284775591.6507929</v>
      </c>
      <c r="E13" s="150">
        <v>178447457.74399999</v>
      </c>
      <c r="F13" s="150">
        <v>87579368.755999997</v>
      </c>
      <c r="G13" s="82">
        <f t="shared" si="1"/>
        <v>266026826.5</v>
      </c>
      <c r="H13" s="23">
        <f t="shared" si="2"/>
        <v>275401209.07539642</v>
      </c>
      <c r="I13" s="81">
        <v>275401209.25</v>
      </c>
      <c r="J13" s="80">
        <f t="shared" si="3"/>
        <v>-0.17460358142852783</v>
      </c>
      <c r="K13" s="79">
        <f t="shared" si="4"/>
        <v>184551646.31639645</v>
      </c>
      <c r="L13" s="79">
        <f t="shared" si="5"/>
        <v>90849562.759000003</v>
      </c>
      <c r="M13" s="16">
        <f t="shared" si="6"/>
        <v>275401209.07539642</v>
      </c>
    </row>
    <row r="14" spans="1:13" ht="15">
      <c r="A14" t="s">
        <v>51</v>
      </c>
      <c r="B14" s="150">
        <v>220771443.61497456</v>
      </c>
      <c r="C14" s="150">
        <v>100028270.81200001</v>
      </c>
      <c r="D14" s="82">
        <f t="shared" si="0"/>
        <v>320799714.42697453</v>
      </c>
      <c r="E14" s="150">
        <v>223770961.69124597</v>
      </c>
      <c r="F14" s="150">
        <v>102411415.94359601</v>
      </c>
      <c r="G14" s="82">
        <f t="shared" si="1"/>
        <v>326182377.63484198</v>
      </c>
      <c r="H14" s="23">
        <f t="shared" si="2"/>
        <v>323491046.03090823</v>
      </c>
      <c r="I14" s="81">
        <v>323491046.24142098</v>
      </c>
      <c r="J14" s="80">
        <f t="shared" si="3"/>
        <v>-0.21051275730133057</v>
      </c>
      <c r="K14" s="79">
        <f t="shared" si="4"/>
        <v>222271202.65311027</v>
      </c>
      <c r="L14" s="79">
        <f t="shared" si="5"/>
        <v>101219843.37779801</v>
      </c>
      <c r="M14" s="16">
        <f t="shared" si="6"/>
        <v>323491046.03090829</v>
      </c>
    </row>
    <row r="15" spans="1:13" ht="15">
      <c r="A15" t="s">
        <v>52</v>
      </c>
      <c r="B15" s="150">
        <v>202952194.93000001</v>
      </c>
      <c r="C15" s="150">
        <v>89559211.406000003</v>
      </c>
      <c r="D15" s="82">
        <f t="shared" si="0"/>
        <v>292511406.33600003</v>
      </c>
      <c r="E15" s="150">
        <v>181808711.94644001</v>
      </c>
      <c r="F15" s="150">
        <v>82384409.30622001</v>
      </c>
      <c r="G15" s="82">
        <f t="shared" si="1"/>
        <v>264193121.25266004</v>
      </c>
      <c r="H15" s="23">
        <f t="shared" si="2"/>
        <v>278352263.79433</v>
      </c>
      <c r="I15" s="81">
        <v>278352263.79433</v>
      </c>
      <c r="J15" s="80">
        <f t="shared" si="3"/>
        <v>0</v>
      </c>
      <c r="K15" s="79">
        <f t="shared" si="4"/>
        <v>192380453.43822002</v>
      </c>
      <c r="L15" s="79">
        <f t="shared" si="5"/>
        <v>85971810.356110007</v>
      </c>
      <c r="M15" s="16">
        <f t="shared" si="6"/>
        <v>278352263.79433</v>
      </c>
    </row>
    <row r="16" spans="1:13" ht="15">
      <c r="A16" t="s">
        <v>43</v>
      </c>
      <c r="B16" s="150">
        <v>172955101.06999999</v>
      </c>
      <c r="C16" s="150">
        <v>84002169.046000004</v>
      </c>
      <c r="D16" s="82">
        <f t="shared" si="0"/>
        <v>256957270.116</v>
      </c>
      <c r="E16" s="150">
        <v>163609344.21245998</v>
      </c>
      <c r="F16" s="150">
        <v>79467374.023860008</v>
      </c>
      <c r="G16" s="82">
        <f t="shared" si="1"/>
        <v>243076718.23631999</v>
      </c>
      <c r="H16" s="23">
        <f t="shared" si="2"/>
        <v>250016994.17615998</v>
      </c>
      <c r="I16" s="17">
        <v>250016994.17616001</v>
      </c>
      <c r="J16" s="80">
        <f t="shared" si="3"/>
        <v>0</v>
      </c>
      <c r="K16" s="79">
        <f t="shared" si="4"/>
        <v>168282222.64122999</v>
      </c>
      <c r="L16" s="79">
        <f t="shared" si="5"/>
        <v>81734771.534930006</v>
      </c>
      <c r="M16" s="16">
        <f t="shared" si="6"/>
        <v>250016994.17615998</v>
      </c>
    </row>
    <row r="17" spans="1:13" ht="15">
      <c r="A17" t="s">
        <v>1</v>
      </c>
      <c r="B17" s="150">
        <v>210586482.414</v>
      </c>
      <c r="C17" s="150">
        <v>104335246.94</v>
      </c>
      <c r="D17" s="82">
        <f t="shared" si="0"/>
        <v>314921729.35399997</v>
      </c>
      <c r="E17" s="150">
        <v>197346008.27878001</v>
      </c>
      <c r="F17" s="150">
        <v>98883415.412619993</v>
      </c>
      <c r="G17" s="82">
        <f t="shared" si="1"/>
        <v>296229423.69139999</v>
      </c>
      <c r="H17" s="23">
        <f t="shared" si="2"/>
        <v>305575576.52269995</v>
      </c>
      <c r="I17" s="81">
        <v>305575576.52270001</v>
      </c>
      <c r="J17" s="80">
        <f t="shared" si="3"/>
        <v>0</v>
      </c>
      <c r="K17" s="79">
        <f t="shared" si="4"/>
        <v>203966245.34639001</v>
      </c>
      <c r="L17" s="79">
        <f t="shared" si="5"/>
        <v>101609331.17631</v>
      </c>
      <c r="M17" s="16">
        <f t="shared" si="6"/>
        <v>305575576.52270001</v>
      </c>
    </row>
    <row r="18" spans="1:13" ht="15">
      <c r="A18" t="s">
        <v>53</v>
      </c>
      <c r="B18" s="151">
        <v>268107813.27059996</v>
      </c>
      <c r="C18" s="151">
        <v>133150373.57166</v>
      </c>
      <c r="D18" s="83">
        <f t="shared" si="0"/>
        <v>401258186.84225994</v>
      </c>
      <c r="E18" s="153">
        <v>267155681.66624001</v>
      </c>
      <c r="F18" s="153">
        <v>135561001.12316</v>
      </c>
      <c r="G18" s="82">
        <f t="shared" si="1"/>
        <v>402716682.78939998</v>
      </c>
      <c r="H18" s="23">
        <f t="shared" si="2"/>
        <v>401987434.81582999</v>
      </c>
      <c r="I18" s="81">
        <v>401987434.65369999</v>
      </c>
      <c r="J18" s="80">
        <f t="shared" si="3"/>
        <v>0.16212999820709229</v>
      </c>
      <c r="K18" s="79">
        <f t="shared" si="4"/>
        <v>267631747.46841997</v>
      </c>
      <c r="L18" s="79">
        <f t="shared" si="5"/>
        <v>134355687.34740999</v>
      </c>
      <c r="M18" s="16">
        <f t="shared" si="6"/>
        <v>401987434.81582999</v>
      </c>
    </row>
    <row r="19" spans="1:13" ht="15">
      <c r="A19"/>
      <c r="B19" s="78">
        <f t="shared" ref="B19:H19" si="7">SUM(B7:B18)</f>
        <v>2729329064.6570115</v>
      </c>
      <c r="C19" s="78">
        <f t="shared" si="7"/>
        <v>1309379982.29566</v>
      </c>
      <c r="D19" s="78">
        <f t="shared" si="7"/>
        <v>4038709046.952672</v>
      </c>
      <c r="E19" s="78">
        <f t="shared" si="7"/>
        <v>2582533662.9503407</v>
      </c>
      <c r="F19" s="78">
        <f t="shared" si="7"/>
        <v>1250032058.2647395</v>
      </c>
      <c r="G19" s="78">
        <f t="shared" si="7"/>
        <v>3832565721.2150803</v>
      </c>
      <c r="H19" s="78">
        <f t="shared" si="7"/>
        <v>3935637384.0838757</v>
      </c>
      <c r="I19" s="19">
        <v>3867544659</v>
      </c>
      <c r="J19" s="19">
        <f>SUM(J7:J18)</f>
        <v>-0.17043530941009521</v>
      </c>
      <c r="K19" s="18">
        <f>SUM(K7:K18)</f>
        <v>2655931363.8036766</v>
      </c>
      <c r="L19" s="18">
        <f>SUM(L7:L18)</f>
        <v>1279706020.2801998</v>
      </c>
      <c r="M19" s="18">
        <f>SUM(M7:M18)</f>
        <v>3935637384.0838757</v>
      </c>
    </row>
    <row r="20" spans="1:13" ht="15">
      <c r="A20"/>
      <c r="B20" s="73"/>
      <c r="C20" s="73"/>
      <c r="D20" s="73"/>
      <c r="E20" s="73"/>
      <c r="F20" s="73"/>
      <c r="G20" s="73"/>
      <c r="H20"/>
      <c r="I20" s="72"/>
      <c r="J20" s="72"/>
      <c r="K20" s="136">
        <f>K19/M19</f>
        <v>0.67484148172403724</v>
      </c>
      <c r="L20" s="136">
        <f>L19/M19</f>
        <v>0.32515851827596293</v>
      </c>
      <c r="M20" s="20">
        <f>SUM(K20:L20)</f>
        <v>1.0000000000000002</v>
      </c>
    </row>
    <row r="21" spans="1:13" ht="15">
      <c r="A21"/>
      <c r="B21" s="73"/>
      <c r="C21" s="73"/>
      <c r="D21" s="73"/>
      <c r="E21" s="73"/>
      <c r="F21" s="73"/>
      <c r="G21" s="73"/>
      <c r="H21"/>
      <c r="I21" s="16"/>
      <c r="J21" s="72"/>
      <c r="K21" s="72"/>
      <c r="L21" s="72"/>
      <c r="M21" s="72"/>
    </row>
    <row r="22" spans="1:13" ht="15">
      <c r="A22"/>
      <c r="B22" s="73"/>
      <c r="C22" s="73"/>
      <c r="D22" s="73"/>
      <c r="E22" s="70" t="s">
        <v>49</v>
      </c>
      <c r="F22" s="70" t="s">
        <v>50</v>
      </c>
      <c r="G22" s="73"/>
      <c r="H22"/>
      <c r="I22" s="72"/>
      <c r="J22" s="72"/>
      <c r="K22" s="72"/>
      <c r="L22" s="72"/>
      <c r="M22" s="72"/>
    </row>
    <row r="23" spans="1:13" ht="15">
      <c r="A23"/>
      <c r="B23" s="73"/>
      <c r="C23" s="73"/>
      <c r="D23" s="73"/>
      <c r="E23" s="16">
        <f>B19+E19</f>
        <v>5311862727.6073523</v>
      </c>
      <c r="F23" s="16">
        <f>C19+F19</f>
        <v>2559412040.5603995</v>
      </c>
      <c r="G23" s="73"/>
      <c r="H23"/>
      <c r="I23" s="72"/>
      <c r="J23" s="72"/>
      <c r="K23" s="72"/>
      <c r="L23" s="72"/>
      <c r="M23" s="72"/>
    </row>
    <row r="24" spans="1:13" ht="15">
      <c r="A24"/>
      <c r="B24" s="73"/>
      <c r="C24" s="73"/>
      <c r="D24" s="73"/>
      <c r="E24" s="21">
        <f>E23/2</f>
        <v>2655931363.8036761</v>
      </c>
      <c r="F24" s="21">
        <f>F23/2</f>
        <v>1279706020.2801998</v>
      </c>
      <c r="G24" s="73"/>
      <c r="H24"/>
      <c r="I24" s="72"/>
      <c r="J24" s="72"/>
      <c r="K24" s="72"/>
      <c r="L24" s="72"/>
      <c r="M24" s="72"/>
    </row>
    <row r="25" spans="1:13" ht="15">
      <c r="A25"/>
      <c r="B25" s="73"/>
      <c r="C25" s="77"/>
      <c r="D25" s="73"/>
      <c r="E25" s="73"/>
      <c r="F25" s="73"/>
      <c r="G25" s="73"/>
      <c r="H25"/>
      <c r="I25" s="75"/>
      <c r="J25" s="76"/>
      <c r="K25" s="75"/>
      <c r="L25" s="74"/>
      <c r="M25" s="72"/>
    </row>
    <row r="26" spans="1:13" ht="15">
      <c r="A26"/>
      <c r="B26" s="185" t="s">
        <v>69</v>
      </c>
      <c r="C26" s="185"/>
      <c r="D26" s="73"/>
      <c r="E26" s="73"/>
      <c r="F26" s="73"/>
      <c r="G26" s="73"/>
      <c r="H26"/>
      <c r="I26" s="72"/>
      <c r="J26" s="72"/>
      <c r="K26" s="72"/>
      <c r="L26" s="72"/>
      <c r="M26" s="72"/>
    </row>
    <row r="33" spans="1:1" s="11" customFormat="1">
      <c r="A33" s="10"/>
    </row>
  </sheetData>
  <mergeCells count="5">
    <mergeCell ref="I4:I6"/>
    <mergeCell ref="B5:C5"/>
    <mergeCell ref="E5:F5"/>
    <mergeCell ref="K5:M5"/>
    <mergeCell ref="B26:C26"/>
  </mergeCells>
  <pageMargins left="1.01" right="0.7" top="0.75" bottom="0.75" header="0.3" footer="0.3"/>
  <pageSetup scale="55" orientation="landscape" r:id="rId1"/>
  <headerFooter>
    <oddFooter>&amp;L&amp;A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1"/>
  <sheetViews>
    <sheetView workbookViewId="0">
      <selection activeCell="A35" sqref="A35"/>
    </sheetView>
  </sheetViews>
  <sheetFormatPr defaultRowHeight="12.75"/>
  <cols>
    <col min="1" max="1" width="24.140625" style="101" customWidth="1"/>
    <col min="2" max="2" width="13.7109375" style="101" customWidth="1"/>
    <col min="3" max="3" width="16" style="101" bestFit="1" customWidth="1"/>
    <col min="4" max="4" width="14.85546875" style="101" customWidth="1"/>
    <col min="5" max="5" width="12.85546875" style="101" bestFit="1" customWidth="1"/>
    <col min="6" max="16384" width="9.140625" style="101"/>
  </cols>
  <sheetData>
    <row r="1" spans="1:7">
      <c r="A1" s="102"/>
      <c r="B1" s="103" t="s">
        <v>79</v>
      </c>
      <c r="C1" s="102"/>
      <c r="D1" s="102"/>
      <c r="E1" s="102"/>
      <c r="F1" s="102"/>
      <c r="G1" s="102"/>
    </row>
    <row r="2" spans="1:7">
      <c r="A2" s="103"/>
      <c r="B2" s="103" t="s">
        <v>121</v>
      </c>
      <c r="C2" s="103"/>
      <c r="D2" s="103"/>
      <c r="E2" s="103"/>
      <c r="F2" s="103"/>
      <c r="G2" s="103"/>
    </row>
    <row r="3" spans="1:7">
      <c r="A3" s="103"/>
      <c r="B3" s="104" t="s">
        <v>80</v>
      </c>
      <c r="C3" s="103"/>
      <c r="D3" s="103"/>
      <c r="E3" s="103"/>
      <c r="F3" s="103"/>
      <c r="G3" s="103"/>
    </row>
    <row r="4" spans="1:7">
      <c r="A4" s="103"/>
      <c r="B4" s="103" t="s">
        <v>93</v>
      </c>
      <c r="C4" s="103"/>
      <c r="D4" s="103"/>
      <c r="E4" s="103"/>
      <c r="F4" s="103"/>
      <c r="G4" s="103"/>
    </row>
    <row r="5" spans="1:7">
      <c r="A5" s="103"/>
      <c r="B5" s="103"/>
      <c r="C5" s="103"/>
      <c r="D5" s="103"/>
      <c r="E5" s="103"/>
      <c r="F5" s="103"/>
      <c r="G5" s="103"/>
    </row>
    <row r="6" spans="1:7">
      <c r="A6" s="103"/>
      <c r="B6" s="103"/>
      <c r="C6" s="103"/>
      <c r="D6" s="103"/>
      <c r="E6" s="103"/>
      <c r="F6" s="103"/>
      <c r="G6" s="103"/>
    </row>
    <row r="7" spans="1:7">
      <c r="A7" s="103"/>
      <c r="B7" s="103"/>
      <c r="C7" s="103"/>
      <c r="D7" s="103"/>
      <c r="E7" s="103"/>
      <c r="F7" s="103"/>
      <c r="G7" s="103"/>
    </row>
    <row r="8" spans="1:7">
      <c r="A8" s="103"/>
      <c r="B8" s="102"/>
      <c r="C8" s="105" t="s">
        <v>81</v>
      </c>
      <c r="D8" s="106"/>
      <c r="E8" s="103"/>
      <c r="F8" s="103"/>
      <c r="G8" s="103"/>
    </row>
    <row r="9" spans="1:7">
      <c r="A9" s="103"/>
      <c r="B9" s="103"/>
      <c r="C9" s="103" t="s">
        <v>82</v>
      </c>
      <c r="D9" s="103" t="s">
        <v>82</v>
      </c>
      <c r="E9" s="103"/>
      <c r="F9" s="103"/>
      <c r="G9" s="103"/>
    </row>
    <row r="10" spans="1:7">
      <c r="A10" s="107" t="s">
        <v>83</v>
      </c>
      <c r="B10" s="108" t="s">
        <v>84</v>
      </c>
      <c r="C10" s="109">
        <v>43739</v>
      </c>
      <c r="D10" s="109">
        <v>43739</v>
      </c>
      <c r="E10" s="110"/>
      <c r="F10" s="110"/>
      <c r="G10" s="110"/>
    </row>
    <row r="11" spans="1:7">
      <c r="A11" s="107"/>
      <c r="B11" s="111" t="s">
        <v>85</v>
      </c>
      <c r="C11" s="111" t="s">
        <v>86</v>
      </c>
      <c r="D11" s="111" t="s">
        <v>87</v>
      </c>
      <c r="E11" s="110"/>
      <c r="F11" s="110"/>
      <c r="G11" s="110"/>
    </row>
    <row r="12" spans="1:7">
      <c r="A12" s="102"/>
      <c r="B12" s="102"/>
      <c r="C12" s="102"/>
      <c r="D12" s="103" t="s">
        <v>88</v>
      </c>
      <c r="E12" s="102"/>
      <c r="F12" s="102"/>
      <c r="G12" s="102"/>
    </row>
    <row r="13" spans="1:7">
      <c r="A13" s="102"/>
      <c r="B13" s="102"/>
      <c r="C13" s="102"/>
      <c r="D13" s="103"/>
      <c r="E13" s="102"/>
      <c r="F13" s="102"/>
      <c r="G13" s="102"/>
    </row>
    <row r="14" spans="1:7">
      <c r="A14" s="166" t="s">
        <v>102</v>
      </c>
      <c r="B14" s="173">
        <f>107168050+206745</f>
        <v>107374795</v>
      </c>
      <c r="C14" s="133">
        <v>-0.41399999999999998</v>
      </c>
      <c r="D14" s="112">
        <f>(B14*C14)/100</f>
        <v>-444531.65129999997</v>
      </c>
      <c r="F14" s="102"/>
      <c r="G14" s="113"/>
    </row>
    <row r="15" spans="1:7">
      <c r="A15" s="103">
        <v>12</v>
      </c>
      <c r="B15" s="173">
        <v>2362563</v>
      </c>
      <c r="C15" s="133">
        <f>C14</f>
        <v>-0.41399999999999998</v>
      </c>
      <c r="D15" s="112">
        <f>(B15*C15)/100</f>
        <v>-9781.0108199999995</v>
      </c>
      <c r="E15" s="113"/>
      <c r="F15" s="102"/>
      <c r="G15" s="102"/>
    </row>
    <row r="16" spans="1:7">
      <c r="A16" s="103">
        <v>22</v>
      </c>
      <c r="B16" s="173">
        <v>1388958</v>
      </c>
      <c r="C16" s="133">
        <f>C14</f>
        <v>-0.41399999999999998</v>
      </c>
      <c r="D16" s="112">
        <f>(B16*C16)/100</f>
        <v>-5750.2861199999998</v>
      </c>
      <c r="E16" s="113"/>
      <c r="F16" s="102"/>
      <c r="G16" s="102"/>
    </row>
    <row r="17" spans="1:10">
      <c r="A17" s="103">
        <v>32</v>
      </c>
      <c r="B17" s="173">
        <v>446145</v>
      </c>
      <c r="C17" s="133">
        <f>C14</f>
        <v>-0.41399999999999998</v>
      </c>
      <c r="D17" s="112">
        <f>(B17*C17)/100</f>
        <v>-1847.0402999999999</v>
      </c>
      <c r="E17" s="113"/>
      <c r="F17" s="102"/>
      <c r="G17" s="102"/>
      <c r="H17" s="102"/>
      <c r="I17" s="102"/>
      <c r="J17" s="102"/>
    </row>
    <row r="18" spans="1:10">
      <c r="A18" s="103">
        <v>48</v>
      </c>
      <c r="B18" s="174">
        <v>0</v>
      </c>
      <c r="C18" s="133">
        <f>C14</f>
        <v>-0.41399999999999998</v>
      </c>
      <c r="D18" s="114">
        <f>(B18*C18)/100</f>
        <v>0</v>
      </c>
      <c r="E18" s="113"/>
      <c r="F18" s="102"/>
      <c r="G18" s="102"/>
      <c r="H18" s="102"/>
      <c r="I18" s="102"/>
      <c r="J18" s="102"/>
    </row>
    <row r="19" spans="1:10">
      <c r="A19" s="102"/>
      <c r="B19" s="115"/>
      <c r="C19" s="116"/>
      <c r="D19" s="117"/>
      <c r="E19" s="102"/>
      <c r="F19" s="118"/>
      <c r="G19" s="102"/>
      <c r="H19" s="102"/>
      <c r="I19" s="102"/>
      <c r="J19" s="102"/>
    </row>
    <row r="20" spans="1:10">
      <c r="A20" s="119" t="s">
        <v>89</v>
      </c>
      <c r="B20" s="115">
        <f>SUM(B14:B19)</f>
        <v>111572461</v>
      </c>
      <c r="C20" s="113"/>
      <c r="D20" s="117">
        <f>SUM(D14:D19)</f>
        <v>-461909.98853999999</v>
      </c>
      <c r="E20" s="102"/>
      <c r="F20" s="102"/>
      <c r="G20" s="102"/>
      <c r="H20" s="102"/>
      <c r="I20" s="102"/>
      <c r="J20" s="117"/>
    </row>
    <row r="21" spans="1:10">
      <c r="A21" s="102"/>
      <c r="B21" s="115"/>
      <c r="C21" s="120" t="s">
        <v>56</v>
      </c>
      <c r="D21" s="144">
        <f>'Proposed ResEx Rate'!G13</f>
        <v>0.95563100000000001</v>
      </c>
      <c r="E21" s="102"/>
      <c r="F21" s="102"/>
      <c r="G21" s="102"/>
      <c r="H21" s="102"/>
      <c r="I21" s="102"/>
      <c r="J21" s="102"/>
    </row>
    <row r="22" spans="1:10">
      <c r="A22" s="121"/>
      <c r="B22" s="122"/>
      <c r="C22" s="123" t="s">
        <v>20</v>
      </c>
      <c r="D22" s="117">
        <f>D20*D21</f>
        <v>-441415.50425846875</v>
      </c>
      <c r="E22" s="102"/>
      <c r="F22" s="102"/>
      <c r="G22" s="102"/>
      <c r="H22" s="102"/>
      <c r="I22" s="102"/>
      <c r="J22" s="102"/>
    </row>
    <row r="23" spans="1:10">
      <c r="A23" s="124"/>
      <c r="B23" s="125"/>
      <c r="C23" s="102"/>
      <c r="D23" s="126"/>
      <c r="E23" s="102"/>
      <c r="F23" s="102"/>
      <c r="G23" s="102"/>
      <c r="H23" s="102"/>
      <c r="I23" s="102"/>
      <c r="J23" s="102"/>
    </row>
    <row r="24" spans="1:10">
      <c r="A24" s="124"/>
      <c r="B24" s="127"/>
      <c r="C24" s="128"/>
      <c r="D24" s="128"/>
      <c r="E24" s="102"/>
      <c r="F24" s="102"/>
      <c r="G24" s="102"/>
      <c r="H24" s="102"/>
      <c r="I24" s="102"/>
      <c r="J24" s="102"/>
    </row>
    <row r="25" spans="1:10">
      <c r="A25" s="129"/>
      <c r="B25" s="125"/>
      <c r="C25" s="128"/>
      <c r="D25" s="128"/>
      <c r="E25" s="102"/>
      <c r="F25" s="102"/>
      <c r="G25" s="102"/>
      <c r="H25" s="102"/>
      <c r="I25" s="102"/>
      <c r="J25" s="102"/>
    </row>
    <row r="26" spans="1:10">
      <c r="A26" s="130"/>
      <c r="B26" s="128"/>
      <c r="C26" s="102"/>
      <c r="D26" s="102"/>
      <c r="E26" s="102"/>
      <c r="F26" s="102"/>
      <c r="G26" s="102"/>
      <c r="H26" s="102"/>
      <c r="I26" s="102"/>
      <c r="J26" s="102"/>
    </row>
    <row r="27" spans="1:10">
      <c r="A27" s="102"/>
      <c r="B27" s="128"/>
      <c r="C27" s="102"/>
      <c r="D27" s="102"/>
      <c r="E27" s="102"/>
      <c r="F27" s="102"/>
      <c r="G27" s="102"/>
      <c r="H27" s="102"/>
      <c r="I27" s="102"/>
      <c r="J27" s="102"/>
    </row>
    <row r="28" spans="1:10">
      <c r="A28" s="102"/>
      <c r="B28" s="102"/>
      <c r="C28" s="102"/>
      <c r="D28" s="102"/>
      <c r="E28" s="102"/>
      <c r="F28" s="102"/>
      <c r="G28" s="102"/>
      <c r="H28" s="102"/>
      <c r="I28" s="102"/>
      <c r="J28" s="102"/>
    </row>
    <row r="29" spans="1:10">
      <c r="A29" s="131"/>
      <c r="B29" s="102"/>
      <c r="C29" s="102"/>
      <c r="D29" s="102"/>
      <c r="E29" s="102"/>
      <c r="F29" s="102"/>
      <c r="G29" s="102"/>
      <c r="H29" s="102"/>
      <c r="I29" s="102"/>
      <c r="J29" s="102"/>
    </row>
    <row r="30" spans="1:10">
      <c r="A30" s="102"/>
      <c r="B30" s="102"/>
      <c r="C30" s="102"/>
      <c r="D30" s="102"/>
      <c r="E30" s="102"/>
      <c r="F30" s="102"/>
      <c r="G30" s="102"/>
      <c r="H30" s="102"/>
      <c r="I30" s="102"/>
      <c r="J30" s="102"/>
    </row>
    <row r="31" spans="1:10">
      <c r="A31" s="102"/>
      <c r="B31" s="102"/>
      <c r="C31" s="102"/>
      <c r="D31" s="102"/>
      <c r="E31" s="102"/>
      <c r="F31" s="102"/>
      <c r="G31" s="102"/>
      <c r="H31" s="102"/>
      <c r="I31" s="102"/>
      <c r="J31" s="10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8E9146EFB9F994EA53A9F26334A58EC" ma:contentTypeVersion="52" ma:contentTypeDescription="" ma:contentTypeScope="" ma:versionID="dc61ec29bd1b543655424dfed92791dd">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2020-09-15T07:00:00+00:00</OpenedDate>
    <SignificantOrder xmlns="dc463f71-b30c-4ab2-9473-d307f9d35888">false</SignificantOrder>
    <Date1 xmlns="dc463f71-b30c-4ab2-9473-d307f9d35888">2020-09-15T07:00:00+00:00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200805</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2E732B56-5391-45A9-BA84-2DAE24BBF8A1}"/>
</file>

<file path=customXml/itemProps2.xml><?xml version="1.0" encoding="utf-8"?>
<ds:datastoreItem xmlns:ds="http://schemas.openxmlformats.org/officeDocument/2006/customXml" ds:itemID="{2A9727CF-E5CF-4155-8FCE-2E61B7C05D8B}"/>
</file>

<file path=customXml/itemProps3.xml><?xml version="1.0" encoding="utf-8"?>
<ds:datastoreItem xmlns:ds="http://schemas.openxmlformats.org/officeDocument/2006/customXml" ds:itemID="{DE77F5F0-2A2C-4A83-807F-244936A42478}"/>
</file>

<file path=customXml/itemProps4.xml><?xml version="1.0" encoding="utf-8"?>
<ds:datastoreItem xmlns:ds="http://schemas.openxmlformats.org/officeDocument/2006/customXml" ds:itemID="{AEB60834-49E7-4535-A6E1-6877486FE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Proposed ResEx Rate</vt:lpstr>
      <vt:lpstr>Table</vt:lpstr>
      <vt:lpstr>Washington ResX Balances</vt:lpstr>
      <vt:lpstr>Projected Benefits</vt:lpstr>
      <vt:lpstr>Projected kWhs</vt:lpstr>
      <vt:lpstr>Load Calculation</vt:lpstr>
      <vt:lpstr>July Unbilled</vt:lpstr>
      <vt:lpstr>'Projected Benefits'!Print_Area</vt:lpstr>
    </vt:vector>
  </TitlesOfParts>
  <Company>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 McKenzie</dc:creator>
  <cp:lastModifiedBy>Miller, Joe</cp:lastModifiedBy>
  <cp:lastPrinted>2019-08-19T21:35:14Z</cp:lastPrinted>
  <dcterms:created xsi:type="dcterms:W3CDTF">2010-06-18T20:31:54Z</dcterms:created>
  <dcterms:modified xsi:type="dcterms:W3CDTF">2020-09-08T13:43:42Z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0x0101006E56B4D1795A2E4DB2F0B01679ED314A0028E9146EFB9F994EA53A9F26334A58EC</vt:lpwstr>
  </property>
  <property fmtid="{D5CDD505-2E9C-101B-9397-08002B2CF9AE}" pid="3" name="_docset_NoMedatataSyncRequired">
    <vt:lpwstr>False</vt:lpwstr>
  </property>
  <property fmtid="{D5CDD505-2E9C-101B-9397-08002B2CF9AE}" pid="4" name="IsEFSEC">
    <vt:bool>false</vt:bool>
  </property>
</Properties>
</file>