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_TO_S\PUD0783 - Pullman Disposal Services\Commodity Credit\2020\Filing for October 1\Submission\"/>
    </mc:Choice>
  </mc:AlternateContent>
  <bookViews>
    <workbookView xWindow="28680" yWindow="-120" windowWidth="29040" windowHeight="16440" tabRatio="770"/>
  </bookViews>
  <sheets>
    <sheet name="Analysis" sheetId="13" r:id="rId1"/>
    <sheet name="Aug 19 - Jul 20" sheetId="20" r:id="rId2"/>
    <sheet name="Commodity Debit" sheetId="19" r:id="rId3"/>
    <sheet name="Calcs revised method" sheetId="21" r:id="rId4"/>
  </sheets>
  <externalReferences>
    <externalReference r:id="rId5"/>
  </externalReferences>
  <definedNames>
    <definedName name="BREMAIR_COST_of_SERVICE_STUDY" localSheetId="0">#REF!</definedName>
    <definedName name="BREMAIR_COST_of_SERVICE_STUDY" localSheetId="1">#REF!</definedName>
    <definedName name="BREMAIR_COST_of_SERVICE_STUDY" localSheetId="2">#REF!</definedName>
    <definedName name="BREMAIR_COST_of_SERVICE_STUDY">#REF!</definedName>
    <definedName name="_xlnm.Print_Area" localSheetId="0">Analysis!$A$1:$F$57</definedName>
    <definedName name="_xlnm.Print_Area" localSheetId="3">'Calcs revised method'!$A$1:$R$60</definedName>
    <definedName name="_xlnm.Print_Area" localSheetId="2">'Commodity Debit'!$A:$G</definedName>
    <definedName name="Print1" localSheetId="0">#REF!</definedName>
    <definedName name="Print1" localSheetId="1">#REF!</definedName>
    <definedName name="Print1" localSheetId="2">#REF!</definedName>
    <definedName name="Print1">#REF!</definedName>
    <definedName name="Print2" localSheetId="0">#REF!</definedName>
    <definedName name="Print2" localSheetId="1">#REF!</definedName>
    <definedName name="Print2" localSheetId="2">#REF!</definedName>
    <definedName name="Print2">#REF!</definedName>
  </definedNames>
  <calcPr calcId="162913"/>
</workbook>
</file>

<file path=xl/calcChain.xml><?xml version="1.0" encoding="utf-8"?>
<calcChain xmlns="http://schemas.openxmlformats.org/spreadsheetml/2006/main">
  <c r="I25" i="20" l="1"/>
  <c r="H25" i="20"/>
  <c r="G25" i="20"/>
  <c r="F52" i="13" l="1"/>
  <c r="E51" i="13"/>
  <c r="F48" i="13"/>
  <c r="E40" i="13"/>
  <c r="C40" i="13"/>
  <c r="Q54" i="21"/>
  <c r="Q26" i="21"/>
  <c r="Q52" i="21"/>
  <c r="Q51" i="21"/>
  <c r="R49" i="21"/>
  <c r="Q49" i="21"/>
  <c r="D49" i="21"/>
  <c r="R48" i="21"/>
  <c r="R47" i="21"/>
  <c r="Q48" i="21"/>
  <c r="Q47" i="21"/>
  <c r="D48" i="21"/>
  <c r="D47" i="21"/>
  <c r="D45" i="21"/>
  <c r="D44" i="21"/>
  <c r="Q40" i="21"/>
  <c r="D40" i="21"/>
  <c r="R38" i="21"/>
  <c r="Q38" i="21"/>
  <c r="R36" i="21"/>
  <c r="Q36" i="21"/>
  <c r="F27" i="13"/>
  <c r="F25" i="13"/>
  <c r="F21" i="13"/>
  <c r="E17" i="13"/>
  <c r="R24" i="21"/>
  <c r="Q23" i="21"/>
  <c r="R21" i="21"/>
  <c r="R20" i="21"/>
  <c r="R19" i="21"/>
  <c r="Q21" i="21"/>
  <c r="D21" i="21"/>
  <c r="Q20" i="21"/>
  <c r="Q19" i="21"/>
  <c r="D20" i="21"/>
  <c r="D19" i="21"/>
  <c r="D16" i="21"/>
  <c r="Q12" i="21"/>
  <c r="D12" i="21"/>
  <c r="R10" i="21"/>
  <c r="Q10" i="21"/>
  <c r="E10" i="21"/>
  <c r="D10" i="21"/>
  <c r="R8" i="21"/>
  <c r="Q8" i="21"/>
  <c r="E11" i="19"/>
  <c r="E12" i="19"/>
  <c r="D25" i="20"/>
  <c r="E25" i="20"/>
  <c r="N11" i="20"/>
  <c r="M11" i="20"/>
  <c r="L11" i="20"/>
  <c r="J11" i="20"/>
  <c r="I11" i="20"/>
  <c r="H11" i="20"/>
  <c r="J6" i="20"/>
  <c r="G22" i="20"/>
  <c r="F11" i="20"/>
  <c r="E11" i="20"/>
  <c r="D38" i="21" l="1"/>
  <c r="D11" i="13" l="1"/>
  <c r="F45" i="21" l="1"/>
  <c r="G45" i="21" s="1"/>
  <c r="H45" i="21" s="1"/>
  <c r="I45" i="21" s="1"/>
  <c r="J45" i="21" s="1"/>
  <c r="K45" i="21" s="1"/>
  <c r="E45" i="21" l="1"/>
  <c r="J39" i="13"/>
  <c r="D38" i="13" s="1"/>
  <c r="J38" i="13"/>
  <c r="F10" i="21" l="1"/>
  <c r="G10" i="21" s="1"/>
  <c r="A39" i="13"/>
  <c r="A38" i="13"/>
  <c r="A50" i="13"/>
  <c r="A42" i="13"/>
  <c r="A37" i="13"/>
  <c r="E22" i="20"/>
  <c r="G21" i="20"/>
  <c r="F21" i="20" s="1"/>
  <c r="E21" i="20"/>
  <c r="G20" i="20"/>
  <c r="E20" i="20"/>
  <c r="F19" i="20"/>
  <c r="L42" i="21" s="1"/>
  <c r="E19" i="20"/>
  <c r="E18" i="20"/>
  <c r="F18" i="20" s="1"/>
  <c r="E17" i="20"/>
  <c r="F17" i="20" s="1"/>
  <c r="K42" i="21" l="1"/>
  <c r="K14" i="21"/>
  <c r="J42" i="21"/>
  <c r="J14" i="21"/>
  <c r="N42" i="21"/>
  <c r="N14" i="21"/>
  <c r="L14" i="21"/>
  <c r="H10" i="21"/>
  <c r="I10" i="21" s="1"/>
  <c r="J10" i="21" s="1"/>
  <c r="G19" i="21"/>
  <c r="F22" i="20"/>
  <c r="E38" i="21"/>
  <c r="F20" i="20"/>
  <c r="G42" i="13"/>
  <c r="M42" i="21" l="1"/>
  <c r="M14" i="21"/>
  <c r="E47" i="21"/>
  <c r="O42" i="21"/>
  <c r="O14" i="21"/>
  <c r="K10" i="21"/>
  <c r="J19" i="21"/>
  <c r="C11" i="13"/>
  <c r="F38" i="21"/>
  <c r="F47" i="21" s="1"/>
  <c r="C14" i="19"/>
  <c r="E11" i="13" l="1"/>
  <c r="L10" i="21"/>
  <c r="K19" i="21"/>
  <c r="G38" i="21"/>
  <c r="M10" i="21" l="1"/>
  <c r="L19" i="21"/>
  <c r="G47" i="21"/>
  <c r="H38" i="21"/>
  <c r="H47" i="21" s="1"/>
  <c r="D12" i="19"/>
  <c r="D11" i="19"/>
  <c r="H6" i="20" s="1"/>
  <c r="I6" i="20" l="1"/>
  <c r="C39" i="13"/>
  <c r="C38" i="13"/>
  <c r="L38" i="21"/>
  <c r="N10" i="21"/>
  <c r="I38" i="21"/>
  <c r="I47" i="21" l="1"/>
  <c r="O10" i="21"/>
  <c r="C12" i="13"/>
  <c r="J38" i="21"/>
  <c r="E46" i="13"/>
  <c r="C13" i="13" l="1"/>
  <c r="E19" i="13"/>
  <c r="E24" i="13"/>
  <c r="J47" i="21"/>
  <c r="K38" i="21"/>
  <c r="K47" i="21" l="1"/>
  <c r="K11" i="13"/>
  <c r="L47" i="21" l="1"/>
  <c r="E38" i="13"/>
  <c r="M38" i="21"/>
  <c r="M47" i="21" s="1"/>
  <c r="I14" i="20" l="1"/>
  <c r="G48" i="21" s="1"/>
  <c r="G49" i="21" s="1"/>
  <c r="M20" i="20"/>
  <c r="M36" i="21" s="1"/>
  <c r="L20" i="20"/>
  <c r="M8" i="21" s="1"/>
  <c r="L19" i="20"/>
  <c r="M18" i="20"/>
  <c r="K36" i="21" s="1"/>
  <c r="K40" i="21" s="1"/>
  <c r="K44" i="21" s="1"/>
  <c r="L17" i="20"/>
  <c r="J8" i="21" s="1"/>
  <c r="M19" i="20"/>
  <c r="L36" i="21" s="1"/>
  <c r="L40" i="21" s="1"/>
  <c r="L44" i="21" s="1"/>
  <c r="L18" i="20"/>
  <c r="M17" i="20"/>
  <c r="J36" i="21" s="1"/>
  <c r="J40" i="21" s="1"/>
  <c r="J44" i="21" s="1"/>
  <c r="M21" i="20"/>
  <c r="N36" i="21" s="1"/>
  <c r="L21" i="20"/>
  <c r="M22" i="20"/>
  <c r="O36" i="21" s="1"/>
  <c r="L22" i="20"/>
  <c r="O8" i="21" s="1"/>
  <c r="I22" i="20"/>
  <c r="O48" i="21" s="1"/>
  <c r="I21" i="20"/>
  <c r="N48" i="21" s="1"/>
  <c r="H20" i="20"/>
  <c r="M20" i="21" s="1"/>
  <c r="H18" i="20"/>
  <c r="H22" i="20"/>
  <c r="I19" i="20"/>
  <c r="L48" i="21" s="1"/>
  <c r="L49" i="21" s="1"/>
  <c r="I17" i="20"/>
  <c r="J48" i="21" s="1"/>
  <c r="H21" i="20"/>
  <c r="N20" i="21" s="1"/>
  <c r="H19" i="20"/>
  <c r="L20" i="21" s="1"/>
  <c r="H17" i="20"/>
  <c r="I20" i="20"/>
  <c r="M48" i="21" s="1"/>
  <c r="M49" i="21" s="1"/>
  <c r="I18" i="20"/>
  <c r="K48" i="21" s="1"/>
  <c r="K49" i="21" s="1"/>
  <c r="N38" i="21"/>
  <c r="M40" i="21"/>
  <c r="M44" i="21" s="1"/>
  <c r="I13" i="20"/>
  <c r="F48" i="21" s="1"/>
  <c r="F49" i="21" s="1"/>
  <c r="H14" i="20"/>
  <c r="H12" i="20"/>
  <c r="E20" i="21" s="1"/>
  <c r="H16" i="20"/>
  <c r="I20" i="21" s="1"/>
  <c r="I12" i="20"/>
  <c r="E48" i="21" s="1"/>
  <c r="E49" i="21" s="1"/>
  <c r="I15" i="20"/>
  <c r="H48" i="21" s="1"/>
  <c r="H49" i="21" s="1"/>
  <c r="H15" i="20"/>
  <c r="H20" i="21" s="1"/>
  <c r="I16" i="20"/>
  <c r="I48" i="21" s="1"/>
  <c r="I49" i="21" s="1"/>
  <c r="H13" i="20"/>
  <c r="F20" i="21" s="1"/>
  <c r="N18" i="20" l="1"/>
  <c r="K8" i="21"/>
  <c r="N21" i="20"/>
  <c r="N8" i="21"/>
  <c r="E42" i="13"/>
  <c r="J49" i="21"/>
  <c r="J22" i="20"/>
  <c r="O20" i="21"/>
  <c r="N19" i="20"/>
  <c r="L8" i="21"/>
  <c r="J14" i="20"/>
  <c r="G20" i="21"/>
  <c r="J17" i="20"/>
  <c r="J20" i="21"/>
  <c r="J18" i="20"/>
  <c r="K20" i="21"/>
  <c r="N47" i="21"/>
  <c r="J19" i="20"/>
  <c r="N17" i="20"/>
  <c r="J21" i="20"/>
  <c r="J20" i="20"/>
  <c r="N22" i="20"/>
  <c r="N20" i="20"/>
  <c r="N40" i="21"/>
  <c r="N44" i="21" s="1"/>
  <c r="O38" i="21"/>
  <c r="J13" i="20"/>
  <c r="J12" i="20"/>
  <c r="J16" i="20"/>
  <c r="J15" i="20"/>
  <c r="E15" i="13" l="1"/>
  <c r="O47" i="21"/>
  <c r="O49" i="21" s="1"/>
  <c r="E50" i="13"/>
  <c r="N49" i="21"/>
  <c r="O40" i="21"/>
  <c r="O44" i="21" s="1"/>
  <c r="K50" i="13"/>
  <c r="E23" i="13" l="1"/>
  <c r="E16" i="20" l="1"/>
  <c r="E15" i="20"/>
  <c r="E14" i="20"/>
  <c r="E13" i="20"/>
  <c r="E12" i="20"/>
  <c r="G50" i="13"/>
  <c r="I40" i="13"/>
  <c r="K46" i="13" s="1"/>
  <c r="K51" i="13" s="1"/>
  <c r="L52" i="13" s="1"/>
  <c r="D39" i="13" s="1"/>
  <c r="E39" i="13" s="1"/>
  <c r="E44" i="13" s="1"/>
  <c r="F54" i="13" s="1"/>
  <c r="G37" i="13"/>
  <c r="M14" i="20" l="1"/>
  <c r="G36" i="21" s="1"/>
  <c r="G40" i="21" s="1"/>
  <c r="L14" i="20"/>
  <c r="L15" i="20"/>
  <c r="M15" i="20"/>
  <c r="H36" i="21" s="1"/>
  <c r="H40" i="21" s="1"/>
  <c r="D36" i="21"/>
  <c r="L16" i="20"/>
  <c r="M16" i="20"/>
  <c r="I36" i="21" s="1"/>
  <c r="I40" i="21" s="1"/>
  <c r="M12" i="20"/>
  <c r="E36" i="21" s="1"/>
  <c r="E40" i="21" s="1"/>
  <c r="L12" i="20"/>
  <c r="M13" i="20"/>
  <c r="F36" i="21" s="1"/>
  <c r="F40" i="21" s="1"/>
  <c r="L13" i="20"/>
  <c r="F14" i="20"/>
  <c r="F15" i="20"/>
  <c r="F12" i="20"/>
  <c r="K12" i="21"/>
  <c r="F16" i="20"/>
  <c r="F13" i="20"/>
  <c r="D42" i="21" l="1"/>
  <c r="D14" i="21"/>
  <c r="H8" i="21"/>
  <c r="N15" i="20"/>
  <c r="F42" i="21"/>
  <c r="F44" i="21" s="1"/>
  <c r="F14" i="21"/>
  <c r="G42" i="21"/>
  <c r="G44" i="21" s="1"/>
  <c r="G14" i="21"/>
  <c r="N16" i="20"/>
  <c r="I8" i="21"/>
  <c r="N14" i="20"/>
  <c r="G8" i="21"/>
  <c r="E42" i="21"/>
  <c r="E44" i="21" s="1"/>
  <c r="E14" i="21"/>
  <c r="N12" i="20"/>
  <c r="E8" i="21"/>
  <c r="H42" i="21"/>
  <c r="H44" i="21" s="1"/>
  <c r="H14" i="21"/>
  <c r="I44" i="21"/>
  <c r="I42" i="21"/>
  <c r="I14" i="21"/>
  <c r="N13" i="20"/>
  <c r="F8" i="21"/>
  <c r="D8" i="21"/>
  <c r="K16" i="21"/>
  <c r="M50" i="13" l="1"/>
  <c r="O40" i="13"/>
  <c r="Q46" i="13" s="1"/>
  <c r="Q51" i="13" s="1"/>
  <c r="R52" i="13" s="1"/>
  <c r="Q39" i="13"/>
  <c r="Q38" i="13"/>
  <c r="M38" i="13"/>
  <c r="M37" i="13"/>
  <c r="Q40" i="13" l="1"/>
  <c r="Q44" i="13" s="1"/>
  <c r="R48" i="13" s="1"/>
  <c r="R54" i="13" s="1"/>
  <c r="Y50" i="13" l="1"/>
  <c r="AA40" i="13"/>
  <c r="AC46" i="13" s="1"/>
  <c r="AC51" i="13" s="1"/>
  <c r="AD52" i="13" s="1"/>
  <c r="AC39" i="13"/>
  <c r="AC38" i="13"/>
  <c r="Y38" i="13"/>
  <c r="Y37" i="13"/>
  <c r="AC12" i="13"/>
  <c r="AA11" i="13"/>
  <c r="AA13" i="13" s="1"/>
  <c r="AC19" i="13" s="1"/>
  <c r="AC40" i="13" l="1"/>
  <c r="AC44" i="13" s="1"/>
  <c r="AD48" i="13" s="1"/>
  <c r="AD54" i="13" s="1"/>
  <c r="AD25" i="13"/>
  <c r="AD27" i="13" s="1"/>
  <c r="AC11" i="13"/>
  <c r="AC13" i="13" s="1"/>
  <c r="AC17" i="13" s="1"/>
  <c r="AD21" i="13" s="1"/>
  <c r="V11" i="13" l="1"/>
  <c r="P11" i="13"/>
  <c r="V12" i="13"/>
  <c r="W39" i="13" l="1"/>
  <c r="O19" i="21" l="1"/>
  <c r="O21" i="21" s="1"/>
  <c r="O12" i="21" l="1"/>
  <c r="O16" i="21" s="1"/>
  <c r="H12" i="21"/>
  <c r="H16" i="21" s="1"/>
  <c r="H19" i="21"/>
  <c r="H21" i="21" s="1"/>
  <c r="G12" i="21"/>
  <c r="G16" i="21" s="1"/>
  <c r="G21" i="21"/>
  <c r="I12" i="21"/>
  <c r="I16" i="21" s="1"/>
  <c r="I19" i="21"/>
  <c r="I21" i="21" s="1"/>
  <c r="F19" i="21"/>
  <c r="F21" i="21" s="1"/>
  <c r="F12" i="21"/>
  <c r="F16" i="21" s="1"/>
  <c r="E12" i="21"/>
  <c r="E19" i="21"/>
  <c r="O13" i="13"/>
  <c r="Q19" i="13" s="1"/>
  <c r="X25" i="13"/>
  <c r="R25" i="13"/>
  <c r="N19" i="21"/>
  <c r="N21" i="21" s="1"/>
  <c r="N12" i="21"/>
  <c r="N16" i="21" s="1"/>
  <c r="J12" i="21"/>
  <c r="J16" i="21" s="1"/>
  <c r="K21" i="21"/>
  <c r="M19" i="21"/>
  <c r="M12" i="21"/>
  <c r="M16" i="21" s="1"/>
  <c r="W12" i="13"/>
  <c r="L12" i="21"/>
  <c r="L16" i="21" s="1"/>
  <c r="E16" i="21" l="1"/>
  <c r="M21" i="21"/>
  <c r="E21" i="21"/>
  <c r="K39" i="13"/>
  <c r="P12" i="13"/>
  <c r="K12" i="13"/>
  <c r="I13" i="13"/>
  <c r="K24" i="13" s="1"/>
  <c r="L25" i="13" s="1"/>
  <c r="D12" i="13" s="1"/>
  <c r="E12" i="13" s="1"/>
  <c r="E13" i="13" s="1"/>
  <c r="J21" i="21"/>
  <c r="L21" i="21"/>
  <c r="U40" i="13"/>
  <c r="W46" i="13" s="1"/>
  <c r="W51" i="13" s="1"/>
  <c r="S50" i="13"/>
  <c r="S38" i="13"/>
  <c r="S37" i="13"/>
  <c r="K38" i="13" l="1"/>
  <c r="K19" i="13"/>
  <c r="U13" i="13"/>
  <c r="W19" i="13" s="1"/>
  <c r="K40" i="13" l="1"/>
  <c r="K44" i="13" s="1"/>
  <c r="L48" i="13" s="1"/>
  <c r="L54" i="13" s="1"/>
  <c r="X52" i="13"/>
  <c r="W38" i="13" l="1"/>
  <c r="W40" i="13" s="1"/>
  <c r="W44" i="13" s="1"/>
  <c r="X48" i="13" s="1"/>
  <c r="X54" i="13" s="1"/>
  <c r="W11" i="13"/>
  <c r="W13" i="13" s="1"/>
  <c r="W17" i="13" l="1"/>
  <c r="X21" i="13" l="1"/>
  <c r="X27" i="13" l="1"/>
  <c r="K13" i="13" s="1"/>
  <c r="K17" i="13" s="1"/>
  <c r="L21" i="13" s="1"/>
  <c r="L27" i="13" l="1"/>
  <c r="Q11" i="13"/>
  <c r="Q12" i="13"/>
  <c r="Q13" i="13" l="1"/>
  <c r="Q17" i="13" s="1"/>
  <c r="R21" i="13" l="1"/>
  <c r="R27" i="13" l="1"/>
</calcChain>
</file>

<file path=xl/sharedStrings.xml><?xml version="1.0" encoding="utf-8"?>
<sst xmlns="http://schemas.openxmlformats.org/spreadsheetml/2006/main" count="252" uniqueCount="99">
  <si>
    <t xml:space="preserve"> </t>
  </si>
  <si>
    <t>MO/YR</t>
  </si>
  <si>
    <t>CUSTOMERS</t>
  </si>
  <si>
    <t>POUNDS</t>
  </si>
  <si>
    <t>TONS</t>
  </si>
  <si>
    <t>DOLLARS</t>
  </si>
  <si>
    <t>PER TON</t>
  </si>
  <si>
    <t>Customers</t>
  </si>
  <si>
    <t>Totals</t>
  </si>
  <si>
    <t>Residential</t>
  </si>
  <si>
    <t>Commodity</t>
  </si>
  <si>
    <t>Total</t>
  </si>
  <si>
    <t>Credit</t>
  </si>
  <si>
    <t>Credits</t>
  </si>
  <si>
    <t>Actual Commodity Revenue</t>
  </si>
  <si>
    <t>Owe Customer (company)</t>
  </si>
  <si>
    <t>Total Customers</t>
  </si>
  <si>
    <t>Commodity Adjustment</t>
  </si>
  <si>
    <t>Projected Value</t>
  </si>
  <si>
    <t>Multi-family Commodity Adjustment</t>
  </si>
  <si>
    <t>2018-2019</t>
  </si>
  <si>
    <t>Pullman Disposal Services commodity adjustment</t>
  </si>
  <si>
    <t>Pullman Disposal Services</t>
  </si>
  <si>
    <t>Pullman Disposal Services Residential Curbside</t>
  </si>
  <si>
    <t>Pullman Disposal Services Multi-Family</t>
  </si>
  <si>
    <t>Projected Revenue - NA</t>
  </si>
  <si>
    <t>Type</t>
  </si>
  <si>
    <t>Residential &amp; Multi-Family Commodity Adjustment per 95 gallon toter</t>
  </si>
  <si>
    <t>Residential &amp; Multi Family</t>
  </si>
  <si>
    <t>Projected Revenue Apr 2019 - Sep 2019</t>
  </si>
  <si>
    <t>Multi-Family (DNU)</t>
  </si>
  <si>
    <t xml:space="preserve">Monthly </t>
  </si>
  <si>
    <t>Annual</t>
  </si>
  <si>
    <t>6 months</t>
  </si>
  <si>
    <t>Tonnage</t>
  </si>
  <si>
    <t>$/Ton</t>
  </si>
  <si>
    <t>$/Customer</t>
  </si>
  <si>
    <t>Baseline $/Cus</t>
  </si>
  <si>
    <t>Projected Rev</t>
  </si>
  <si>
    <t>Actual Rev</t>
  </si>
  <si>
    <t>Diff</t>
  </si>
  <si>
    <t>New Baseline</t>
  </si>
  <si>
    <t>Prior Yr Adj</t>
  </si>
  <si>
    <t>New Credit</t>
  </si>
  <si>
    <t>Current Credit</t>
  </si>
  <si>
    <t>Annual Revenue Change</t>
  </si>
  <si>
    <t>Oct - Dec 2018 with adjustment factor</t>
  </si>
  <si>
    <t>Jul-Jun projected value without adjustment factor</t>
  </si>
  <si>
    <t>Projected Revenue Oct 2018 - Mar 2019</t>
  </si>
  <si>
    <t>Cost of one time mailing</t>
  </si>
  <si>
    <t>Jan - Sept 2019 with adjustment factor</t>
  </si>
  <si>
    <t>Actual Commodity Revenue Aug 18-Jan19</t>
  </si>
  <si>
    <t>Feb - Mar 2019 with adjustment factor</t>
  </si>
  <si>
    <t>Apr - July 2019 with adjustment factor</t>
  </si>
  <si>
    <t>Projected Revenue Oct 2019 - Mar 2020</t>
  </si>
  <si>
    <t>Actual Commodity Revenue Feb-July 2019</t>
  </si>
  <si>
    <t>Aug 19</t>
  </si>
  <si>
    <t>Sept 19</t>
  </si>
  <si>
    <t>Oct 19</t>
  </si>
  <si>
    <t>Nov 19</t>
  </si>
  <si>
    <t>Dec 19</t>
  </si>
  <si>
    <t>Jan 20</t>
  </si>
  <si>
    <t>Feb 20</t>
  </si>
  <si>
    <t>Multi family</t>
  </si>
  <si>
    <t>Actual Commodity Revenue August 2019-February 2020</t>
  </si>
  <si>
    <t xml:space="preserve">Projected Revenue </t>
  </si>
  <si>
    <t>August - September 2019 with adjustment factor</t>
  </si>
  <si>
    <t>October 2019 - January 2020 with adjustment factor</t>
  </si>
  <si>
    <t>Containers/Customers</t>
  </si>
  <si>
    <t>Res</t>
  </si>
  <si>
    <t>Multi</t>
  </si>
  <si>
    <t xml:space="preserve">Multi-Family </t>
  </si>
  <si>
    <t>Projected Revenue April - September 2020</t>
  </si>
  <si>
    <t>Residential Commodity Adjustment per 95 gallon toter</t>
  </si>
  <si>
    <t>Multi-family Commodity Adjustment per 95 gallon toter</t>
  </si>
  <si>
    <t>Pickups</t>
  </si>
  <si>
    <t>How billed</t>
  </si>
  <si>
    <t>per pick-up</t>
  </si>
  <si>
    <t xml:space="preserve">Annual </t>
  </si>
  <si>
    <t>monthly</t>
  </si>
  <si>
    <t>Total Pickups</t>
  </si>
  <si>
    <t>Tons/Container-Customer</t>
  </si>
  <si>
    <t>Mar 20</t>
  </si>
  <si>
    <t>Apr 20</t>
  </si>
  <si>
    <t>May 20</t>
  </si>
  <si>
    <t>Jun 20</t>
  </si>
  <si>
    <t>Jul 20</t>
  </si>
  <si>
    <t>February - March 2020 with adjustment factor</t>
  </si>
  <si>
    <t>April - July 2020 with adjustment factor</t>
  </si>
  <si>
    <t>Actual Commodity Revenue February 2020 - July 2020</t>
  </si>
  <si>
    <t>Projected Revenue October 2020 - September 2021</t>
  </si>
  <si>
    <t xml:space="preserve">Residential </t>
  </si>
  <si>
    <t>Dollars by Service</t>
  </si>
  <si>
    <t>Tons per Service</t>
  </si>
  <si>
    <t>Starting in May debit memos billed on separate account, added these to the total dollars as the $/ton is unreasonable without</t>
  </si>
  <si>
    <t>Tons/Customer</t>
  </si>
  <si>
    <t>Multi-Family</t>
  </si>
  <si>
    <t>previously used total customers multiplied by residential adjustment to get projected revenue</t>
  </si>
  <si>
    <t>August 2019 -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</si>
</sst>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&quot;$&quot;* #,##0_);_(&quot;$&quot;* \(#,##0\);_(&quot;$&quot;* &quot;-&quot;??_);_(@_)"/>
    <numFmt numFmtId="167" formatCode="mm/dd/yy;@"/>
    <numFmt numFmtId="168" formatCode="[$-409]mmm\-yy;@"/>
    <numFmt numFmtId="169" formatCode="_(* #,##0.000_);_(* \(#,##0.0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Comic Sans MS"/>
      <family val="4"/>
    </font>
    <font>
      <b/>
      <sz val="11"/>
      <color indexed="10"/>
      <name val="Comic Sans MS"/>
      <family val="4"/>
    </font>
    <font>
      <b/>
      <sz val="16"/>
      <name val="Arial"/>
      <family val="2"/>
    </font>
    <font>
      <i/>
      <u/>
      <sz val="12"/>
      <name val="Comic Sans MS"/>
      <family val="4"/>
    </font>
    <font>
      <b/>
      <u/>
      <sz val="10"/>
      <name val="Arial"/>
      <family val="2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1"/>
      <name val="Comic Sans MS"/>
      <family val="4"/>
    </font>
    <font>
      <b/>
      <u val="doubleAccounting"/>
      <sz val="10"/>
      <name val="Arial"/>
      <family val="2"/>
    </font>
    <font>
      <sz val="12"/>
      <name val="Courier"/>
      <family val="3"/>
    </font>
    <font>
      <sz val="12"/>
      <name val="Helv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/>
    <xf numFmtId="41" fontId="2" fillId="0" borderId="0"/>
    <xf numFmtId="3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>
      <protection locked="0"/>
    </xf>
    <xf numFmtId="0" fontId="22" fillId="0" borderId="0"/>
    <xf numFmtId="0" fontId="2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4" fillId="0" borderId="0">
      <alignment vertical="top"/>
    </xf>
    <xf numFmtId="0" fontId="24" fillId="0" borderId="0" applyNumberFormat="0" applyBorder="0" applyAlignment="0"/>
    <xf numFmtId="0" fontId="27" fillId="0" borderId="0"/>
    <xf numFmtId="0" fontId="27" fillId="0" borderId="0"/>
    <xf numFmtId="43" fontId="27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4" fontId="2" fillId="0" borderId="0" xfId="3" applyNumberFormat="1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3" applyFont="1" applyAlignment="1">
      <alignment horizontal="center"/>
    </xf>
    <xf numFmtId="0" fontId="10" fillId="0" borderId="1" xfId="0" applyFont="1" applyBorder="1" applyAlignment="1">
      <alignment horizontal="center"/>
    </xf>
    <xf numFmtId="43" fontId="9" fillId="0" borderId="1" xfId="3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/>
    <xf numFmtId="164" fontId="9" fillId="0" borderId="0" xfId="3" applyNumberFormat="1" applyFont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164" fontId="9" fillId="0" borderId="0" xfId="3" applyNumberFormat="1" applyFont="1" applyFill="1" applyBorder="1" applyAlignment="1"/>
    <xf numFmtId="164" fontId="9" fillId="0" borderId="0" xfId="0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3" fontId="9" fillId="0" borderId="0" xfId="0" applyNumberFormat="1" applyFont="1" applyAlignment="1">
      <alignment horizontal="right"/>
    </xf>
    <xf numFmtId="0" fontId="12" fillId="2" borderId="3" xfId="23" applyFont="1" applyFill="1" applyBorder="1"/>
    <xf numFmtId="0" fontId="12" fillId="2" borderId="4" xfId="23" applyFont="1" applyFill="1" applyBorder="1"/>
    <xf numFmtId="0" fontId="2" fillId="2" borderId="4" xfId="23" applyFill="1" applyBorder="1"/>
    <xf numFmtId="0" fontId="2" fillId="2" borderId="5" xfId="23" applyFill="1" applyBorder="1"/>
    <xf numFmtId="0" fontId="2" fillId="0" borderId="0" xfId="23"/>
    <xf numFmtId="0" fontId="8" fillId="2" borderId="6" xfId="23" applyFont="1" applyFill="1" applyBorder="1"/>
    <xf numFmtId="0" fontId="8" fillId="2" borderId="0" xfId="23" applyFont="1" applyFill="1" applyBorder="1"/>
    <xf numFmtId="0" fontId="13" fillId="2" borderId="0" xfId="23" applyFont="1" applyFill="1" applyBorder="1"/>
    <xf numFmtId="0" fontId="2" fillId="2" borderId="0" xfId="23" applyFill="1" applyBorder="1"/>
    <xf numFmtId="0" fontId="2" fillId="2" borderId="7" xfId="23" applyFill="1" applyBorder="1"/>
    <xf numFmtId="15" fontId="8" fillId="2" borderId="6" xfId="23" applyNumberFormat="1" applyFont="1" applyFill="1" applyBorder="1"/>
    <xf numFmtId="15" fontId="8" fillId="2" borderId="0" xfId="23" applyNumberFormat="1" applyFont="1" applyFill="1" applyBorder="1"/>
    <xf numFmtId="0" fontId="2" fillId="2" borderId="6" xfId="23" applyFill="1" applyBorder="1"/>
    <xf numFmtId="0" fontId="8" fillId="2" borderId="0" xfId="23" applyFont="1" applyFill="1" applyBorder="1" applyAlignment="1">
      <alignment horizontal="center"/>
    </xf>
    <xf numFmtId="0" fontId="16" fillId="2" borderId="0" xfId="23" applyFont="1" applyFill="1" applyBorder="1" applyAlignment="1">
      <alignment horizontal="center"/>
    </xf>
    <xf numFmtId="0" fontId="17" fillId="2" borderId="8" xfId="23" applyFont="1" applyFill="1" applyBorder="1"/>
    <xf numFmtId="0" fontId="17" fillId="2" borderId="0" xfId="23" applyFont="1" applyFill="1" applyBorder="1"/>
    <xf numFmtId="0" fontId="2" fillId="2" borderId="0" xfId="23" applyFill="1" applyBorder="1" applyAlignment="1">
      <alignment horizontal="center"/>
    </xf>
    <xf numFmtId="41" fontId="2" fillId="2" borderId="0" xfId="23" applyNumberFormat="1" applyFill="1" applyBorder="1"/>
    <xf numFmtId="44" fontId="18" fillId="2" borderId="0" xfId="14" applyFont="1" applyFill="1" applyBorder="1"/>
    <xf numFmtId="0" fontId="2" fillId="2" borderId="6" xfId="23" applyFont="1" applyFill="1" applyBorder="1"/>
    <xf numFmtId="0" fontId="6" fillId="2" borderId="0" xfId="23" applyFont="1" applyFill="1" applyBorder="1"/>
    <xf numFmtId="44" fontId="2" fillId="2" borderId="7" xfId="14" applyFont="1" applyFill="1" applyBorder="1"/>
    <xf numFmtId="44" fontId="19" fillId="2" borderId="7" xfId="14" applyNumberFormat="1" applyFont="1" applyFill="1" applyBorder="1"/>
    <xf numFmtId="44" fontId="20" fillId="2" borderId="9" xfId="14" applyNumberFormat="1" applyFont="1" applyFill="1" applyBorder="1"/>
    <xf numFmtId="44" fontId="20" fillId="2" borderId="9" xfId="14" applyFont="1" applyFill="1" applyBorder="1"/>
    <xf numFmtId="44" fontId="2" fillId="2" borderId="0" xfId="23" applyNumberFormat="1" applyFill="1" applyBorder="1"/>
    <xf numFmtId="44" fontId="21" fillId="2" borderId="7" xfId="23" applyNumberFormat="1" applyFont="1" applyFill="1" applyBorder="1"/>
    <xf numFmtId="0" fontId="8" fillId="2" borderId="2" xfId="23" applyFont="1" applyFill="1" applyBorder="1" applyAlignment="1">
      <alignment horizontal="center"/>
    </xf>
    <xf numFmtId="44" fontId="2" fillId="2" borderId="7" xfId="14" applyNumberFormat="1" applyFont="1" applyFill="1" applyBorder="1"/>
    <xf numFmtId="43" fontId="19" fillId="2" borderId="7" xfId="23" applyNumberFormat="1" applyFont="1" applyFill="1" applyBorder="1"/>
    <xf numFmtId="44" fontId="20" fillId="2" borderId="7" xfId="14" applyFont="1" applyFill="1" applyBorder="1"/>
    <xf numFmtId="0" fontId="2" fillId="2" borderId="10" xfId="23" applyFill="1" applyBorder="1"/>
    <xf numFmtId="0" fontId="2" fillId="2" borderId="11" xfId="23" applyFill="1" applyBorder="1"/>
    <xf numFmtId="0" fontId="2" fillId="2" borderId="12" xfId="23" applyFill="1" applyBorder="1"/>
    <xf numFmtId="0" fontId="12" fillId="0" borderId="0" xfId="23" applyFont="1" applyFill="1" applyBorder="1" applyAlignment="1"/>
    <xf numFmtId="0" fontId="2" fillId="0" borderId="0" xfId="23" applyFill="1" applyBorder="1" applyAlignment="1"/>
    <xf numFmtId="0" fontId="8" fillId="0" borderId="0" xfId="23" applyFont="1" applyFill="1" applyBorder="1" applyAlignment="1"/>
    <xf numFmtId="0" fontId="13" fillId="0" borderId="0" xfId="23" applyFont="1" applyFill="1" applyBorder="1" applyAlignment="1"/>
    <xf numFmtId="15" fontId="8" fillId="0" borderId="0" xfId="23" applyNumberFormat="1" applyFont="1" applyFill="1" applyBorder="1" applyAlignment="1"/>
    <xf numFmtId="0" fontId="14" fillId="0" borderId="0" xfId="23" applyFont="1" applyFill="1" applyBorder="1" applyAlignment="1">
      <alignment horizontal="center"/>
    </xf>
    <xf numFmtId="0" fontId="15" fillId="0" borderId="0" xfId="23" applyFont="1" applyFill="1" applyBorder="1" applyAlignment="1">
      <alignment horizontal="center"/>
    </xf>
    <xf numFmtId="0" fontId="8" fillId="0" borderId="0" xfId="23" applyFont="1" applyFill="1" applyBorder="1" applyAlignment="1">
      <alignment horizontal="center"/>
    </xf>
    <xf numFmtId="0" fontId="16" fillId="0" borderId="0" xfId="23" applyFont="1" applyFill="1" applyBorder="1" applyAlignment="1">
      <alignment horizontal="center"/>
    </xf>
    <xf numFmtId="0" fontId="17" fillId="0" borderId="0" xfId="23" applyFont="1" applyFill="1" applyBorder="1" applyAlignment="1"/>
    <xf numFmtId="0" fontId="2" fillId="0" borderId="0" xfId="23" applyFill="1" applyBorder="1" applyAlignment="1">
      <alignment horizontal="center"/>
    </xf>
    <xf numFmtId="41" fontId="2" fillId="0" borderId="0" xfId="23" applyNumberFormat="1" applyFill="1" applyBorder="1" applyAlignment="1"/>
    <xf numFmtId="44" fontId="18" fillId="0" borderId="0" xfId="14" applyFont="1" applyFill="1" applyBorder="1" applyAlignment="1"/>
    <xf numFmtId="0" fontId="2" fillId="0" borderId="0" xfId="23" applyFont="1" applyFill="1" applyBorder="1" applyAlignment="1"/>
    <xf numFmtId="0" fontId="6" fillId="0" borderId="0" xfId="23" applyFont="1" applyFill="1" applyBorder="1" applyAlignment="1"/>
    <xf numFmtId="41" fontId="19" fillId="0" borderId="0" xfId="23" applyNumberFormat="1" applyFont="1" applyFill="1" applyBorder="1" applyAlignment="1"/>
    <xf numFmtId="44" fontId="2" fillId="0" borderId="0" xfId="14" applyFont="1" applyFill="1" applyBorder="1" applyAlignment="1"/>
    <xf numFmtId="166" fontId="2" fillId="0" borderId="0" xfId="14" applyNumberFormat="1" applyFont="1" applyFill="1" applyBorder="1" applyAlignment="1"/>
    <xf numFmtId="164" fontId="2" fillId="0" borderId="0" xfId="6" applyNumberFormat="1" applyFont="1" applyFill="1" applyBorder="1" applyAlignment="1"/>
    <xf numFmtId="44" fontId="19" fillId="0" borderId="0" xfId="14" applyFont="1" applyFill="1" applyBorder="1" applyAlignment="1"/>
    <xf numFmtId="44" fontId="20" fillId="0" borderId="0" xfId="14" applyFont="1" applyFill="1" applyBorder="1" applyAlignment="1"/>
    <xf numFmtId="0" fontId="2" fillId="0" borderId="0" xfId="23" applyFont="1" applyFill="1" applyBorder="1" applyAlignment="1">
      <alignment horizontal="right"/>
    </xf>
    <xf numFmtId="44" fontId="2" fillId="0" borderId="0" xfId="23" applyNumberFormat="1" applyFill="1" applyBorder="1" applyAlignment="1"/>
    <xf numFmtId="44" fontId="2" fillId="0" borderId="0" xfId="14" applyNumberFormat="1" applyFont="1" applyFill="1" applyBorder="1" applyAlignment="1"/>
    <xf numFmtId="44" fontId="8" fillId="0" borderId="0" xfId="23" applyNumberFormat="1" applyFont="1" applyFill="1" applyBorder="1" applyAlignment="1"/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Alignment="1"/>
    <xf numFmtId="165" fontId="10" fillId="0" borderId="0" xfId="11" applyNumberFormat="1" applyFont="1" applyFill="1" applyAlignment="1">
      <alignment horizontal="right"/>
    </xf>
    <xf numFmtId="165" fontId="9" fillId="0" borderId="0" xfId="11" applyNumberFormat="1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0" xfId="0" applyFill="1"/>
    <xf numFmtId="41" fontId="2" fillId="0" borderId="0" xfId="23" applyNumberFormat="1" applyFill="1" applyBorder="1"/>
    <xf numFmtId="41" fontId="19" fillId="0" borderId="0" xfId="23" applyNumberFormat="1" applyFont="1" applyFill="1" applyBorder="1"/>
    <xf numFmtId="166" fontId="2" fillId="3" borderId="0" xfId="14" applyNumberFormat="1" applyFont="1" applyFill="1" applyBorder="1"/>
    <xf numFmtId="0" fontId="17" fillId="3" borderId="8" xfId="23" applyFont="1" applyFill="1" applyBorder="1"/>
    <xf numFmtId="165" fontId="9" fillId="0" borderId="0" xfId="11" applyNumberFormat="1" applyFont="1" applyFill="1" applyBorder="1" applyAlignment="1">
      <alignment horizontal="right"/>
    </xf>
    <xf numFmtId="165" fontId="9" fillId="0" borderId="2" xfId="11" applyNumberFormat="1" applyFont="1" applyFill="1" applyBorder="1" applyAlignment="1">
      <alignment horizontal="right"/>
    </xf>
    <xf numFmtId="3" fontId="10" fillId="0" borderId="0" xfId="0" applyNumberFormat="1" applyFont="1" applyFill="1" applyAlignment="1"/>
    <xf numFmtId="3" fontId="9" fillId="0" borderId="0" xfId="3" applyNumberFormat="1" applyFont="1" applyFill="1" applyAlignment="1">
      <alignment horizontal="right"/>
    </xf>
    <xf numFmtId="2" fontId="9" fillId="0" borderId="0" xfId="3" applyNumberFormat="1" applyFont="1" applyFill="1" applyAlignment="1">
      <alignment horizontal="right"/>
    </xf>
    <xf numFmtId="3" fontId="9" fillId="0" borderId="0" xfId="3" applyNumberFormat="1" applyFont="1" applyFill="1" applyBorder="1" applyAlignment="1">
      <alignment horizontal="right"/>
    </xf>
    <xf numFmtId="2" fontId="9" fillId="0" borderId="0" xfId="3" applyNumberFormat="1" applyFont="1" applyFill="1" applyBorder="1" applyAlignment="1">
      <alignment horizontal="right"/>
    </xf>
    <xf numFmtId="165" fontId="10" fillId="0" borderId="0" xfId="11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9" fillId="0" borderId="2" xfId="3" applyNumberFormat="1" applyFont="1" applyFill="1" applyBorder="1" applyAlignment="1">
      <alignment horizontal="right"/>
    </xf>
    <xf numFmtId="2" fontId="9" fillId="0" borderId="2" xfId="3" applyNumberFormat="1" applyFont="1" applyFill="1" applyBorder="1" applyAlignment="1">
      <alignment horizontal="right"/>
    </xf>
    <xf numFmtId="165" fontId="10" fillId="0" borderId="2" xfId="11" applyNumberFormat="1" applyFont="1" applyFill="1" applyBorder="1" applyAlignment="1">
      <alignment horizontal="right"/>
    </xf>
    <xf numFmtId="3" fontId="26" fillId="0" borderId="0" xfId="0" applyNumberFormat="1" applyFont="1" applyFill="1" applyBorder="1"/>
    <xf numFmtId="166" fontId="26" fillId="0" borderId="0" xfId="11" applyNumberFormat="1" applyFont="1" applyFill="1" applyBorder="1"/>
    <xf numFmtId="4" fontId="9" fillId="0" borderId="0" xfId="3" applyNumberFormat="1" applyFont="1" applyFill="1" applyAlignment="1">
      <alignment horizontal="right"/>
    </xf>
    <xf numFmtId="0" fontId="26" fillId="0" borderId="0" xfId="0" applyFont="1" applyFill="1" applyBorder="1"/>
    <xf numFmtId="166" fontId="26" fillId="0" borderId="0" xfId="0" applyNumberFormat="1" applyFont="1" applyFill="1" applyBorder="1"/>
    <xf numFmtId="0" fontId="1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left"/>
    </xf>
    <xf numFmtId="44" fontId="18" fillId="4" borderId="0" xfId="14" applyFont="1" applyFill="1" applyBorder="1"/>
    <xf numFmtId="164" fontId="2" fillId="2" borderId="0" xfId="3" applyNumberFormat="1" applyFont="1" applyFill="1" applyBorder="1"/>
    <xf numFmtId="0" fontId="27" fillId="0" borderId="0" xfId="29" applyFill="1"/>
    <xf numFmtId="0" fontId="27" fillId="0" borderId="0" xfId="30" applyFill="1"/>
    <xf numFmtId="43" fontId="0" fillId="0" borderId="0" xfId="31" applyFont="1" applyFill="1"/>
    <xf numFmtId="0" fontId="28" fillId="0" borderId="0" xfId="29" applyFont="1" applyFill="1"/>
    <xf numFmtId="3" fontId="27" fillId="0" borderId="0" xfId="29" applyNumberFormat="1" applyFill="1"/>
    <xf numFmtId="3" fontId="27" fillId="0" borderId="0" xfId="30" applyNumberFormat="1" applyFill="1"/>
    <xf numFmtId="169" fontId="0" fillId="0" borderId="0" xfId="31" applyNumberFormat="1" applyFont="1" applyFill="1"/>
    <xf numFmtId="169" fontId="27" fillId="0" borderId="0" xfId="29" applyNumberFormat="1" applyFill="1"/>
    <xf numFmtId="164" fontId="0" fillId="0" borderId="0" xfId="31" applyNumberFormat="1" applyFont="1" applyFill="1"/>
    <xf numFmtId="164" fontId="27" fillId="0" borderId="0" xfId="29" applyNumberFormat="1" applyFill="1"/>
    <xf numFmtId="164" fontId="27" fillId="0" borderId="0" xfId="30" applyNumberFormat="1" applyFill="1"/>
    <xf numFmtId="0" fontId="0" fillId="0" borderId="0" xfId="0" applyFill="1" applyAlignment="1">
      <alignment horizontal="center"/>
    </xf>
    <xf numFmtId="0" fontId="31" fillId="0" borderId="0" xfId="0" applyFont="1" applyFill="1" applyAlignment="1"/>
    <xf numFmtId="164" fontId="2" fillId="0" borderId="0" xfId="3" applyNumberFormat="1" applyFont="1" applyFill="1" applyAlignment="1">
      <alignment horizontal="center"/>
    </xf>
    <xf numFmtId="43" fontId="2" fillId="0" borderId="0" xfId="23" applyNumberFormat="1" applyFill="1" applyBorder="1"/>
    <xf numFmtId="0" fontId="17" fillId="4" borderId="8" xfId="23" applyFont="1" applyFill="1" applyBorder="1"/>
    <xf numFmtId="166" fontId="2" fillId="4" borderId="0" xfId="14" applyNumberFormat="1" applyFont="1" applyFill="1" applyBorder="1"/>
    <xf numFmtId="0" fontId="0" fillId="0" borderId="0" xfId="0" applyAlignment="1">
      <alignment horizontal="center"/>
    </xf>
    <xf numFmtId="164" fontId="0" fillId="0" borderId="0" xfId="0" applyNumberFormat="1" applyFill="1"/>
    <xf numFmtId="164" fontId="27" fillId="0" borderId="0" xfId="4" applyNumberFormat="1" applyFont="1" applyFill="1"/>
    <xf numFmtId="165" fontId="0" fillId="0" borderId="0" xfId="0" applyNumberFormat="1" applyFill="1" applyBorder="1"/>
    <xf numFmtId="3" fontId="9" fillId="0" borderId="0" xfId="3" applyNumberFormat="1" applyFont="1" applyFill="1" applyBorder="1" applyAlignment="1">
      <alignment horizontal="left"/>
    </xf>
    <xf numFmtId="2" fontId="9" fillId="0" borderId="0" xfId="11" applyNumberFormat="1" applyFont="1" applyFill="1" applyBorder="1" applyAlignment="1">
      <alignment horizontal="right"/>
    </xf>
    <xf numFmtId="43" fontId="27" fillId="0" borderId="0" xfId="30" applyNumberFormat="1" applyFill="1"/>
    <xf numFmtId="0" fontId="8" fillId="2" borderId="2" xfId="23" applyFont="1" applyFill="1" applyBorder="1" applyAlignment="1">
      <alignment horizontal="center" wrapText="1"/>
    </xf>
    <xf numFmtId="166" fontId="2" fillId="0" borderId="0" xfId="14" applyNumberFormat="1" applyFont="1" applyFill="1" applyBorder="1"/>
    <xf numFmtId="3" fontId="0" fillId="0" borderId="0" xfId="0" applyNumberFormat="1" applyFill="1"/>
    <xf numFmtId="0" fontId="0" fillId="0" borderId="0" xfId="0" applyFill="1" applyAlignment="1"/>
    <xf numFmtId="43" fontId="9" fillId="0" borderId="0" xfId="3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43" fontId="9" fillId="0" borderId="1" xfId="3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/>
    <xf numFmtId="0" fontId="10" fillId="0" borderId="0" xfId="0" quotePrefix="1" applyFont="1" applyFill="1" applyAlignment="1">
      <alignment horizontal="center"/>
    </xf>
    <xf numFmtId="165" fontId="0" fillId="0" borderId="0" xfId="0" applyNumberFormat="1" applyFill="1"/>
    <xf numFmtId="165" fontId="9" fillId="0" borderId="0" xfId="0" quotePrefix="1" applyNumberFormat="1" applyFont="1" applyFill="1" applyAlignment="1">
      <alignment horizontal="center"/>
    </xf>
    <xf numFmtId="16" fontId="10" fillId="0" borderId="0" xfId="0" quotePrefix="1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165" fontId="10" fillId="0" borderId="0" xfId="0" applyNumberFormat="1" applyFont="1" applyFill="1"/>
    <xf numFmtId="164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/>
    <xf numFmtId="39" fontId="0" fillId="0" borderId="0" xfId="0" applyNumberFormat="1" applyFill="1"/>
    <xf numFmtId="167" fontId="29" fillId="0" borderId="0" xfId="29" applyNumberFormat="1" applyFont="1" applyFill="1" applyAlignment="1">
      <alignment horizontal="center"/>
    </xf>
    <xf numFmtId="168" fontId="29" fillId="0" borderId="0" xfId="29" applyNumberFormat="1" applyFont="1" applyFill="1" applyAlignment="1">
      <alignment horizontal="center"/>
    </xf>
    <xf numFmtId="0" fontId="28" fillId="0" borderId="0" xfId="29" applyFont="1" applyFill="1" applyAlignment="1">
      <alignment horizontal="center"/>
    </xf>
    <xf numFmtId="0" fontId="28" fillId="0" borderId="0" xfId="30" applyFont="1" applyFill="1"/>
    <xf numFmtId="3" fontId="28" fillId="0" borderId="0" xfId="29" applyNumberFormat="1" applyFont="1" applyFill="1"/>
    <xf numFmtId="0" fontId="0" fillId="0" borderId="0" xfId="30" applyFont="1" applyFill="1"/>
    <xf numFmtId="43" fontId="27" fillId="0" borderId="0" xfId="29" applyNumberFormat="1" applyFill="1"/>
    <xf numFmtId="43" fontId="0" fillId="0" borderId="0" xfId="30" applyNumberFormat="1" applyFont="1" applyFill="1"/>
    <xf numFmtId="0" fontId="0" fillId="0" borderId="0" xfId="29" applyFont="1" applyFill="1"/>
    <xf numFmtId="0" fontId="14" fillId="2" borderId="6" xfId="23" applyFont="1" applyFill="1" applyBorder="1" applyAlignment="1">
      <alignment horizontal="center"/>
    </xf>
    <xf numFmtId="0" fontId="14" fillId="2" borderId="0" xfId="23" applyFont="1" applyFill="1" applyBorder="1" applyAlignment="1">
      <alignment horizontal="center"/>
    </xf>
    <xf numFmtId="0" fontId="14" fillId="2" borderId="7" xfId="23" applyFont="1" applyFill="1" applyBorder="1" applyAlignment="1">
      <alignment horizontal="center"/>
    </xf>
    <xf numFmtId="0" fontId="15" fillId="2" borderId="6" xfId="23" applyFont="1" applyFill="1" applyBorder="1" applyAlignment="1">
      <alignment horizontal="center"/>
    </xf>
    <xf numFmtId="0" fontId="15" fillId="2" borderId="0" xfId="23" applyFont="1" applyFill="1" applyBorder="1" applyAlignment="1">
      <alignment horizontal="center"/>
    </xf>
    <xf numFmtId="0" fontId="15" fillId="2" borderId="7" xfId="23" applyFont="1" applyFill="1" applyBorder="1" applyAlignment="1">
      <alignment horizontal="center"/>
    </xf>
    <xf numFmtId="43" fontId="3" fillId="0" borderId="0" xfId="3" applyFont="1" applyFill="1" applyAlignment="1">
      <alignment horizontal="center"/>
    </xf>
    <xf numFmtId="43" fontId="4" fillId="0" borderId="0" xfId="3" applyFont="1" applyFill="1" applyAlignment="1">
      <alignment horizontal="center"/>
    </xf>
    <xf numFmtId="43" fontId="5" fillId="0" borderId="0" xfId="8" applyFont="1" applyFill="1" applyAlignment="1">
      <alignment horizontal="center"/>
      <protection locked="0"/>
    </xf>
    <xf numFmtId="0" fontId="0" fillId="0" borderId="0" xfId="0" applyFill="1" applyAlignment="1">
      <alignment horizontal="center"/>
    </xf>
    <xf numFmtId="43" fontId="3" fillId="0" borderId="0" xfId="3" applyFont="1" applyAlignment="1">
      <alignment horizontal="center"/>
    </xf>
    <xf numFmtId="43" fontId="4" fillId="0" borderId="0" xfId="3" applyFont="1" applyAlignment="1">
      <alignment horizontal="center"/>
    </xf>
    <xf numFmtId="43" fontId="5" fillId="0" borderId="0" xfId="8" applyFont="1" applyAlignment="1">
      <alignment horizontal="center"/>
      <protection locked="0"/>
    </xf>
    <xf numFmtId="0" fontId="28" fillId="0" borderId="0" xfId="0" applyFont="1" applyFill="1" applyAlignment="1">
      <alignment horizontal="center"/>
    </xf>
  </cellXfs>
  <cellStyles count="32">
    <cellStyle name="Accounting" xfId="1"/>
    <cellStyle name="Budget" xfId="2"/>
    <cellStyle name="Comma" xfId="3" builtinId="3"/>
    <cellStyle name="Comma 2" xfId="4"/>
    <cellStyle name="Comma 3" xfId="5"/>
    <cellStyle name="Comma 3 2" xfId="6"/>
    <cellStyle name="Comma 4" xfId="7"/>
    <cellStyle name="Comma 9 3" xfId="31"/>
    <cellStyle name="Comma_Sheet1 (2)" xfId="8"/>
    <cellStyle name="Comma0 - Style2" xfId="9"/>
    <cellStyle name="Comma1 - Style1" xfId="10"/>
    <cellStyle name="Currency" xfId="11" builtinId="4"/>
    <cellStyle name="Currency 2" xfId="12"/>
    <cellStyle name="Currency 3" xfId="13"/>
    <cellStyle name="Currency 3 2" xfId="14"/>
    <cellStyle name="Hyperlink 2" xfId="15"/>
    <cellStyle name="Normal" xfId="0" builtinId="0"/>
    <cellStyle name="Normal - Style1" xfId="16"/>
    <cellStyle name="Normal - Style2" xfId="17"/>
    <cellStyle name="Normal - Style3" xfId="18"/>
    <cellStyle name="Normal - Style4" xfId="19"/>
    <cellStyle name="Normal - Style5" xfId="20"/>
    <cellStyle name="Normal 13 3" xfId="29"/>
    <cellStyle name="Normal 2" xfId="21"/>
    <cellStyle name="Normal 2 2" xfId="22"/>
    <cellStyle name="Normal 2 3" xfId="23"/>
    <cellStyle name="Normal 3" xfId="24"/>
    <cellStyle name="Normal 4" xfId="30"/>
    <cellStyle name="Percent 2" xfId="25"/>
    <cellStyle name="PRM" xfId="26"/>
    <cellStyle name="Style 1" xfId="27"/>
    <cellStyle name="STYLE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_TO_S/PUD0783%20-%20Pullman%20Disposal%20Services/Commodity%20Credit/2018/Submission%20081518/Pullman%20Disposal%20Commodity%20Credit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All 2017-2018"/>
      <sheetName val="Commodity Debit"/>
    </sheetNames>
    <sheetDataSet>
      <sheetData sheetId="0"/>
      <sheetData sheetId="1">
        <row r="11">
          <cell r="I11"/>
        </row>
        <row r="12">
          <cell r="I12"/>
        </row>
        <row r="13">
          <cell r="I13"/>
        </row>
        <row r="14">
          <cell r="I14"/>
        </row>
        <row r="15">
          <cell r="I15"/>
        </row>
        <row r="16">
          <cell r="I16"/>
        </row>
        <row r="17">
          <cell r="I17"/>
        </row>
        <row r="18">
          <cell r="I18"/>
        </row>
        <row r="19">
          <cell r="I19"/>
        </row>
        <row r="20">
          <cell r="I20"/>
        </row>
        <row r="21">
          <cell r="I21"/>
        </row>
        <row r="22">
          <cell r="I22"/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7"/>
  <sheetViews>
    <sheetView tabSelected="1" zoomScaleNormal="100" workbookViewId="0"/>
  </sheetViews>
  <sheetFormatPr defaultColWidth="8.88671875" defaultRowHeight="13.2" x14ac:dyDescent="0.25"/>
  <cols>
    <col min="1" max="1" width="40.33203125" style="22" customWidth="1"/>
    <col min="2" max="2" width="6.33203125" style="22" customWidth="1"/>
    <col min="3" max="3" width="12.44140625" style="22" customWidth="1"/>
    <col min="4" max="4" width="14.88671875" style="22" bestFit="1" customWidth="1"/>
    <col min="5" max="5" width="11.109375" style="22" bestFit="1" customWidth="1"/>
    <col min="6" max="6" width="14.44140625" style="22" customWidth="1"/>
    <col min="7" max="7" width="40.33203125" style="22" customWidth="1"/>
    <col min="8" max="8" width="6.33203125" style="22" customWidth="1"/>
    <col min="9" max="9" width="12.44140625" style="22" customWidth="1"/>
    <col min="10" max="10" width="14.88671875" style="22" bestFit="1" customWidth="1"/>
    <col min="11" max="11" width="11.109375" style="22" bestFit="1" customWidth="1"/>
    <col min="12" max="12" width="14.44140625" style="22" customWidth="1"/>
    <col min="13" max="13" width="40.33203125" style="22" customWidth="1"/>
    <col min="14" max="14" width="6.33203125" style="22" customWidth="1"/>
    <col min="15" max="15" width="12.44140625" style="22" customWidth="1"/>
    <col min="16" max="16" width="14.88671875" style="22" bestFit="1" customWidth="1"/>
    <col min="17" max="17" width="12.6640625" style="22" customWidth="1"/>
    <col min="18" max="18" width="10.5546875" style="22" bestFit="1" customWidth="1"/>
    <col min="19" max="19" width="40.33203125" style="22" customWidth="1"/>
    <col min="20" max="20" width="6.33203125" style="22" customWidth="1"/>
    <col min="21" max="21" width="12.44140625" style="22" customWidth="1"/>
    <col min="22" max="22" width="14.88671875" style="22" bestFit="1" customWidth="1"/>
    <col min="23" max="23" width="12.6640625" style="22" customWidth="1"/>
    <col min="24" max="24" width="12.6640625" style="22" bestFit="1" customWidth="1"/>
    <col min="25" max="25" width="40.33203125" style="22" customWidth="1"/>
    <col min="26" max="26" width="6.33203125" style="22" customWidth="1"/>
    <col min="27" max="27" width="12.44140625" style="22" customWidth="1"/>
    <col min="28" max="28" width="14.88671875" style="22" bestFit="1" customWidth="1"/>
    <col min="29" max="29" width="12.6640625" style="22" customWidth="1"/>
    <col min="30" max="30" width="10.5546875" style="22" bestFit="1" customWidth="1"/>
    <col min="31" max="31" width="11" style="54" customWidth="1"/>
    <col min="32" max="32" width="41.5546875" style="54" customWidth="1"/>
    <col min="33" max="33" width="10.44140625" style="54" bestFit="1" customWidth="1"/>
    <col min="34" max="34" width="13.44140625" style="54" customWidth="1"/>
    <col min="35" max="35" width="11" style="54" customWidth="1"/>
    <col min="36" max="36" width="11.88671875" style="54" customWidth="1"/>
    <col min="37" max="37" width="35.88671875" style="54" customWidth="1"/>
    <col min="38" max="38" width="8.88671875" style="54"/>
    <col min="39" max="39" width="24.109375" style="54" customWidth="1"/>
    <col min="40" max="40" width="11" style="54" bestFit="1" customWidth="1"/>
    <col min="41" max="41" width="10.5546875" style="54" bestFit="1" customWidth="1"/>
    <col min="42" max="42" width="10.44140625" style="54" customWidth="1"/>
    <col min="43" max="16384" width="8.88671875" style="22"/>
  </cols>
  <sheetData>
    <row r="1" spans="1:42" ht="19.5" customHeight="1" x14ac:dyDescent="0.45">
      <c r="A1" s="18" t="s">
        <v>21</v>
      </c>
      <c r="B1" s="19"/>
      <c r="C1" s="20"/>
      <c r="D1" s="20"/>
      <c r="E1" s="20"/>
      <c r="F1" s="21"/>
      <c r="G1" s="18" t="s">
        <v>21</v>
      </c>
      <c r="H1" s="19"/>
      <c r="I1" s="20"/>
      <c r="J1" s="20"/>
      <c r="K1" s="20"/>
      <c r="L1" s="21"/>
      <c r="M1" s="18" t="s">
        <v>21</v>
      </c>
      <c r="N1" s="19"/>
      <c r="O1" s="20"/>
      <c r="P1" s="20"/>
      <c r="Q1" s="20"/>
      <c r="R1" s="21"/>
      <c r="S1" s="18" t="s">
        <v>21</v>
      </c>
      <c r="T1" s="19"/>
      <c r="U1" s="20"/>
      <c r="V1" s="20"/>
      <c r="W1" s="20"/>
      <c r="X1" s="21"/>
      <c r="Y1" s="18" t="s">
        <v>21</v>
      </c>
      <c r="Z1" s="19"/>
      <c r="AA1" s="20"/>
      <c r="AB1" s="20"/>
      <c r="AC1" s="20"/>
      <c r="AD1" s="21"/>
      <c r="AE1" s="53"/>
      <c r="AF1" s="53"/>
      <c r="AK1" s="53"/>
      <c r="AL1" s="53"/>
    </row>
    <row r="2" spans="1:42" ht="16.2" x14ac:dyDescent="0.4">
      <c r="A2" s="23"/>
      <c r="B2" s="24"/>
      <c r="C2" s="25"/>
      <c r="D2" s="26"/>
      <c r="E2" s="26"/>
      <c r="F2" s="27"/>
      <c r="G2" s="23"/>
      <c r="H2" s="24"/>
      <c r="I2" s="25"/>
      <c r="J2" s="26"/>
      <c r="K2" s="26"/>
      <c r="L2" s="27"/>
      <c r="M2" s="23"/>
      <c r="N2" s="24"/>
      <c r="O2" s="25"/>
      <c r="P2" s="26"/>
      <c r="Q2" s="26"/>
      <c r="R2" s="27"/>
      <c r="S2" s="23"/>
      <c r="T2" s="24"/>
      <c r="U2" s="25"/>
      <c r="V2" s="26"/>
      <c r="W2" s="26"/>
      <c r="X2" s="27"/>
      <c r="Y2" s="23"/>
      <c r="Z2" s="24"/>
      <c r="AA2" s="25"/>
      <c r="AB2" s="26"/>
      <c r="AC2" s="26"/>
      <c r="AD2" s="27"/>
      <c r="AE2" s="55"/>
      <c r="AF2" s="55"/>
      <c r="AG2" s="56"/>
      <c r="AK2" s="55"/>
      <c r="AL2" s="55"/>
      <c r="AM2" s="56"/>
    </row>
    <row r="3" spans="1:42" x14ac:dyDescent="0.25">
      <c r="A3" s="28"/>
      <c r="B3" s="29"/>
      <c r="C3" s="26"/>
      <c r="D3" s="26"/>
      <c r="E3" s="26"/>
      <c r="F3" s="27"/>
      <c r="G3" s="28"/>
      <c r="H3" s="29"/>
      <c r="I3" s="26"/>
      <c r="J3" s="26"/>
      <c r="K3" s="26"/>
      <c r="L3" s="27"/>
      <c r="M3" s="28"/>
      <c r="N3" s="29"/>
      <c r="O3" s="26"/>
      <c r="P3" s="26"/>
      <c r="Q3" s="26"/>
      <c r="R3" s="27"/>
      <c r="S3" s="28"/>
      <c r="T3" s="29"/>
      <c r="U3" s="26"/>
      <c r="V3" s="26"/>
      <c r="W3" s="26"/>
      <c r="X3" s="27"/>
      <c r="Y3" s="28"/>
      <c r="Z3" s="29"/>
      <c r="AA3" s="26"/>
      <c r="AB3" s="26"/>
      <c r="AC3" s="26"/>
      <c r="AD3" s="27"/>
      <c r="AE3" s="57"/>
      <c r="AF3" s="57"/>
      <c r="AK3" s="57"/>
      <c r="AL3" s="57"/>
    </row>
    <row r="4" spans="1:42" ht="21" x14ac:dyDescent="0.4">
      <c r="A4" s="164">
        <v>2020</v>
      </c>
      <c r="B4" s="165"/>
      <c r="C4" s="165"/>
      <c r="D4" s="165"/>
      <c r="E4" s="165"/>
      <c r="F4" s="166"/>
      <c r="G4" s="164">
        <v>2020</v>
      </c>
      <c r="H4" s="165"/>
      <c r="I4" s="165"/>
      <c r="J4" s="165"/>
      <c r="K4" s="165"/>
      <c r="L4" s="166"/>
      <c r="M4" s="164">
        <v>2019</v>
      </c>
      <c r="N4" s="165"/>
      <c r="O4" s="165"/>
      <c r="P4" s="165"/>
      <c r="Q4" s="165"/>
      <c r="R4" s="166"/>
      <c r="S4" s="164">
        <v>2019</v>
      </c>
      <c r="T4" s="165"/>
      <c r="U4" s="165"/>
      <c r="V4" s="165"/>
      <c r="W4" s="165"/>
      <c r="X4" s="166"/>
      <c r="Y4" s="164" t="s">
        <v>20</v>
      </c>
      <c r="Z4" s="165"/>
      <c r="AA4" s="165"/>
      <c r="AB4" s="165"/>
      <c r="AC4" s="165"/>
      <c r="AD4" s="166"/>
      <c r="AF4" s="58"/>
      <c r="AG4" s="58"/>
      <c r="AH4" s="58"/>
      <c r="AI4" s="58"/>
      <c r="AL4" s="58"/>
      <c r="AM4" s="58"/>
      <c r="AN4" s="58"/>
      <c r="AO4" s="58"/>
    </row>
    <row r="5" spans="1:42" x14ac:dyDescent="0.25">
      <c r="A5" s="30"/>
      <c r="B5" s="26"/>
      <c r="C5" s="26"/>
      <c r="D5" s="26"/>
      <c r="E5" s="26"/>
      <c r="F5" s="27"/>
      <c r="G5" s="30"/>
      <c r="H5" s="26"/>
      <c r="I5" s="26"/>
      <c r="J5" s="26"/>
      <c r="K5" s="26"/>
      <c r="L5" s="27"/>
      <c r="M5" s="30"/>
      <c r="N5" s="26"/>
      <c r="O5" s="26"/>
      <c r="P5" s="26"/>
      <c r="Q5" s="26"/>
      <c r="R5" s="27"/>
      <c r="S5" s="30"/>
      <c r="T5" s="26"/>
      <c r="U5" s="26"/>
      <c r="V5" s="26"/>
      <c r="W5" s="26"/>
      <c r="X5" s="27"/>
      <c r="Y5" s="30"/>
      <c r="Z5" s="26"/>
      <c r="AA5" s="26"/>
      <c r="AB5" s="26"/>
      <c r="AC5" s="26"/>
      <c r="AD5" s="27"/>
    </row>
    <row r="6" spans="1:42" ht="19.8" x14ac:dyDescent="0.5">
      <c r="A6" s="167" t="s">
        <v>91</v>
      </c>
      <c r="B6" s="168"/>
      <c r="C6" s="168"/>
      <c r="D6" s="168"/>
      <c r="E6" s="168"/>
      <c r="F6" s="169"/>
      <c r="G6" s="167" t="s">
        <v>28</v>
      </c>
      <c r="H6" s="168"/>
      <c r="I6" s="168"/>
      <c r="J6" s="168"/>
      <c r="K6" s="168"/>
      <c r="L6" s="169"/>
      <c r="M6" s="167" t="s">
        <v>28</v>
      </c>
      <c r="N6" s="168"/>
      <c r="O6" s="168"/>
      <c r="P6" s="168"/>
      <c r="Q6" s="168"/>
      <c r="R6" s="169"/>
      <c r="S6" s="167" t="s">
        <v>28</v>
      </c>
      <c r="T6" s="168"/>
      <c r="U6" s="168"/>
      <c r="V6" s="168"/>
      <c r="W6" s="168"/>
      <c r="X6" s="169"/>
      <c r="Y6" s="167" t="s">
        <v>28</v>
      </c>
      <c r="Z6" s="168"/>
      <c r="AA6" s="168"/>
      <c r="AB6" s="168"/>
      <c r="AC6" s="168"/>
      <c r="AD6" s="16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</row>
    <row r="7" spans="1:42" x14ac:dyDescent="0.25">
      <c r="A7" s="30"/>
      <c r="B7" s="26"/>
      <c r="C7" s="26"/>
      <c r="D7" s="26"/>
      <c r="E7" s="26"/>
      <c r="F7" s="27"/>
      <c r="G7" s="30"/>
      <c r="H7" s="26"/>
      <c r="I7" s="26"/>
      <c r="J7" s="26"/>
      <c r="K7" s="26"/>
      <c r="L7" s="27"/>
      <c r="M7" s="30"/>
      <c r="N7" s="26"/>
      <c r="O7" s="26"/>
      <c r="P7" s="26"/>
      <c r="Q7" s="26"/>
      <c r="R7" s="27"/>
      <c r="S7" s="30"/>
      <c r="T7" s="26"/>
      <c r="U7" s="26"/>
      <c r="V7" s="26"/>
      <c r="W7" s="26"/>
      <c r="X7" s="27"/>
      <c r="Y7" s="30"/>
      <c r="Z7" s="26"/>
      <c r="AA7" s="26"/>
      <c r="AB7" s="26"/>
      <c r="AC7" s="26"/>
      <c r="AD7" s="27"/>
    </row>
    <row r="8" spans="1:42" x14ac:dyDescent="0.25">
      <c r="A8" s="30"/>
      <c r="B8" s="26"/>
      <c r="C8" s="31"/>
      <c r="D8" s="31" t="s">
        <v>10</v>
      </c>
      <c r="E8" s="31" t="s">
        <v>11</v>
      </c>
      <c r="F8" s="27"/>
      <c r="G8" s="30"/>
      <c r="H8" s="26"/>
      <c r="I8" s="31"/>
      <c r="J8" s="31" t="s">
        <v>10</v>
      </c>
      <c r="K8" s="31" t="s">
        <v>11</v>
      </c>
      <c r="L8" s="27"/>
      <c r="M8" s="30"/>
      <c r="N8" s="26"/>
      <c r="O8" s="31"/>
      <c r="P8" s="31" t="s">
        <v>10</v>
      </c>
      <c r="Q8" s="31" t="s">
        <v>11</v>
      </c>
      <c r="R8" s="27"/>
      <c r="S8" s="30"/>
      <c r="T8" s="26"/>
      <c r="U8" s="31"/>
      <c r="V8" s="31" t="s">
        <v>10</v>
      </c>
      <c r="W8" s="31" t="s">
        <v>11</v>
      </c>
      <c r="X8" s="27"/>
      <c r="Y8" s="30"/>
      <c r="Z8" s="26"/>
      <c r="AA8" s="31"/>
      <c r="AB8" s="31" t="s">
        <v>10</v>
      </c>
      <c r="AC8" s="31" t="s">
        <v>11</v>
      </c>
      <c r="AD8" s="27"/>
      <c r="AG8" s="60"/>
      <c r="AH8" s="60"/>
      <c r="AI8" s="60"/>
      <c r="AM8" s="60"/>
      <c r="AN8" s="60"/>
      <c r="AO8" s="60"/>
    </row>
    <row r="9" spans="1:42" x14ac:dyDescent="0.25">
      <c r="A9" s="30"/>
      <c r="B9" s="26"/>
      <c r="C9" s="32" t="s">
        <v>7</v>
      </c>
      <c r="D9" s="32" t="s">
        <v>12</v>
      </c>
      <c r="E9" s="32" t="s">
        <v>13</v>
      </c>
      <c r="F9" s="27"/>
      <c r="G9" s="30"/>
      <c r="H9" s="26"/>
      <c r="I9" s="32" t="s">
        <v>7</v>
      </c>
      <c r="J9" s="32" t="s">
        <v>12</v>
      </c>
      <c r="K9" s="32" t="s">
        <v>13</v>
      </c>
      <c r="L9" s="27"/>
      <c r="M9" s="30"/>
      <c r="N9" s="26"/>
      <c r="O9" s="32" t="s">
        <v>7</v>
      </c>
      <c r="P9" s="32" t="s">
        <v>12</v>
      </c>
      <c r="Q9" s="32" t="s">
        <v>13</v>
      </c>
      <c r="R9" s="27"/>
      <c r="S9" s="30"/>
      <c r="T9" s="26"/>
      <c r="U9" s="32" t="s">
        <v>7</v>
      </c>
      <c r="V9" s="32" t="s">
        <v>12</v>
      </c>
      <c r="W9" s="32" t="s">
        <v>13</v>
      </c>
      <c r="X9" s="27"/>
      <c r="Y9" s="30"/>
      <c r="Z9" s="26"/>
      <c r="AA9" s="32" t="s">
        <v>7</v>
      </c>
      <c r="AB9" s="32" t="s">
        <v>12</v>
      </c>
      <c r="AC9" s="32" t="s">
        <v>13</v>
      </c>
      <c r="AD9" s="27"/>
      <c r="AG9" s="61"/>
      <c r="AH9" s="61"/>
      <c r="AI9" s="61"/>
      <c r="AM9" s="61"/>
      <c r="AN9" s="61"/>
      <c r="AO9" s="61"/>
    </row>
    <row r="10" spans="1:42" ht="16.8" x14ac:dyDescent="0.45">
      <c r="A10" s="33" t="s">
        <v>65</v>
      </c>
      <c r="B10" s="34"/>
      <c r="C10" s="35"/>
      <c r="D10" s="35"/>
      <c r="E10" s="35"/>
      <c r="F10" s="27"/>
      <c r="G10" s="33" t="s">
        <v>65</v>
      </c>
      <c r="H10" s="34"/>
      <c r="I10" s="35"/>
      <c r="J10" s="35"/>
      <c r="K10" s="35"/>
      <c r="L10" s="27"/>
      <c r="M10" s="33" t="s">
        <v>25</v>
      </c>
      <c r="N10" s="34"/>
      <c r="O10" s="35"/>
      <c r="P10" s="35"/>
      <c r="Q10" s="35"/>
      <c r="R10" s="27"/>
      <c r="S10" s="33" t="s">
        <v>25</v>
      </c>
      <c r="T10" s="34"/>
      <c r="U10" s="35"/>
      <c r="V10" s="35"/>
      <c r="W10" s="35"/>
      <c r="X10" s="27"/>
      <c r="Y10" s="33" t="s">
        <v>25</v>
      </c>
      <c r="Z10" s="34"/>
      <c r="AA10" s="35"/>
      <c r="AB10" s="35"/>
      <c r="AC10" s="35"/>
      <c r="AD10" s="27"/>
      <c r="AE10" s="62"/>
      <c r="AF10" s="62"/>
      <c r="AG10" s="63"/>
      <c r="AH10" s="63"/>
      <c r="AI10" s="63"/>
      <c r="AK10" s="62"/>
      <c r="AL10" s="62"/>
      <c r="AM10" s="63"/>
      <c r="AN10" s="63"/>
      <c r="AO10" s="63"/>
    </row>
    <row r="11" spans="1:42" x14ac:dyDescent="0.25">
      <c r="A11" s="30" t="s">
        <v>87</v>
      </c>
      <c r="B11" s="26"/>
      <c r="C11" s="85">
        <f>+'Calcs revised method'!J10+'Calcs revised method'!K10</f>
        <v>10282</v>
      </c>
      <c r="D11" s="108">
        <f>+J12</f>
        <v>-1.68</v>
      </c>
      <c r="E11" s="36">
        <f>C11*D11</f>
        <v>-17273.759999999998</v>
      </c>
      <c r="F11" s="27"/>
      <c r="G11" s="30" t="s">
        <v>66</v>
      </c>
      <c r="H11" s="26"/>
      <c r="I11" s="85">
        <v>10282</v>
      </c>
      <c r="J11" s="108">
        <v>-1.47</v>
      </c>
      <c r="K11" s="36">
        <f>I11*J11</f>
        <v>-15114.539999999999</v>
      </c>
      <c r="L11" s="27"/>
      <c r="M11" s="30" t="s">
        <v>52</v>
      </c>
      <c r="N11" s="26"/>
      <c r="O11" s="85">
        <v>15485</v>
      </c>
      <c r="P11" s="108">
        <f>ROUND(AD27,2)</f>
        <v>-1.59</v>
      </c>
      <c r="Q11" s="36">
        <f>O11*P11</f>
        <v>-24621.15</v>
      </c>
      <c r="R11" s="27"/>
      <c r="S11" s="30" t="s">
        <v>46</v>
      </c>
      <c r="T11" s="26"/>
      <c r="U11" s="85">
        <v>23216</v>
      </c>
      <c r="V11" s="108">
        <f>+AD27</f>
        <v>-1.59</v>
      </c>
      <c r="W11" s="36">
        <f>U11*V11</f>
        <v>-36913.440000000002</v>
      </c>
      <c r="X11" s="27"/>
      <c r="Y11" s="30" t="s">
        <v>47</v>
      </c>
      <c r="Z11" s="26"/>
      <c r="AA11" s="85">
        <f>SUM('[1]All 2017-2018'!I11:I22)</f>
        <v>0</v>
      </c>
      <c r="AB11" s="37">
        <v>0</v>
      </c>
      <c r="AC11" s="36">
        <f>AA11*AB11</f>
        <v>0</v>
      </c>
      <c r="AD11" s="27"/>
      <c r="AG11" s="64"/>
      <c r="AH11" s="65"/>
      <c r="AI11" s="64"/>
      <c r="AM11" s="64"/>
      <c r="AN11" s="65"/>
      <c r="AO11" s="64"/>
    </row>
    <row r="12" spans="1:42" ht="15" x14ac:dyDescent="0.4">
      <c r="A12" s="38" t="s">
        <v>88</v>
      </c>
      <c r="B12" s="39"/>
      <c r="C12" s="86">
        <f>+'Calcs revised method'!L10+'Calcs revised method'!M10+'Calcs revised method'!N10+'Calcs revised method'!O10</f>
        <v>20564</v>
      </c>
      <c r="D12" s="37">
        <f>+L25</f>
        <v>-1.9008299293263309</v>
      </c>
      <c r="E12" s="36">
        <f>C12*D12</f>
        <v>-39088.666666666672</v>
      </c>
      <c r="F12" s="27"/>
      <c r="G12" s="38" t="s">
        <v>67</v>
      </c>
      <c r="H12" s="39"/>
      <c r="I12" s="86">
        <v>20564</v>
      </c>
      <c r="J12" s="37">
        <v>-1.68</v>
      </c>
      <c r="K12" s="36">
        <f>I12*J12</f>
        <v>-34547.519999999997</v>
      </c>
      <c r="L12" s="27"/>
      <c r="M12" s="38" t="s">
        <v>53</v>
      </c>
      <c r="N12" s="39"/>
      <c r="O12" s="86">
        <v>30971</v>
      </c>
      <c r="P12" s="37">
        <f>+ROUND(X25,2)</f>
        <v>-1.47</v>
      </c>
      <c r="Q12" s="36">
        <f>O12*P12</f>
        <v>-45527.37</v>
      </c>
      <c r="R12" s="27"/>
      <c r="S12" s="38" t="s">
        <v>50</v>
      </c>
      <c r="T12" s="39"/>
      <c r="U12" s="86">
        <v>23216</v>
      </c>
      <c r="V12" s="37">
        <f>+AD27</f>
        <v>-1.59</v>
      </c>
      <c r="W12" s="36">
        <f>U12*V12</f>
        <v>-36913.440000000002</v>
      </c>
      <c r="X12" s="27"/>
      <c r="Y12" s="38"/>
      <c r="Z12" s="39"/>
      <c r="AA12" s="86">
        <v>0</v>
      </c>
      <c r="AB12" s="37">
        <v>0</v>
      </c>
      <c r="AC12" s="36">
        <f>AA12*AB12</f>
        <v>0</v>
      </c>
      <c r="AD12" s="27"/>
      <c r="AE12" s="66"/>
      <c r="AF12" s="67"/>
      <c r="AG12" s="68"/>
      <c r="AH12" s="65"/>
      <c r="AI12" s="68"/>
      <c r="AK12" s="66"/>
      <c r="AL12" s="67"/>
      <c r="AM12" s="68"/>
      <c r="AN12" s="65"/>
      <c r="AO12" s="68"/>
    </row>
    <row r="13" spans="1:42" x14ac:dyDescent="0.25">
      <c r="A13" s="30" t="s">
        <v>11</v>
      </c>
      <c r="B13" s="26"/>
      <c r="C13" s="36">
        <f>SUM(C11:C12)</f>
        <v>30846</v>
      </c>
      <c r="D13" s="36"/>
      <c r="E13" s="36">
        <f>SUM(E11:E12)</f>
        <v>-56362.426666666666</v>
      </c>
      <c r="F13" s="27"/>
      <c r="G13" s="30" t="s">
        <v>11</v>
      </c>
      <c r="H13" s="26"/>
      <c r="I13" s="36">
        <f>SUM(I11:I12)</f>
        <v>30846</v>
      </c>
      <c r="J13" s="36"/>
      <c r="K13" s="36">
        <f>SUM(K11:K12)</f>
        <v>-49662.06</v>
      </c>
      <c r="L13" s="27"/>
      <c r="M13" s="30" t="s">
        <v>11</v>
      </c>
      <c r="N13" s="26"/>
      <c r="O13" s="36">
        <f>SUM(O11:O12)</f>
        <v>46456</v>
      </c>
      <c r="P13" s="36"/>
      <c r="Q13" s="36">
        <f>SUM(Q11:Q12)</f>
        <v>-70148.52</v>
      </c>
      <c r="R13" s="27"/>
      <c r="S13" s="30" t="s">
        <v>11</v>
      </c>
      <c r="T13" s="26"/>
      <c r="U13" s="36">
        <f>SUM(U11:U12)</f>
        <v>46432</v>
      </c>
      <c r="V13" s="36"/>
      <c r="W13" s="36">
        <f>SUM(W11:W12)</f>
        <v>-73826.880000000005</v>
      </c>
      <c r="X13" s="27"/>
      <c r="Y13" s="30" t="s">
        <v>11</v>
      </c>
      <c r="Z13" s="26"/>
      <c r="AA13" s="36">
        <f>SUM(AA11:AA12)</f>
        <v>0</v>
      </c>
      <c r="AB13" s="36"/>
      <c r="AC13" s="36">
        <f>SUM(AC11:AC12)</f>
        <v>0</v>
      </c>
      <c r="AD13" s="27"/>
      <c r="AG13" s="64"/>
      <c r="AI13" s="64"/>
      <c r="AM13" s="64"/>
      <c r="AO13" s="64"/>
    </row>
    <row r="14" spans="1:42" x14ac:dyDescent="0.25">
      <c r="A14" s="30"/>
      <c r="B14" s="26"/>
      <c r="C14" s="26"/>
      <c r="D14" s="26"/>
      <c r="E14" s="26"/>
      <c r="F14" s="27"/>
      <c r="G14" s="30"/>
      <c r="H14" s="26"/>
      <c r="I14" s="26"/>
      <c r="J14" s="26"/>
      <c r="K14" s="26"/>
      <c r="L14" s="27"/>
      <c r="M14" s="30"/>
      <c r="N14" s="26"/>
      <c r="O14" s="26"/>
      <c r="P14" s="26"/>
      <c r="Q14" s="26"/>
      <c r="R14" s="27"/>
      <c r="S14" s="30"/>
      <c r="T14" s="26"/>
      <c r="U14" s="26"/>
      <c r="V14" s="26"/>
      <c r="W14" s="26"/>
      <c r="X14" s="27"/>
      <c r="Y14" s="30"/>
      <c r="Z14" s="26"/>
      <c r="AA14" s="26"/>
      <c r="AB14" s="26"/>
      <c r="AC14" s="26"/>
      <c r="AD14" s="27"/>
    </row>
    <row r="15" spans="1:42" x14ac:dyDescent="0.25">
      <c r="A15" s="30" t="s">
        <v>89</v>
      </c>
      <c r="B15" s="26"/>
      <c r="C15" s="26"/>
      <c r="D15" s="26"/>
      <c r="E15" s="85">
        <f>+'Calcs revised method'!J20+'Calcs revised method'!K20+'Calcs revised method'!L20+'Calcs revised method'!M20+'Calcs revised method'!N20+'Calcs revised method'!O20</f>
        <v>-54916.009020440695</v>
      </c>
      <c r="F15" s="27"/>
      <c r="G15" s="30" t="s">
        <v>64</v>
      </c>
      <c r="H15" s="26"/>
      <c r="I15" s="26"/>
      <c r="J15" s="26"/>
      <c r="K15" s="85">
        <v>-58633</v>
      </c>
      <c r="L15" s="27"/>
      <c r="M15" s="30" t="s">
        <v>55</v>
      </c>
      <c r="N15" s="26"/>
      <c r="O15" s="26"/>
      <c r="P15" s="26"/>
      <c r="Q15" s="85">
        <v>-78148</v>
      </c>
      <c r="R15" s="27"/>
      <c r="S15" s="30" t="s">
        <v>51</v>
      </c>
      <c r="T15" s="26"/>
      <c r="U15" s="26"/>
      <c r="V15" s="26"/>
      <c r="W15" s="85">
        <v>-68442</v>
      </c>
      <c r="X15" s="27"/>
      <c r="Y15" s="30" t="s">
        <v>14</v>
      </c>
      <c r="Z15" s="26"/>
      <c r="AA15" s="26"/>
      <c r="AB15" s="26"/>
      <c r="AC15" s="85">
        <v>-122720</v>
      </c>
      <c r="AD15" s="27"/>
      <c r="AE15" s="55"/>
      <c r="AI15" s="64"/>
      <c r="AK15" s="55"/>
      <c r="AO15" s="64"/>
    </row>
    <row r="16" spans="1:42" x14ac:dyDescent="0.25">
      <c r="A16" s="30"/>
      <c r="B16" s="26"/>
      <c r="C16" s="26"/>
      <c r="D16" s="26"/>
      <c r="E16" s="109"/>
      <c r="F16" s="27"/>
      <c r="G16" s="30"/>
      <c r="H16" s="26"/>
      <c r="I16" s="26"/>
      <c r="J16" s="26"/>
      <c r="K16" s="109"/>
      <c r="L16" s="27"/>
      <c r="M16" s="30"/>
      <c r="N16" s="26"/>
      <c r="O16" s="26"/>
      <c r="P16" s="26"/>
      <c r="Q16" s="109"/>
      <c r="R16" s="27"/>
      <c r="S16" s="30" t="s">
        <v>49</v>
      </c>
      <c r="T16" s="26"/>
      <c r="U16" s="26"/>
      <c r="V16" s="26"/>
      <c r="W16" s="109">
        <v>2688</v>
      </c>
      <c r="X16" s="27"/>
      <c r="Y16" s="30"/>
      <c r="Z16" s="26"/>
      <c r="AA16" s="26"/>
      <c r="AB16" s="26"/>
      <c r="AC16" s="26"/>
      <c r="AD16" s="27"/>
    </row>
    <row r="17" spans="1:42" x14ac:dyDescent="0.25">
      <c r="A17" s="30" t="s">
        <v>15</v>
      </c>
      <c r="B17" s="26"/>
      <c r="C17" s="26"/>
      <c r="D17" s="26"/>
      <c r="E17" s="36">
        <f>-E13+E15-E16</f>
        <v>1446.4176462259711</v>
      </c>
      <c r="F17" s="27"/>
      <c r="G17" s="30" t="s">
        <v>15</v>
      </c>
      <c r="H17" s="26"/>
      <c r="I17" s="26"/>
      <c r="J17" s="26"/>
      <c r="K17" s="36">
        <f>-K13+K15-K16</f>
        <v>-8970.9400000000023</v>
      </c>
      <c r="L17" s="27"/>
      <c r="M17" s="30" t="s">
        <v>15</v>
      </c>
      <c r="N17" s="26"/>
      <c r="O17" s="26"/>
      <c r="P17" s="26"/>
      <c r="Q17" s="36">
        <f>-Q13+Q15-Q16</f>
        <v>-7999.4799999999959</v>
      </c>
      <c r="R17" s="27"/>
      <c r="S17" s="30" t="s">
        <v>15</v>
      </c>
      <c r="T17" s="26"/>
      <c r="U17" s="26"/>
      <c r="V17" s="26"/>
      <c r="W17" s="36">
        <f>-W13+W15-W16</f>
        <v>2696.8800000000047</v>
      </c>
      <c r="X17" s="27"/>
      <c r="Y17" s="30" t="s">
        <v>15</v>
      </c>
      <c r="Z17" s="26"/>
      <c r="AA17" s="26"/>
      <c r="AB17" s="26"/>
      <c r="AC17" s="36">
        <f>AC15-AC13</f>
        <v>-122720</v>
      </c>
      <c r="AD17" s="27"/>
      <c r="AI17" s="64"/>
      <c r="AO17" s="64"/>
    </row>
    <row r="18" spans="1:42" x14ac:dyDescent="0.25">
      <c r="A18" s="30"/>
      <c r="B18" s="26"/>
      <c r="C18" s="26"/>
      <c r="D18" s="26"/>
      <c r="E18" s="26"/>
      <c r="F18" s="27"/>
      <c r="G18" s="30"/>
      <c r="H18" s="26"/>
      <c r="I18" s="26"/>
      <c r="J18" s="26"/>
      <c r="K18" s="26"/>
      <c r="L18" s="27"/>
      <c r="M18" s="30"/>
      <c r="N18" s="26"/>
      <c r="O18" s="26"/>
      <c r="P18" s="26"/>
      <c r="Q18" s="26"/>
      <c r="R18" s="27"/>
      <c r="S18" s="30"/>
      <c r="T18" s="26"/>
      <c r="U18" s="26"/>
      <c r="V18" s="26"/>
      <c r="W18" s="26"/>
      <c r="X18" s="27"/>
      <c r="Y18" s="30"/>
      <c r="Z18" s="26"/>
      <c r="AA18" s="26"/>
      <c r="AB18" s="26"/>
      <c r="AC18" s="26"/>
      <c r="AD18" s="27"/>
    </row>
    <row r="19" spans="1:42" x14ac:dyDescent="0.25">
      <c r="A19" s="30" t="s">
        <v>16</v>
      </c>
      <c r="B19" s="26"/>
      <c r="C19" s="26"/>
      <c r="D19" s="26"/>
      <c r="E19" s="36">
        <f>+'Calcs revised method'!Q10</f>
        <v>61692</v>
      </c>
      <c r="F19" s="27"/>
      <c r="G19" s="30" t="s">
        <v>16</v>
      </c>
      <c r="H19" s="26"/>
      <c r="I19" s="26"/>
      <c r="J19" s="26"/>
      <c r="K19" s="36">
        <f>+I13</f>
        <v>30846</v>
      </c>
      <c r="L19" s="27"/>
      <c r="M19" s="30" t="s">
        <v>16</v>
      </c>
      <c r="N19" s="26"/>
      <c r="O19" s="26"/>
      <c r="P19" s="26"/>
      <c r="Q19" s="36">
        <f>+O13</f>
        <v>46456</v>
      </c>
      <c r="R19" s="27"/>
      <c r="S19" s="30" t="s">
        <v>16</v>
      </c>
      <c r="T19" s="26"/>
      <c r="U19" s="26"/>
      <c r="V19" s="26"/>
      <c r="W19" s="36">
        <f>+U13</f>
        <v>46432</v>
      </c>
      <c r="X19" s="27"/>
      <c r="Y19" s="30" t="s">
        <v>16</v>
      </c>
      <c r="Z19" s="26"/>
      <c r="AA19" s="26"/>
      <c r="AB19" s="26"/>
      <c r="AC19" s="36">
        <f>+AA13</f>
        <v>0</v>
      </c>
      <c r="AD19" s="27"/>
      <c r="AE19" s="66"/>
      <c r="AI19" s="64"/>
      <c r="AK19" s="66"/>
      <c r="AO19" s="64"/>
    </row>
    <row r="20" spans="1:42" x14ac:dyDescent="0.25">
      <c r="A20" s="30"/>
      <c r="B20" s="26"/>
      <c r="C20" s="26"/>
      <c r="D20" s="26"/>
      <c r="E20" s="26"/>
      <c r="F20" s="27"/>
      <c r="G20" s="30"/>
      <c r="H20" s="26"/>
      <c r="I20" s="26"/>
      <c r="J20" s="26"/>
      <c r="K20" s="26"/>
      <c r="L20" s="27"/>
      <c r="M20" s="30"/>
      <c r="N20" s="26"/>
      <c r="O20" s="26"/>
      <c r="P20" s="26"/>
      <c r="Q20" s="26"/>
      <c r="R20" s="27"/>
      <c r="S20" s="30"/>
      <c r="T20" s="26"/>
      <c r="U20" s="26"/>
      <c r="V20" s="26"/>
      <c r="W20" s="26"/>
      <c r="X20" s="27"/>
      <c r="Y20" s="30"/>
      <c r="Z20" s="26"/>
      <c r="AA20" s="26"/>
      <c r="AB20" s="26"/>
      <c r="AC20" s="26"/>
      <c r="AD20" s="27"/>
    </row>
    <row r="21" spans="1:42" x14ac:dyDescent="0.25">
      <c r="A21" s="30" t="s">
        <v>17</v>
      </c>
      <c r="B21" s="26"/>
      <c r="C21" s="26"/>
      <c r="D21" s="26"/>
      <c r="E21" s="26"/>
      <c r="F21" s="40">
        <f>ROUND((E17/E19),2)</f>
        <v>0.02</v>
      </c>
      <c r="G21" s="30" t="s">
        <v>17</v>
      </c>
      <c r="H21" s="26"/>
      <c r="I21" s="26"/>
      <c r="J21" s="26"/>
      <c r="K21" s="26"/>
      <c r="L21" s="40">
        <f>ROUND((K17/K19),2)</f>
        <v>-0.28999999999999998</v>
      </c>
      <c r="M21" s="30" t="s">
        <v>17</v>
      </c>
      <c r="N21" s="26"/>
      <c r="O21" s="26"/>
      <c r="P21" s="26"/>
      <c r="Q21" s="26"/>
      <c r="R21" s="40">
        <f>ROUND((Q17/Q19),2)</f>
        <v>-0.17</v>
      </c>
      <c r="S21" s="30" t="s">
        <v>17</v>
      </c>
      <c r="T21" s="26"/>
      <c r="U21" s="26"/>
      <c r="V21" s="26"/>
      <c r="W21" s="26"/>
      <c r="X21" s="40">
        <f>ROUND((W17/W19),2)</f>
        <v>0.06</v>
      </c>
      <c r="Y21" s="30" t="s">
        <v>17</v>
      </c>
      <c r="Z21" s="26"/>
      <c r="AA21" s="26"/>
      <c r="AB21" s="26"/>
      <c r="AC21" s="26"/>
      <c r="AD21" s="40" t="e">
        <f>ROUND((AC17/AC19),2)</f>
        <v>#DIV/0!</v>
      </c>
      <c r="AJ21" s="69"/>
      <c r="AP21" s="69"/>
    </row>
    <row r="22" spans="1:42" x14ac:dyDescent="0.25">
      <c r="A22" s="30"/>
      <c r="B22" s="26"/>
      <c r="C22" s="26"/>
      <c r="D22" s="26"/>
      <c r="E22" s="26"/>
      <c r="F22" s="40"/>
      <c r="G22" s="30"/>
      <c r="H22" s="26"/>
      <c r="I22" s="26"/>
      <c r="J22" s="26"/>
      <c r="K22" s="26"/>
      <c r="L22" s="40"/>
      <c r="M22" s="30"/>
      <c r="N22" s="26"/>
      <c r="O22" s="26"/>
      <c r="P22" s="26"/>
      <c r="Q22" s="26"/>
      <c r="R22" s="40"/>
      <c r="S22" s="30"/>
      <c r="T22" s="26"/>
      <c r="U22" s="26"/>
      <c r="V22" s="26"/>
      <c r="W22" s="26"/>
      <c r="X22" s="40"/>
      <c r="Y22" s="30"/>
      <c r="Z22" s="26"/>
      <c r="AA22" s="26"/>
      <c r="AB22" s="26"/>
      <c r="AC22" s="26"/>
      <c r="AD22" s="40"/>
      <c r="AJ22" s="69"/>
      <c r="AP22" s="69"/>
    </row>
    <row r="23" spans="1:42" ht="16.8" x14ac:dyDescent="0.45">
      <c r="A23" s="33" t="s">
        <v>90</v>
      </c>
      <c r="B23" s="34"/>
      <c r="C23" s="26"/>
      <c r="D23" s="26"/>
      <c r="E23" s="85">
        <f>+'Calcs revised method'!Q20</f>
        <v>-113549.49091348148</v>
      </c>
      <c r="F23" s="40"/>
      <c r="G23" s="33" t="s">
        <v>72</v>
      </c>
      <c r="H23" s="34"/>
      <c r="I23" s="26"/>
      <c r="J23" s="26"/>
      <c r="K23" s="85">
        <v>-58633</v>
      </c>
      <c r="L23" s="40"/>
      <c r="M23" s="33" t="s">
        <v>54</v>
      </c>
      <c r="N23" s="34"/>
      <c r="O23" s="26"/>
      <c r="P23" s="26"/>
      <c r="Q23" s="85">
        <v>-78148</v>
      </c>
      <c r="R23" s="40"/>
      <c r="S23" s="33" t="s">
        <v>29</v>
      </c>
      <c r="T23" s="34"/>
      <c r="U23" s="26"/>
      <c r="V23" s="26"/>
      <c r="W23" s="85">
        <v>-68442</v>
      </c>
      <c r="X23" s="40"/>
      <c r="Y23" s="88" t="s">
        <v>48</v>
      </c>
      <c r="Z23" s="34"/>
      <c r="AA23" s="26"/>
      <c r="AB23" s="26"/>
      <c r="AC23" s="87">
        <v>-73974</v>
      </c>
      <c r="AD23" s="40"/>
      <c r="AE23" s="62"/>
      <c r="AF23" s="62"/>
      <c r="AI23" s="70"/>
      <c r="AJ23" s="69"/>
      <c r="AK23" s="62"/>
      <c r="AL23" s="62"/>
      <c r="AO23" s="71"/>
      <c r="AP23" s="69"/>
    </row>
    <row r="24" spans="1:42" x14ac:dyDescent="0.25">
      <c r="A24" s="30" t="s">
        <v>16</v>
      </c>
      <c r="B24" s="26"/>
      <c r="C24" s="26"/>
      <c r="D24" s="26"/>
      <c r="E24" s="124">
        <f>+'Calcs revised method'!Q10</f>
        <v>61692</v>
      </c>
      <c r="F24" s="40"/>
      <c r="G24" s="30" t="s">
        <v>16</v>
      </c>
      <c r="H24" s="26"/>
      <c r="I24" s="26"/>
      <c r="J24" s="26"/>
      <c r="K24" s="124">
        <f>+I13</f>
        <v>30846</v>
      </c>
      <c r="L24" s="40"/>
      <c r="M24" s="30" t="s">
        <v>16</v>
      </c>
      <c r="N24" s="26"/>
      <c r="O24" s="26"/>
      <c r="P24" s="26"/>
      <c r="Q24" s="85">
        <v>46456</v>
      </c>
      <c r="R24" s="40"/>
      <c r="S24" s="30" t="s">
        <v>16</v>
      </c>
      <c r="T24" s="26"/>
      <c r="U24" s="26"/>
      <c r="V24" s="26"/>
      <c r="W24" s="85">
        <v>46432</v>
      </c>
      <c r="X24" s="40"/>
      <c r="Y24" s="30" t="s">
        <v>16</v>
      </c>
      <c r="Z24" s="26"/>
      <c r="AA24" s="26"/>
      <c r="AB24" s="26"/>
      <c r="AC24" s="36">
        <v>46432</v>
      </c>
      <c r="AD24" s="40"/>
      <c r="AI24" s="64"/>
      <c r="AJ24" s="69"/>
      <c r="AO24" s="64"/>
      <c r="AP24" s="69"/>
    </row>
    <row r="25" spans="1:42" ht="15" x14ac:dyDescent="0.4">
      <c r="A25" s="30" t="s">
        <v>18</v>
      </c>
      <c r="B25" s="26"/>
      <c r="C25" s="26"/>
      <c r="D25" s="26"/>
      <c r="E25" s="26"/>
      <c r="F25" s="41">
        <f>(E23/E24)</f>
        <v>-1.8405869628717091</v>
      </c>
      <c r="G25" s="30" t="s">
        <v>18</v>
      </c>
      <c r="H25" s="26"/>
      <c r="I25" s="26"/>
      <c r="J25" s="26"/>
      <c r="K25" s="26"/>
      <c r="L25" s="41">
        <f>(K23/K24)</f>
        <v>-1.9008299293263309</v>
      </c>
      <c r="M25" s="30" t="s">
        <v>18</v>
      </c>
      <c r="N25" s="26"/>
      <c r="O25" s="26"/>
      <c r="P25" s="26"/>
      <c r="Q25" s="26"/>
      <c r="R25" s="41">
        <f>(Q23/Q24)</f>
        <v>-1.6821939039090752</v>
      </c>
      <c r="S25" s="30" t="s">
        <v>18</v>
      </c>
      <c r="T25" s="26"/>
      <c r="U25" s="26"/>
      <c r="V25" s="26"/>
      <c r="W25" s="26"/>
      <c r="X25" s="41">
        <f>(W23/W24)</f>
        <v>-1.4740265334252241</v>
      </c>
      <c r="Y25" s="30" t="s">
        <v>18</v>
      </c>
      <c r="Z25" s="26"/>
      <c r="AA25" s="26"/>
      <c r="AB25" s="26"/>
      <c r="AC25" s="26"/>
      <c r="AD25" s="41">
        <f>(AC23/AC24)</f>
        <v>-1.5931685044796693</v>
      </c>
      <c r="AJ25" s="72"/>
      <c r="AP25" s="72"/>
    </row>
    <row r="26" spans="1:42" x14ac:dyDescent="0.25">
      <c r="A26" s="30"/>
      <c r="B26" s="26"/>
      <c r="C26" s="26"/>
      <c r="D26" s="26"/>
      <c r="E26" s="26"/>
      <c r="F26" s="40"/>
      <c r="G26" s="30"/>
      <c r="H26" s="26"/>
      <c r="I26" s="26"/>
      <c r="J26" s="26"/>
      <c r="K26" s="26"/>
      <c r="L26" s="40"/>
      <c r="M26" s="30"/>
      <c r="N26" s="26"/>
      <c r="O26" s="26"/>
      <c r="P26" s="26"/>
      <c r="Q26" s="26"/>
      <c r="R26" s="40"/>
      <c r="S26" s="30"/>
      <c r="T26" s="26"/>
      <c r="U26" s="26"/>
      <c r="V26" s="26"/>
      <c r="W26" s="26"/>
      <c r="X26" s="40"/>
      <c r="Y26" s="30"/>
      <c r="Z26" s="26"/>
      <c r="AA26" s="26"/>
      <c r="AB26" s="26"/>
      <c r="AC26" s="26"/>
      <c r="AD26" s="40"/>
      <c r="AJ26" s="69"/>
      <c r="AP26" s="69"/>
    </row>
    <row r="27" spans="1:42" ht="16.8" thickBot="1" x14ac:dyDescent="0.45">
      <c r="A27" s="23" t="s">
        <v>73</v>
      </c>
      <c r="B27" s="24"/>
      <c r="C27" s="26"/>
      <c r="D27" s="26"/>
      <c r="E27" s="26"/>
      <c r="F27" s="42">
        <f>+F21+F25</f>
        <v>-1.8205869628717091</v>
      </c>
      <c r="G27" s="23" t="s">
        <v>73</v>
      </c>
      <c r="H27" s="24"/>
      <c r="I27" s="26"/>
      <c r="J27" s="26"/>
      <c r="K27" s="26"/>
      <c r="L27" s="42">
        <f>+L21+L25</f>
        <v>-2.1908299293263309</v>
      </c>
      <c r="M27" s="23" t="s">
        <v>27</v>
      </c>
      <c r="N27" s="24"/>
      <c r="O27" s="26"/>
      <c r="P27" s="26"/>
      <c r="Q27" s="26"/>
      <c r="R27" s="42">
        <f>+R21+R25</f>
        <v>-1.8521939039090751</v>
      </c>
      <c r="S27" s="23" t="s">
        <v>27</v>
      </c>
      <c r="T27" s="24"/>
      <c r="U27" s="26"/>
      <c r="V27" s="26"/>
      <c r="W27" s="26"/>
      <c r="X27" s="42">
        <f>+X21+X25</f>
        <v>-1.414026533425224</v>
      </c>
      <c r="Y27" s="23" t="s">
        <v>27</v>
      </c>
      <c r="Z27" s="24"/>
      <c r="AA27" s="26"/>
      <c r="AB27" s="26"/>
      <c r="AC27" s="26"/>
      <c r="AD27" s="42">
        <f>+ROUND(AD25,2)</f>
        <v>-1.59</v>
      </c>
      <c r="AE27" s="55"/>
      <c r="AF27" s="55"/>
      <c r="AJ27" s="73"/>
      <c r="AK27" s="55"/>
      <c r="AL27" s="55"/>
      <c r="AP27" s="73"/>
    </row>
    <row r="28" spans="1:42" ht="13.8" thickTop="1" x14ac:dyDescent="0.25">
      <c r="A28" s="30"/>
      <c r="B28" s="26"/>
      <c r="C28" s="26"/>
      <c r="D28" s="26"/>
      <c r="E28" s="26"/>
      <c r="F28" s="40"/>
      <c r="G28" s="30"/>
      <c r="H28" s="26"/>
      <c r="I28" s="26"/>
      <c r="J28" s="26"/>
      <c r="K28" s="26"/>
      <c r="L28" s="40"/>
      <c r="M28" s="30"/>
      <c r="N28" s="26"/>
      <c r="O28" s="26"/>
      <c r="P28" s="26"/>
      <c r="Q28" s="26"/>
      <c r="R28" s="40"/>
      <c r="S28" s="30"/>
      <c r="T28" s="26"/>
      <c r="U28" s="26"/>
      <c r="V28" s="26"/>
      <c r="W28" s="26"/>
      <c r="X28" s="40"/>
      <c r="Y28" s="30"/>
      <c r="Z28" s="26"/>
      <c r="AA28" s="26"/>
      <c r="AB28" s="26"/>
      <c r="AC28" s="26"/>
      <c r="AD28" s="40"/>
      <c r="AJ28" s="69"/>
      <c r="AP28" s="69"/>
    </row>
    <row r="29" spans="1:42" x14ac:dyDescent="0.25">
      <c r="A29" s="30"/>
      <c r="B29" s="26"/>
      <c r="C29" s="26"/>
      <c r="D29" s="26"/>
      <c r="E29" s="26"/>
      <c r="F29" s="27"/>
      <c r="G29" s="30"/>
      <c r="H29" s="26"/>
      <c r="I29" s="26"/>
      <c r="J29" s="26"/>
      <c r="K29" s="26"/>
      <c r="L29" s="27"/>
      <c r="M29" s="30"/>
      <c r="N29" s="26"/>
      <c r="O29" s="26"/>
      <c r="P29" s="26"/>
      <c r="Q29" s="26"/>
      <c r="R29" s="27"/>
      <c r="S29" s="30"/>
      <c r="T29" s="26"/>
      <c r="U29" s="26"/>
      <c r="V29" s="26"/>
      <c r="W29" s="26"/>
      <c r="X29" s="27"/>
      <c r="Y29" s="30"/>
      <c r="Z29" s="26"/>
      <c r="AA29" s="26"/>
      <c r="AB29" s="26"/>
      <c r="AC29" s="26"/>
      <c r="AD29" s="27"/>
      <c r="AO29" s="74"/>
    </row>
    <row r="30" spans="1:42" ht="15" x14ac:dyDescent="0.4">
      <c r="A30" s="38"/>
      <c r="B30" s="26"/>
      <c r="C30" s="26"/>
      <c r="D30" s="44"/>
      <c r="E30" s="26"/>
      <c r="F30" s="45"/>
      <c r="G30" s="38"/>
      <c r="H30" s="26"/>
      <c r="I30" s="26"/>
      <c r="J30" s="44"/>
      <c r="K30" s="26"/>
      <c r="L30" s="45"/>
      <c r="M30" s="38"/>
      <c r="N30" s="26"/>
      <c r="O30" s="26"/>
      <c r="P30" s="44"/>
      <c r="Q30" s="26"/>
      <c r="R30" s="45"/>
      <c r="S30" s="38"/>
      <c r="T30" s="26"/>
      <c r="U30" s="26"/>
      <c r="V30" s="44"/>
      <c r="W30" s="26"/>
      <c r="X30" s="45"/>
      <c r="Y30" s="38"/>
      <c r="Z30" s="26"/>
      <c r="AA30" s="26"/>
      <c r="AB30" s="44"/>
      <c r="AC30" s="26"/>
      <c r="AD30" s="45"/>
    </row>
    <row r="31" spans="1:42" x14ac:dyDescent="0.25">
      <c r="A31" s="30"/>
      <c r="B31" s="26"/>
      <c r="C31" s="26"/>
      <c r="D31" s="44"/>
      <c r="E31" s="26"/>
      <c r="F31" s="27"/>
      <c r="G31" s="30"/>
      <c r="H31" s="26"/>
      <c r="I31" s="26"/>
      <c r="J31" s="44"/>
      <c r="K31" s="26"/>
      <c r="L31" s="27"/>
      <c r="M31" s="30"/>
      <c r="N31" s="26"/>
      <c r="O31" s="26"/>
      <c r="P31" s="44"/>
      <c r="Q31" s="26"/>
      <c r="R31" s="27"/>
      <c r="S31" s="30"/>
      <c r="T31" s="26"/>
      <c r="U31" s="26"/>
      <c r="V31" s="44"/>
      <c r="W31" s="26"/>
      <c r="X31" s="27"/>
      <c r="Y31" s="30"/>
      <c r="Z31" s="26"/>
      <c r="AA31" s="26"/>
      <c r="AB31" s="44"/>
      <c r="AC31" s="26"/>
      <c r="AD31" s="27"/>
      <c r="AI31" s="66"/>
      <c r="AO31" s="74"/>
      <c r="AP31" s="75"/>
    </row>
    <row r="32" spans="1:42" x14ac:dyDescent="0.25">
      <c r="A32" s="30"/>
      <c r="B32" s="26"/>
      <c r="C32" s="26"/>
      <c r="D32" s="26"/>
      <c r="E32" s="26"/>
      <c r="F32" s="27"/>
      <c r="G32" s="30"/>
      <c r="H32" s="26"/>
      <c r="I32" s="26"/>
      <c r="J32" s="26"/>
      <c r="K32" s="26"/>
      <c r="L32" s="27"/>
      <c r="M32" s="30"/>
      <c r="N32" s="26"/>
      <c r="O32" s="26"/>
      <c r="P32" s="26"/>
      <c r="Q32" s="26"/>
      <c r="R32" s="27"/>
      <c r="S32" s="30"/>
      <c r="T32" s="26"/>
      <c r="U32" s="26"/>
      <c r="V32" s="26"/>
      <c r="W32" s="26"/>
      <c r="X32" s="27"/>
      <c r="Y32" s="30"/>
      <c r="Z32" s="26"/>
      <c r="AA32" s="26"/>
      <c r="AB32" s="26"/>
      <c r="AC32" s="26"/>
      <c r="AD32" s="27"/>
    </row>
    <row r="33" spans="1:42" ht="19.8" x14ac:dyDescent="0.5">
      <c r="A33" s="167" t="s">
        <v>71</v>
      </c>
      <c r="B33" s="168"/>
      <c r="C33" s="168"/>
      <c r="D33" s="168"/>
      <c r="E33" s="168"/>
      <c r="F33" s="169"/>
      <c r="G33" s="167" t="s">
        <v>71</v>
      </c>
      <c r="H33" s="168"/>
      <c r="I33" s="168"/>
      <c r="J33" s="168"/>
      <c r="K33" s="168"/>
      <c r="L33" s="169"/>
      <c r="M33" s="167" t="s">
        <v>30</v>
      </c>
      <c r="N33" s="168"/>
      <c r="O33" s="168"/>
      <c r="P33" s="168"/>
      <c r="Q33" s="168"/>
      <c r="R33" s="169"/>
      <c r="S33" s="167" t="s">
        <v>30</v>
      </c>
      <c r="T33" s="168"/>
      <c r="U33" s="168"/>
      <c r="V33" s="168"/>
      <c r="W33" s="168"/>
      <c r="X33" s="169"/>
      <c r="Y33" s="167" t="s">
        <v>30</v>
      </c>
      <c r="Z33" s="168"/>
      <c r="AA33" s="168"/>
      <c r="AB33" s="168"/>
      <c r="AC33" s="168"/>
      <c r="AD33" s="16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</row>
    <row r="34" spans="1:42" x14ac:dyDescent="0.25">
      <c r="A34" s="23"/>
      <c r="B34" s="26"/>
      <c r="C34" s="26"/>
      <c r="D34" s="26"/>
      <c r="E34" s="26"/>
      <c r="F34" s="27"/>
      <c r="G34" s="23"/>
      <c r="H34" s="26"/>
      <c r="I34" s="26"/>
      <c r="J34" s="26"/>
      <c r="K34" s="26"/>
      <c r="L34" s="27"/>
      <c r="M34" s="23"/>
      <c r="N34" s="26"/>
      <c r="O34" s="26"/>
      <c r="P34" s="26"/>
      <c r="Q34" s="26"/>
      <c r="R34" s="27"/>
      <c r="S34" s="23"/>
      <c r="T34" s="26"/>
      <c r="U34" s="26"/>
      <c r="V34" s="26"/>
      <c r="W34" s="26"/>
      <c r="X34" s="27"/>
      <c r="Y34" s="23"/>
      <c r="Z34" s="26"/>
      <c r="AA34" s="26"/>
      <c r="AB34" s="26"/>
      <c r="AC34" s="26"/>
      <c r="AD34" s="27"/>
    </row>
    <row r="35" spans="1:42" x14ac:dyDescent="0.25">
      <c r="A35" s="28"/>
      <c r="B35" s="26"/>
      <c r="C35" s="31"/>
      <c r="D35" s="31" t="s">
        <v>10</v>
      </c>
      <c r="E35" s="31" t="s">
        <v>11</v>
      </c>
      <c r="F35" s="27"/>
      <c r="G35" s="28"/>
      <c r="H35" s="26"/>
      <c r="I35" s="31"/>
      <c r="J35" s="31" t="s">
        <v>10</v>
      </c>
      <c r="K35" s="31" t="s">
        <v>11</v>
      </c>
      <c r="L35" s="27"/>
      <c r="M35" s="28"/>
      <c r="N35" s="26"/>
      <c r="O35" s="31"/>
      <c r="P35" s="31" t="s">
        <v>10</v>
      </c>
      <c r="Q35" s="31" t="s">
        <v>11</v>
      </c>
      <c r="R35" s="27"/>
      <c r="S35" s="28"/>
      <c r="T35" s="26"/>
      <c r="U35" s="31"/>
      <c r="V35" s="31" t="s">
        <v>10</v>
      </c>
      <c r="W35" s="31" t="s">
        <v>11</v>
      </c>
      <c r="X35" s="27"/>
      <c r="Y35" s="28"/>
      <c r="Z35" s="26"/>
      <c r="AA35" s="31"/>
      <c r="AB35" s="31" t="s">
        <v>10</v>
      </c>
      <c r="AC35" s="31" t="s">
        <v>11</v>
      </c>
      <c r="AD35" s="27"/>
      <c r="AG35" s="60"/>
      <c r="AH35" s="60"/>
      <c r="AI35" s="60"/>
      <c r="AM35" s="60"/>
      <c r="AN35" s="60"/>
      <c r="AO35" s="60"/>
    </row>
    <row r="36" spans="1:42" x14ac:dyDescent="0.25">
      <c r="A36" s="30"/>
      <c r="B36" s="26"/>
      <c r="C36" s="134" t="s">
        <v>75</v>
      </c>
      <c r="D36" s="46" t="s">
        <v>12</v>
      </c>
      <c r="E36" s="46" t="s">
        <v>13</v>
      </c>
      <c r="F36" s="27"/>
      <c r="G36" s="30"/>
      <c r="H36" s="26"/>
      <c r="I36" s="46" t="s">
        <v>75</v>
      </c>
      <c r="J36" s="46" t="s">
        <v>12</v>
      </c>
      <c r="K36" s="46" t="s">
        <v>13</v>
      </c>
      <c r="L36" s="27"/>
      <c r="M36" s="30"/>
      <c r="N36" s="26"/>
      <c r="O36" s="46" t="s">
        <v>7</v>
      </c>
      <c r="P36" s="46" t="s">
        <v>12</v>
      </c>
      <c r="Q36" s="46" t="s">
        <v>13</v>
      </c>
      <c r="R36" s="27"/>
      <c r="S36" s="30"/>
      <c r="T36" s="26"/>
      <c r="U36" s="46" t="s">
        <v>7</v>
      </c>
      <c r="V36" s="46" t="s">
        <v>12</v>
      </c>
      <c r="W36" s="46" t="s">
        <v>13</v>
      </c>
      <c r="X36" s="27"/>
      <c r="Y36" s="30"/>
      <c r="Z36" s="26"/>
      <c r="AA36" s="46" t="s">
        <v>7</v>
      </c>
      <c r="AB36" s="46" t="s">
        <v>12</v>
      </c>
      <c r="AC36" s="46" t="s">
        <v>13</v>
      </c>
      <c r="AD36" s="27"/>
      <c r="AG36" s="60"/>
      <c r="AH36" s="60"/>
      <c r="AI36" s="60"/>
      <c r="AM36" s="60"/>
      <c r="AN36" s="60"/>
      <c r="AO36" s="60"/>
    </row>
    <row r="37" spans="1:42" ht="16.8" x14ac:dyDescent="0.45">
      <c r="A37" s="33" t="str">
        <f>A10</f>
        <v xml:space="preserve">Projected Revenue </v>
      </c>
      <c r="B37" s="34"/>
      <c r="C37" s="35"/>
      <c r="D37" s="35"/>
      <c r="E37" s="35"/>
      <c r="F37" s="27"/>
      <c r="G37" s="33" t="str">
        <f>G10</f>
        <v xml:space="preserve">Projected Revenue </v>
      </c>
      <c r="H37" s="34"/>
      <c r="I37" s="35"/>
      <c r="J37" s="35"/>
      <c r="K37" s="35"/>
      <c r="L37" s="27"/>
      <c r="M37" s="33" t="str">
        <f>M10</f>
        <v>Projected Revenue - NA</v>
      </c>
      <c r="N37" s="34"/>
      <c r="O37" s="35"/>
      <c r="P37" s="35"/>
      <c r="Q37" s="35"/>
      <c r="R37" s="27"/>
      <c r="S37" s="33" t="str">
        <f>S10</f>
        <v>Projected Revenue - NA</v>
      </c>
      <c r="T37" s="34"/>
      <c r="U37" s="35"/>
      <c r="V37" s="35"/>
      <c r="W37" s="35"/>
      <c r="X37" s="27"/>
      <c r="Y37" s="33" t="str">
        <f>Y10</f>
        <v>Projected Revenue - NA</v>
      </c>
      <c r="Z37" s="34"/>
      <c r="AA37" s="35"/>
      <c r="AB37" s="35"/>
      <c r="AC37" s="35"/>
      <c r="AD37" s="27"/>
      <c r="AE37" s="62"/>
      <c r="AF37" s="62"/>
      <c r="AG37" s="63"/>
      <c r="AH37" s="63"/>
      <c r="AI37" s="63"/>
      <c r="AK37" s="62"/>
      <c r="AL37" s="62"/>
      <c r="AM37" s="63"/>
      <c r="AN37" s="63"/>
      <c r="AO37" s="63"/>
    </row>
    <row r="38" spans="1:42" x14ac:dyDescent="0.25">
      <c r="A38" s="30" t="str">
        <f>+A11</f>
        <v>February - March 2020 with adjustment factor</v>
      </c>
      <c r="B38" s="39"/>
      <c r="C38" s="85">
        <f>+'Commodity Debit'!D12*2</f>
        <v>6650.88</v>
      </c>
      <c r="D38" s="37">
        <f>+J39</f>
        <v>-0.38799076212471129</v>
      </c>
      <c r="E38" s="36">
        <f>D38*C38</f>
        <v>-2580.48</v>
      </c>
      <c r="F38" s="27"/>
      <c r="G38" s="30" t="s">
        <v>66</v>
      </c>
      <c r="H38" s="39"/>
      <c r="I38" s="85">
        <v>6651</v>
      </c>
      <c r="J38" s="37">
        <f>+J11/4.33</f>
        <v>-0.33949191685912239</v>
      </c>
      <c r="K38" s="36">
        <f>J38*I38</f>
        <v>-2257.960739030023</v>
      </c>
      <c r="L38" s="27"/>
      <c r="M38" s="30" t="str">
        <f>M11</f>
        <v>Feb - Mar 2019 with adjustment factor</v>
      </c>
      <c r="N38" s="39"/>
      <c r="O38" s="85"/>
      <c r="P38" s="37">
        <v>0</v>
      </c>
      <c r="Q38" s="36">
        <f>P38*O38</f>
        <v>0</v>
      </c>
      <c r="R38" s="27"/>
      <c r="S38" s="30" t="str">
        <f>S11</f>
        <v>Oct - Dec 2018 with adjustment factor</v>
      </c>
      <c r="T38" s="39"/>
      <c r="U38" s="85"/>
      <c r="V38" s="37">
        <v>0</v>
      </c>
      <c r="W38" s="36">
        <f>V38*U38</f>
        <v>0</v>
      </c>
      <c r="X38" s="27"/>
      <c r="Y38" s="30" t="str">
        <f>Y11</f>
        <v>Jul-Jun projected value without adjustment factor</v>
      </c>
      <c r="Z38" s="39"/>
      <c r="AA38" s="85"/>
      <c r="AB38" s="37">
        <v>0</v>
      </c>
      <c r="AC38" s="36">
        <f>AB38*AA38</f>
        <v>0</v>
      </c>
      <c r="AD38" s="27"/>
      <c r="AF38" s="67"/>
      <c r="AG38" s="64"/>
      <c r="AH38" s="65"/>
      <c r="AI38" s="64"/>
      <c r="AL38" s="67"/>
      <c r="AM38" s="64"/>
      <c r="AN38" s="65"/>
      <c r="AO38" s="64"/>
    </row>
    <row r="39" spans="1:42" ht="15" x14ac:dyDescent="0.4">
      <c r="A39" s="38" t="str">
        <f>+A12</f>
        <v>April - July 2020 with adjustment factor</v>
      </c>
      <c r="B39" s="39"/>
      <c r="C39" s="86">
        <f>+'Commodity Debit'!D12*4</f>
        <v>13301.76</v>
      </c>
      <c r="D39" s="37">
        <f>+L52</f>
        <v>-0.88</v>
      </c>
      <c r="E39" s="36">
        <f>D39*C39</f>
        <v>-11705.5488</v>
      </c>
      <c r="F39" s="27"/>
      <c r="G39" s="38" t="s">
        <v>67</v>
      </c>
      <c r="H39" s="39"/>
      <c r="I39" s="86">
        <v>13302</v>
      </c>
      <c r="J39" s="37">
        <f>+J12/4.33</f>
        <v>-0.38799076212471129</v>
      </c>
      <c r="K39" s="36">
        <f>J39*I39</f>
        <v>-5161.0531177829098</v>
      </c>
      <c r="L39" s="27"/>
      <c r="M39" s="38"/>
      <c r="N39" s="39"/>
      <c r="O39" s="86">
        <v>0</v>
      </c>
      <c r="P39" s="37">
        <v>0</v>
      </c>
      <c r="Q39" s="36">
        <f>P39*O39</f>
        <v>0</v>
      </c>
      <c r="R39" s="27"/>
      <c r="S39" s="38"/>
      <c r="T39" s="39"/>
      <c r="U39" s="86">
        <v>0</v>
      </c>
      <c r="V39" s="37">
        <v>0</v>
      </c>
      <c r="W39" s="36">
        <f>V39*U39</f>
        <v>0</v>
      </c>
      <c r="X39" s="27"/>
      <c r="Y39" s="38"/>
      <c r="Z39" s="39"/>
      <c r="AA39" s="86">
        <v>0</v>
      </c>
      <c r="AB39" s="37">
        <v>0</v>
      </c>
      <c r="AC39" s="36">
        <f>AB39*AA39</f>
        <v>0</v>
      </c>
      <c r="AD39" s="27"/>
      <c r="AE39" s="66"/>
      <c r="AF39" s="67"/>
      <c r="AG39" s="68"/>
      <c r="AH39" s="65"/>
      <c r="AI39" s="68"/>
      <c r="AK39" s="66"/>
      <c r="AL39" s="67"/>
      <c r="AM39" s="68"/>
      <c r="AN39" s="65"/>
      <c r="AO39" s="68"/>
    </row>
    <row r="40" spans="1:42" x14ac:dyDescent="0.25">
      <c r="A40" s="30" t="s">
        <v>11</v>
      </c>
      <c r="B40" s="26"/>
      <c r="C40" s="36">
        <f>SUM(C38:C39)</f>
        <v>19952.64</v>
      </c>
      <c r="D40" s="36"/>
      <c r="E40" s="36">
        <f>SUM(E38:E39)</f>
        <v>-14286.0288</v>
      </c>
      <c r="F40" s="27"/>
      <c r="G40" s="30" t="s">
        <v>11</v>
      </c>
      <c r="H40" s="26"/>
      <c r="I40" s="36">
        <f>SUM(I38:I39)</f>
        <v>19953</v>
      </c>
      <c r="J40" s="36"/>
      <c r="K40" s="36">
        <f>SUM(K38:K39)</f>
        <v>-7419.0138568129332</v>
      </c>
      <c r="L40" s="27"/>
      <c r="M40" s="30" t="s">
        <v>11</v>
      </c>
      <c r="N40" s="26"/>
      <c r="O40" s="36">
        <f>SUM(O38:O39)</f>
        <v>0</v>
      </c>
      <c r="P40" s="36"/>
      <c r="Q40" s="36">
        <f>SUM(Q38:Q39)</f>
        <v>0</v>
      </c>
      <c r="R40" s="27"/>
      <c r="S40" s="30" t="s">
        <v>11</v>
      </c>
      <c r="T40" s="26"/>
      <c r="U40" s="36">
        <f>SUM(U38:U39)</f>
        <v>0</v>
      </c>
      <c r="V40" s="36"/>
      <c r="W40" s="36">
        <f>SUM(W38:W39)</f>
        <v>0</v>
      </c>
      <c r="X40" s="27"/>
      <c r="Y40" s="30" t="s">
        <v>11</v>
      </c>
      <c r="Z40" s="26"/>
      <c r="AA40" s="36">
        <f>SUM(AA38:AA39)</f>
        <v>0</v>
      </c>
      <c r="AB40" s="36"/>
      <c r="AC40" s="36">
        <f>SUM(AC38:AC39)</f>
        <v>0</v>
      </c>
      <c r="AD40" s="27"/>
      <c r="AG40" s="64"/>
      <c r="AI40" s="64"/>
      <c r="AM40" s="64"/>
      <c r="AO40" s="64"/>
    </row>
    <row r="41" spans="1:42" x14ac:dyDescent="0.25">
      <c r="A41" s="30"/>
      <c r="B41" s="26"/>
      <c r="C41" s="36"/>
      <c r="D41" s="26"/>
      <c r="E41" s="26"/>
      <c r="F41" s="27"/>
      <c r="G41" s="30"/>
      <c r="H41" s="26"/>
      <c r="I41" s="26"/>
      <c r="J41" s="26"/>
      <c r="K41" s="26"/>
      <c r="L41" s="27"/>
      <c r="M41" s="30"/>
      <c r="N41" s="26"/>
      <c r="O41" s="26"/>
      <c r="P41" s="26"/>
      <c r="Q41" s="26"/>
      <c r="R41" s="27"/>
      <c r="S41" s="30"/>
      <c r="T41" s="26"/>
      <c r="U41" s="26"/>
      <c r="V41" s="26"/>
      <c r="W41" s="26"/>
      <c r="X41" s="27"/>
      <c r="Y41" s="30"/>
      <c r="Z41" s="26"/>
      <c r="AA41" s="26"/>
      <c r="AB41" s="26"/>
      <c r="AC41" s="26"/>
      <c r="AD41" s="27"/>
    </row>
    <row r="42" spans="1:42" x14ac:dyDescent="0.25">
      <c r="A42" s="30" t="str">
        <f>+A15</f>
        <v>Actual Commodity Revenue February 2020 - July 2020</v>
      </c>
      <c r="B42" s="26"/>
      <c r="C42" s="26"/>
      <c r="D42" s="26"/>
      <c r="E42" s="85">
        <f>+'Calcs revised method'!J48+'Calcs revised method'!K48+'Calcs revised method'!L48+'Calcs revised method'!M48+'Calcs revised method'!N48+'Calcs revised method'!O48</f>
        <v>-16369.700979559309</v>
      </c>
      <c r="F42" s="27"/>
      <c r="G42" s="30" t="str">
        <f>+G15</f>
        <v>Actual Commodity Revenue August 2019-February 2020</v>
      </c>
      <c r="H42" s="26"/>
      <c r="I42" s="26"/>
      <c r="J42" s="26"/>
      <c r="K42" s="85">
        <v>-17478</v>
      </c>
      <c r="L42" s="27"/>
      <c r="M42" s="30" t="s">
        <v>14</v>
      </c>
      <c r="N42" s="26"/>
      <c r="O42" s="26"/>
      <c r="P42" s="26"/>
      <c r="Q42" s="85"/>
      <c r="R42" s="27"/>
      <c r="S42" s="30" t="s">
        <v>14</v>
      </c>
      <c r="T42" s="26"/>
      <c r="U42" s="26"/>
      <c r="V42" s="26"/>
      <c r="W42" s="85"/>
      <c r="X42" s="27"/>
      <c r="Y42" s="30" t="s">
        <v>14</v>
      </c>
      <c r="Z42" s="26"/>
      <c r="AA42" s="26"/>
      <c r="AB42" s="26"/>
      <c r="AC42" s="85"/>
      <c r="AD42" s="27"/>
      <c r="AI42" s="64"/>
      <c r="AO42" s="64"/>
    </row>
    <row r="43" spans="1:42" x14ac:dyDescent="0.25">
      <c r="A43" s="30"/>
      <c r="B43" s="26"/>
      <c r="C43" s="26"/>
      <c r="D43" s="26"/>
      <c r="E43" s="26"/>
      <c r="F43" s="27"/>
      <c r="G43" s="30"/>
      <c r="H43" s="26"/>
      <c r="I43" s="26"/>
      <c r="J43" s="26"/>
      <c r="K43" s="26"/>
      <c r="L43" s="27"/>
      <c r="M43" s="30"/>
      <c r="N43" s="26"/>
      <c r="O43" s="26"/>
      <c r="P43" s="26"/>
      <c r="Q43" s="26"/>
      <c r="R43" s="27"/>
      <c r="S43" s="30"/>
      <c r="T43" s="26"/>
      <c r="U43" s="26"/>
      <c r="V43" s="26"/>
      <c r="W43" s="26"/>
      <c r="X43" s="27"/>
      <c r="Y43" s="30"/>
      <c r="Z43" s="26"/>
      <c r="AA43" s="26"/>
      <c r="AB43" s="26"/>
      <c r="AC43" s="26"/>
      <c r="AD43" s="27"/>
    </row>
    <row r="44" spans="1:42" x14ac:dyDescent="0.25">
      <c r="A44" s="30" t="s">
        <v>15</v>
      </c>
      <c r="B44" s="26"/>
      <c r="C44" s="26"/>
      <c r="D44" s="26"/>
      <c r="E44" s="36">
        <f>E42-E40</f>
        <v>-2083.6721795593094</v>
      </c>
      <c r="F44" s="27"/>
      <c r="G44" s="30" t="s">
        <v>15</v>
      </c>
      <c r="H44" s="26"/>
      <c r="I44" s="26"/>
      <c r="J44" s="26"/>
      <c r="K44" s="36">
        <f>K42-K40</f>
        <v>-10058.986143187067</v>
      </c>
      <c r="L44" s="27"/>
      <c r="M44" s="30" t="s">
        <v>15</v>
      </c>
      <c r="N44" s="26"/>
      <c r="O44" s="26"/>
      <c r="P44" s="26"/>
      <c r="Q44" s="36">
        <f>Q42-Q40</f>
        <v>0</v>
      </c>
      <c r="R44" s="27"/>
      <c r="S44" s="30" t="s">
        <v>15</v>
      </c>
      <c r="T44" s="26"/>
      <c r="U44" s="26"/>
      <c r="V44" s="26"/>
      <c r="W44" s="36">
        <f>W42-W40</f>
        <v>0</v>
      </c>
      <c r="X44" s="27"/>
      <c r="Y44" s="30" t="s">
        <v>15</v>
      </c>
      <c r="Z44" s="26"/>
      <c r="AA44" s="26"/>
      <c r="AB44" s="26"/>
      <c r="AC44" s="36">
        <f>AC42-AC40</f>
        <v>0</v>
      </c>
      <c r="AD44" s="27"/>
      <c r="AI44" s="64"/>
      <c r="AO44" s="64"/>
    </row>
    <row r="45" spans="1:42" x14ac:dyDescent="0.25">
      <c r="A45" s="30"/>
      <c r="B45" s="26"/>
      <c r="C45" s="26"/>
      <c r="D45" s="26"/>
      <c r="E45" s="26"/>
      <c r="F45" s="27"/>
      <c r="G45" s="30"/>
      <c r="H45" s="26"/>
      <c r="I45" s="26"/>
      <c r="J45" s="26"/>
      <c r="K45" s="26"/>
      <c r="L45" s="27"/>
      <c r="M45" s="30"/>
      <c r="N45" s="26"/>
      <c r="O45" s="26"/>
      <c r="P45" s="26"/>
      <c r="Q45" s="26"/>
      <c r="R45" s="27"/>
      <c r="S45" s="30"/>
      <c r="T45" s="26"/>
      <c r="U45" s="26"/>
      <c r="V45" s="26"/>
      <c r="W45" s="26"/>
      <c r="X45" s="27"/>
      <c r="Y45" s="30"/>
      <c r="Z45" s="26"/>
      <c r="AA45" s="26"/>
      <c r="AB45" s="26"/>
      <c r="AC45" s="26"/>
      <c r="AD45" s="27"/>
    </row>
    <row r="46" spans="1:42" x14ac:dyDescent="0.25">
      <c r="A46" s="30" t="s">
        <v>80</v>
      </c>
      <c r="B46" s="26"/>
      <c r="C46" s="26"/>
      <c r="D46" s="26"/>
      <c r="E46" s="36">
        <f>+'Commodity Debit'!E12</f>
        <v>39905.279999999999</v>
      </c>
      <c r="F46" s="27"/>
      <c r="G46" s="30" t="s">
        <v>80</v>
      </c>
      <c r="H46" s="26"/>
      <c r="I46" s="26"/>
      <c r="J46" s="26"/>
      <c r="K46" s="36">
        <f>+I40</f>
        <v>19953</v>
      </c>
      <c r="L46" s="27"/>
      <c r="M46" s="30" t="s">
        <v>16</v>
      </c>
      <c r="N46" s="26"/>
      <c r="O46" s="26"/>
      <c r="P46" s="26"/>
      <c r="Q46" s="36">
        <f>+O40</f>
        <v>0</v>
      </c>
      <c r="R46" s="27"/>
      <c r="S46" s="30" t="s">
        <v>16</v>
      </c>
      <c r="T46" s="26"/>
      <c r="U46" s="26"/>
      <c r="V46" s="26"/>
      <c r="W46" s="36">
        <f>+U40</f>
        <v>0</v>
      </c>
      <c r="X46" s="27"/>
      <c r="Y46" s="30" t="s">
        <v>16</v>
      </c>
      <c r="Z46" s="26"/>
      <c r="AA46" s="26"/>
      <c r="AB46" s="26"/>
      <c r="AC46" s="36">
        <f>+AA40</f>
        <v>0</v>
      </c>
      <c r="AD46" s="27"/>
      <c r="AI46" s="64"/>
      <c r="AO46" s="64"/>
    </row>
    <row r="47" spans="1:42" x14ac:dyDescent="0.25">
      <c r="A47" s="30"/>
      <c r="B47" s="26"/>
      <c r="C47" s="26"/>
      <c r="D47" s="26"/>
      <c r="E47" s="26"/>
      <c r="F47" s="27"/>
      <c r="G47" s="30"/>
      <c r="H47" s="26"/>
      <c r="I47" s="26"/>
      <c r="J47" s="26"/>
      <c r="K47" s="26"/>
      <c r="L47" s="27"/>
      <c r="M47" s="30"/>
      <c r="N47" s="26"/>
      <c r="O47" s="26"/>
      <c r="P47" s="26"/>
      <c r="Q47" s="26"/>
      <c r="R47" s="27"/>
      <c r="S47" s="30"/>
      <c r="T47" s="26"/>
      <c r="U47" s="26"/>
      <c r="V47" s="26"/>
      <c r="W47" s="26"/>
      <c r="X47" s="27"/>
      <c r="Y47" s="30"/>
      <c r="Z47" s="26"/>
      <c r="AA47" s="26"/>
      <c r="AB47" s="26"/>
      <c r="AC47" s="26"/>
      <c r="AD47" s="27"/>
    </row>
    <row r="48" spans="1:42" x14ac:dyDescent="0.25">
      <c r="A48" s="30" t="s">
        <v>17</v>
      </c>
      <c r="B48" s="26"/>
      <c r="C48" s="26"/>
      <c r="D48" s="26"/>
      <c r="E48" s="26"/>
      <c r="F48" s="47">
        <f>ROUND((E44/E46),2)</f>
        <v>-0.05</v>
      </c>
      <c r="G48" s="30" t="s">
        <v>17</v>
      </c>
      <c r="H48" s="26"/>
      <c r="I48" s="26"/>
      <c r="J48" s="26"/>
      <c r="K48" s="26"/>
      <c r="L48" s="47">
        <f>ROUND((K44/K46),2)</f>
        <v>-0.5</v>
      </c>
      <c r="M48" s="30" t="s">
        <v>17</v>
      </c>
      <c r="N48" s="26"/>
      <c r="O48" s="26"/>
      <c r="P48" s="26"/>
      <c r="Q48" s="26"/>
      <c r="R48" s="47" t="e">
        <f>ROUND((Q44/Q46),2)</f>
        <v>#DIV/0!</v>
      </c>
      <c r="S48" s="30" t="s">
        <v>17</v>
      </c>
      <c r="T48" s="26"/>
      <c r="U48" s="26"/>
      <c r="V48" s="26"/>
      <c r="W48" s="26"/>
      <c r="X48" s="47" t="e">
        <f>ROUND((W44/W46),2)</f>
        <v>#DIV/0!</v>
      </c>
      <c r="Y48" s="30" t="s">
        <v>17</v>
      </c>
      <c r="Z48" s="26"/>
      <c r="AA48" s="26"/>
      <c r="AB48" s="26"/>
      <c r="AC48" s="26"/>
      <c r="AD48" s="47" t="e">
        <f>ROUND((AC44/AC46),2)</f>
        <v>#DIV/0!</v>
      </c>
      <c r="AJ48" s="76"/>
      <c r="AP48" s="76"/>
    </row>
    <row r="49" spans="1:42" x14ac:dyDescent="0.25">
      <c r="A49" s="30"/>
      <c r="B49" s="26"/>
      <c r="C49" s="26"/>
      <c r="D49" s="26"/>
      <c r="E49" s="36"/>
      <c r="F49" s="27"/>
      <c r="G49" s="30"/>
      <c r="H49" s="26"/>
      <c r="I49" s="26"/>
      <c r="J49" s="26"/>
      <c r="K49" s="36"/>
      <c r="L49" s="27"/>
      <c r="M49" s="30"/>
      <c r="N49" s="26"/>
      <c r="O49" s="26"/>
      <c r="P49" s="26"/>
      <c r="Q49" s="36"/>
      <c r="R49" s="27"/>
      <c r="S49" s="30"/>
      <c r="T49" s="26"/>
      <c r="U49" s="26"/>
      <c r="V49" s="26"/>
      <c r="W49" s="36"/>
      <c r="X49" s="27"/>
      <c r="Y49" s="30"/>
      <c r="Z49" s="26"/>
      <c r="AA49" s="26"/>
      <c r="AB49" s="26"/>
      <c r="AC49" s="36"/>
      <c r="AD49" s="27"/>
      <c r="AI49" s="64"/>
      <c r="AO49" s="64"/>
    </row>
    <row r="50" spans="1:42" ht="16.8" x14ac:dyDescent="0.45">
      <c r="A50" s="125" t="str">
        <f>A23</f>
        <v>Projected Revenue October 2020 - September 2021</v>
      </c>
      <c r="B50" s="34"/>
      <c r="C50" s="26"/>
      <c r="D50" s="26"/>
      <c r="E50" s="126">
        <f>+'Calcs revised method'!Q48</f>
        <v>-33847.529086518509</v>
      </c>
      <c r="F50" s="27"/>
      <c r="G50" s="125" t="str">
        <f>G23</f>
        <v>Projected Revenue April - September 2020</v>
      </c>
      <c r="H50" s="34"/>
      <c r="I50" s="26"/>
      <c r="J50" s="26"/>
      <c r="K50" s="126">
        <f>+K42</f>
        <v>-17478</v>
      </c>
      <c r="L50" s="27"/>
      <c r="M50" s="125" t="str">
        <f>M23</f>
        <v>Projected Revenue Oct 2019 - Mar 2020</v>
      </c>
      <c r="N50" s="34"/>
      <c r="O50" s="26"/>
      <c r="P50" s="26"/>
      <c r="Q50" s="135"/>
      <c r="R50" s="27"/>
      <c r="S50" s="125" t="str">
        <f>S23</f>
        <v>Projected Revenue Apr 2019 - Sep 2019</v>
      </c>
      <c r="T50" s="34"/>
      <c r="U50" s="26"/>
      <c r="V50" s="26"/>
      <c r="W50" s="135"/>
      <c r="X50" s="27"/>
      <c r="Y50" s="88" t="str">
        <f>Y23</f>
        <v>Projected Revenue Oct 2018 - Mar 2019</v>
      </c>
      <c r="Z50" s="34"/>
      <c r="AA50" s="26"/>
      <c r="AB50" s="26"/>
      <c r="AC50" s="87"/>
      <c r="AD50" s="27"/>
      <c r="AE50" s="62"/>
      <c r="AF50" s="62"/>
      <c r="AI50" s="70"/>
      <c r="AK50" s="62"/>
      <c r="AL50" s="62"/>
      <c r="AO50" s="70"/>
    </row>
    <row r="51" spans="1:42" x14ac:dyDescent="0.25">
      <c r="A51" s="30" t="s">
        <v>80</v>
      </c>
      <c r="B51" s="26"/>
      <c r="C51" s="26"/>
      <c r="D51" s="26"/>
      <c r="E51" s="36">
        <f>E46</f>
        <v>39905.279999999999</v>
      </c>
      <c r="F51" s="27"/>
      <c r="G51" s="30" t="s">
        <v>80</v>
      </c>
      <c r="H51" s="26"/>
      <c r="I51" s="26"/>
      <c r="J51" s="26"/>
      <c r="K51" s="36">
        <f>K46</f>
        <v>19953</v>
      </c>
      <c r="L51" s="27"/>
      <c r="M51" s="30" t="s">
        <v>16</v>
      </c>
      <c r="N51" s="26"/>
      <c r="O51" s="26"/>
      <c r="P51" s="26"/>
      <c r="Q51" s="36">
        <f>Q46</f>
        <v>0</v>
      </c>
      <c r="R51" s="27"/>
      <c r="S51" s="30" t="s">
        <v>16</v>
      </c>
      <c r="T51" s="26"/>
      <c r="U51" s="26"/>
      <c r="V51" s="26"/>
      <c r="W51" s="36">
        <f>W46</f>
        <v>0</v>
      </c>
      <c r="X51" s="27"/>
      <c r="Y51" s="30" t="s">
        <v>16</v>
      </c>
      <c r="Z51" s="26"/>
      <c r="AA51" s="26"/>
      <c r="AB51" s="26"/>
      <c r="AC51" s="36">
        <f>AC46</f>
        <v>0</v>
      </c>
      <c r="AD51" s="27"/>
      <c r="AI51" s="64"/>
      <c r="AO51" s="64"/>
    </row>
    <row r="52" spans="1:42" ht="15" x14ac:dyDescent="0.4">
      <c r="A52" s="30" t="s">
        <v>18</v>
      </c>
      <c r="B52" s="26"/>
      <c r="C52" s="26"/>
      <c r="D52" s="26"/>
      <c r="E52" s="26"/>
      <c r="F52" s="48">
        <f>ROUND((E50/E51),2)</f>
        <v>-0.85</v>
      </c>
      <c r="G52" s="30" t="s">
        <v>18</v>
      </c>
      <c r="H52" s="26"/>
      <c r="I52" s="26"/>
      <c r="J52" s="26"/>
      <c r="K52" s="26"/>
      <c r="L52" s="48">
        <f>ROUND((K50/K51),2)</f>
        <v>-0.88</v>
      </c>
      <c r="M52" s="30" t="s">
        <v>18</v>
      </c>
      <c r="N52" s="26"/>
      <c r="O52" s="26"/>
      <c r="P52" s="26"/>
      <c r="Q52" s="26"/>
      <c r="R52" s="48" t="e">
        <f>ROUND((Q50/Q51),2)</f>
        <v>#DIV/0!</v>
      </c>
      <c r="S52" s="30" t="s">
        <v>18</v>
      </c>
      <c r="T52" s="26"/>
      <c r="U52" s="26"/>
      <c r="V52" s="26"/>
      <c r="W52" s="26"/>
      <c r="X52" s="48" t="e">
        <f>ROUND((W50/W51),2)</f>
        <v>#DIV/0!</v>
      </c>
      <c r="Y52" s="30" t="s">
        <v>18</v>
      </c>
      <c r="Z52" s="26"/>
      <c r="AA52" s="26"/>
      <c r="AB52" s="26"/>
      <c r="AC52" s="26"/>
      <c r="AD52" s="48" t="e">
        <f>ROUND((AC50/AC51),2)</f>
        <v>#DIV/0!</v>
      </c>
      <c r="AJ52" s="72"/>
      <c r="AP52" s="72"/>
    </row>
    <row r="53" spans="1:42" x14ac:dyDescent="0.25">
      <c r="A53" s="30"/>
      <c r="B53" s="26"/>
      <c r="C53" s="26"/>
      <c r="D53" s="26"/>
      <c r="E53" s="26"/>
      <c r="F53" s="27"/>
      <c r="G53" s="30"/>
      <c r="H53" s="26"/>
      <c r="I53" s="26"/>
      <c r="J53" s="26"/>
      <c r="K53" s="26"/>
      <c r="L53" s="27"/>
      <c r="M53" s="30"/>
      <c r="N53" s="26"/>
      <c r="O53" s="26"/>
      <c r="P53" s="26"/>
      <c r="Q53" s="26"/>
      <c r="R53" s="27"/>
      <c r="S53" s="30"/>
      <c r="T53" s="26"/>
      <c r="U53" s="26"/>
      <c r="V53" s="26"/>
      <c r="W53" s="26"/>
      <c r="X53" s="27"/>
      <c r="Y53" s="30"/>
      <c r="Z53" s="26"/>
      <c r="AA53" s="26"/>
      <c r="AB53" s="26"/>
      <c r="AC53" s="26"/>
      <c r="AD53" s="27"/>
    </row>
    <row r="54" spans="1:42" ht="16.8" thickBot="1" x14ac:dyDescent="0.45">
      <c r="A54" s="23" t="s">
        <v>74</v>
      </c>
      <c r="B54" s="24"/>
      <c r="C54" s="26"/>
      <c r="D54" s="26"/>
      <c r="E54" s="26"/>
      <c r="F54" s="43">
        <f>+F52+F48</f>
        <v>-0.9</v>
      </c>
      <c r="G54" s="23" t="s">
        <v>74</v>
      </c>
      <c r="H54" s="24"/>
      <c r="I54" s="26"/>
      <c r="J54" s="26"/>
      <c r="K54" s="26"/>
      <c r="L54" s="43">
        <f>+L52+L48</f>
        <v>-1.38</v>
      </c>
      <c r="M54" s="23" t="s">
        <v>19</v>
      </c>
      <c r="N54" s="24"/>
      <c r="O54" s="26"/>
      <c r="P54" s="26"/>
      <c r="Q54" s="26"/>
      <c r="R54" s="43" t="e">
        <f>+R52+R48</f>
        <v>#DIV/0!</v>
      </c>
      <c r="S54" s="23" t="s">
        <v>19</v>
      </c>
      <c r="T54" s="24"/>
      <c r="U54" s="26"/>
      <c r="V54" s="26"/>
      <c r="W54" s="26"/>
      <c r="X54" s="43" t="e">
        <f>+X52+X48</f>
        <v>#DIV/0!</v>
      </c>
      <c r="Y54" s="23" t="s">
        <v>19</v>
      </c>
      <c r="Z54" s="24"/>
      <c r="AA54" s="26"/>
      <c r="AB54" s="26"/>
      <c r="AC54" s="26"/>
      <c r="AD54" s="43" t="e">
        <f>+AD52+AD48</f>
        <v>#DIV/0!</v>
      </c>
      <c r="AE54" s="55"/>
      <c r="AF54" s="55"/>
      <c r="AJ54" s="73"/>
      <c r="AK54" s="55"/>
      <c r="AL54" s="55"/>
      <c r="AP54" s="73"/>
    </row>
    <row r="55" spans="1:42" ht="16.8" thickTop="1" x14ac:dyDescent="0.4">
      <c r="A55" s="23"/>
      <c r="B55" s="24"/>
      <c r="C55" s="26"/>
      <c r="D55" s="26"/>
      <c r="E55" s="26"/>
      <c r="F55" s="49"/>
      <c r="G55" s="23"/>
      <c r="H55" s="24"/>
      <c r="I55" s="26"/>
      <c r="J55" s="26"/>
      <c r="K55" s="26"/>
      <c r="L55" s="49"/>
      <c r="M55" s="23"/>
      <c r="N55" s="24"/>
      <c r="O55" s="26"/>
      <c r="P55" s="26"/>
      <c r="Q55" s="26"/>
      <c r="R55" s="49"/>
      <c r="S55" s="23"/>
      <c r="T55" s="24"/>
      <c r="U55" s="26"/>
      <c r="V55" s="26"/>
      <c r="W55" s="26"/>
      <c r="X55" s="49"/>
      <c r="Y55" s="23"/>
      <c r="Z55" s="24"/>
      <c r="AA55" s="26"/>
      <c r="AB55" s="26"/>
      <c r="AC55" s="26"/>
      <c r="AD55" s="49"/>
      <c r="AE55" s="55"/>
      <c r="AF55" s="55"/>
      <c r="AJ55" s="73"/>
      <c r="AK55" s="55"/>
      <c r="AL55" s="55"/>
      <c r="AN55" s="74"/>
      <c r="AP55" s="73"/>
    </row>
    <row r="56" spans="1:42" ht="15" x14ac:dyDescent="0.4">
      <c r="A56" s="38"/>
      <c r="B56" s="26"/>
      <c r="C56" s="26"/>
      <c r="D56" s="26"/>
      <c r="E56" s="26"/>
      <c r="F56" s="45"/>
      <c r="G56" s="38"/>
      <c r="H56" s="26"/>
      <c r="I56" s="26"/>
      <c r="J56" s="26"/>
      <c r="K56" s="26"/>
      <c r="L56" s="45"/>
      <c r="M56" s="38"/>
      <c r="N56" s="26"/>
      <c r="O56" s="26"/>
      <c r="P56" s="26"/>
      <c r="Q56" s="26"/>
      <c r="R56" s="45"/>
      <c r="S56" s="38"/>
      <c r="T56" s="26"/>
      <c r="U56" s="26"/>
      <c r="V56" s="26"/>
      <c r="W56" s="26"/>
      <c r="X56" s="45"/>
      <c r="Y56" s="38"/>
      <c r="Z56" s="26"/>
      <c r="AA56" s="26"/>
      <c r="AB56" s="26"/>
      <c r="AC56" s="26"/>
      <c r="AD56" s="45"/>
    </row>
    <row r="57" spans="1:42" ht="13.8" thickBot="1" x14ac:dyDescent="0.3">
      <c r="A57" s="50"/>
      <c r="B57" s="51"/>
      <c r="C57" s="51"/>
      <c r="D57" s="51"/>
      <c r="E57" s="51"/>
      <c r="F57" s="52"/>
      <c r="G57" s="50"/>
      <c r="H57" s="51"/>
      <c r="I57" s="51"/>
      <c r="J57" s="51"/>
      <c r="K57" s="51"/>
      <c r="L57" s="52"/>
      <c r="M57" s="50"/>
      <c r="N57" s="51"/>
      <c r="O57" s="51"/>
      <c r="P57" s="51"/>
      <c r="Q57" s="51"/>
      <c r="R57" s="52"/>
      <c r="S57" s="50"/>
      <c r="T57" s="51"/>
      <c r="U57" s="51"/>
      <c r="V57" s="51"/>
      <c r="W57" s="51"/>
      <c r="X57" s="52"/>
      <c r="Y57" s="50"/>
      <c r="Z57" s="51"/>
      <c r="AA57" s="51"/>
      <c r="AB57" s="51"/>
      <c r="AC57" s="51"/>
      <c r="AD57" s="52"/>
      <c r="AN57" s="74"/>
      <c r="AP57" s="77"/>
    </row>
  </sheetData>
  <mergeCells count="15">
    <mergeCell ref="A4:F4"/>
    <mergeCell ref="A6:F6"/>
    <mergeCell ref="A33:F33"/>
    <mergeCell ref="G4:L4"/>
    <mergeCell ref="G6:L6"/>
    <mergeCell ref="G33:L33"/>
    <mergeCell ref="Y4:AD4"/>
    <mergeCell ref="Y6:AD6"/>
    <mergeCell ref="Y33:AD33"/>
    <mergeCell ref="M4:R4"/>
    <mergeCell ref="M6:R6"/>
    <mergeCell ref="M33:R33"/>
    <mergeCell ref="S4:X4"/>
    <mergeCell ref="S6:X6"/>
    <mergeCell ref="S33:X33"/>
  </mergeCells>
  <phoneticPr fontId="7" type="noConversion"/>
  <pageMargins left="0.92" right="0.25" top="0.45" bottom="0.37" header="0.3" footer="0.3"/>
  <pageSetup scale="89" fitToWidth="0" orientation="portrait" horizontalDpi="300" verticalDpi="300" r:id="rId1"/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H25" sqref="H25:I25"/>
    </sheetView>
  </sheetViews>
  <sheetFormatPr defaultColWidth="9.109375" defaultRowHeight="14.4" x14ac:dyDescent="0.3"/>
  <cols>
    <col min="1" max="1" width="3.5546875" style="84" customWidth="1"/>
    <col min="2" max="2" width="9.109375" style="84"/>
    <col min="3" max="3" width="16.44140625" style="84" customWidth="1"/>
    <col min="4" max="6" width="12.6640625" style="84" customWidth="1"/>
    <col min="7" max="7" width="15.88671875" style="84" customWidth="1"/>
    <col min="8" max="8" width="11.88671875" style="84" bestFit="1" customWidth="1"/>
    <col min="9" max="9" width="10.6640625" style="84" bestFit="1" customWidth="1"/>
    <col min="10" max="10" width="12.33203125" style="84" customWidth="1"/>
    <col min="11" max="11" width="9.5546875" style="84" bestFit="1" customWidth="1"/>
    <col min="12" max="14" width="9.109375" style="84"/>
    <col min="15" max="15" width="12.109375" style="84" bestFit="1" customWidth="1"/>
    <col min="16" max="16384" width="9.109375" style="84"/>
  </cols>
  <sheetData>
    <row r="1" spans="1:15" ht="22.8" x14ac:dyDescent="0.4">
      <c r="A1" s="170" t="s">
        <v>22</v>
      </c>
      <c r="B1" s="170"/>
      <c r="C1" s="170"/>
      <c r="D1" s="170"/>
      <c r="E1" s="170"/>
      <c r="F1" s="170"/>
      <c r="G1" s="170"/>
    </row>
    <row r="2" spans="1:15" ht="17.399999999999999" x14ac:dyDescent="0.3">
      <c r="A2" s="171" t="s">
        <v>23</v>
      </c>
      <c r="B2" s="171"/>
      <c r="C2" s="171"/>
      <c r="D2" s="171"/>
      <c r="E2" s="171"/>
      <c r="F2" s="171"/>
      <c r="G2" s="171"/>
    </row>
    <row r="3" spans="1:15" ht="15.6" x14ac:dyDescent="0.3">
      <c r="A3" s="172" t="s">
        <v>98</v>
      </c>
      <c r="B3" s="172"/>
      <c r="C3" s="172"/>
      <c r="D3" s="172"/>
      <c r="E3" s="172"/>
      <c r="F3" s="172"/>
      <c r="G3" s="172"/>
    </row>
    <row r="4" spans="1:15" x14ac:dyDescent="0.3">
      <c r="A4" s="121"/>
      <c r="B4" s="121"/>
      <c r="C4" s="121"/>
      <c r="D4" s="123"/>
      <c r="E4" s="121"/>
      <c r="F4" s="121"/>
    </row>
    <row r="5" spans="1:15" x14ac:dyDescent="0.3">
      <c r="A5" s="121"/>
      <c r="B5" s="121"/>
      <c r="C5" s="121"/>
      <c r="D5" s="123"/>
      <c r="E5" s="121"/>
      <c r="F5" s="121"/>
    </row>
    <row r="6" spans="1:15" x14ac:dyDescent="0.3">
      <c r="A6" s="121"/>
      <c r="B6" s="121"/>
      <c r="C6" s="121"/>
      <c r="D6" s="123"/>
      <c r="E6" s="121"/>
      <c r="F6" s="121"/>
      <c r="G6" s="121"/>
      <c r="H6" s="136">
        <f>+'Commodity Debit'!D11</f>
        <v>11155.97</v>
      </c>
      <c r="I6" s="136">
        <f>+'Commodity Debit'!D12</f>
        <v>3325.44</v>
      </c>
      <c r="J6" s="136">
        <f>+H6+I6</f>
        <v>14481.41</v>
      </c>
    </row>
    <row r="7" spans="1:15" x14ac:dyDescent="0.3">
      <c r="A7" s="121"/>
      <c r="B7" s="137"/>
      <c r="C7" s="121"/>
      <c r="D7" s="121"/>
      <c r="E7" s="123"/>
      <c r="F7" s="121"/>
    </row>
    <row r="8" spans="1:15" ht="15.6" x14ac:dyDescent="0.3">
      <c r="B8" s="83" t="s">
        <v>1</v>
      </c>
      <c r="C8" s="138" t="s">
        <v>2</v>
      </c>
      <c r="D8" s="83" t="s">
        <v>3</v>
      </c>
      <c r="E8" s="83" t="s">
        <v>4</v>
      </c>
      <c r="F8" s="83" t="s">
        <v>5</v>
      </c>
      <c r="G8" s="83" t="s">
        <v>5</v>
      </c>
      <c r="H8" s="173" t="s">
        <v>92</v>
      </c>
      <c r="I8" s="173"/>
      <c r="J8" s="173"/>
      <c r="L8" s="173" t="s">
        <v>93</v>
      </c>
      <c r="M8" s="173"/>
      <c r="N8" s="173"/>
    </row>
    <row r="9" spans="1:15" ht="16.2" thickBot="1" x14ac:dyDescent="0.35">
      <c r="B9" s="139"/>
      <c r="C9" s="140"/>
      <c r="D9" s="139"/>
      <c r="E9" s="141"/>
      <c r="F9" s="139" t="s">
        <v>6</v>
      </c>
      <c r="G9" s="139"/>
      <c r="H9" s="84" t="s">
        <v>69</v>
      </c>
      <c r="I9" s="84" t="s">
        <v>70</v>
      </c>
      <c r="J9" s="84" t="s">
        <v>11</v>
      </c>
      <c r="L9" s="84" t="s">
        <v>69</v>
      </c>
      <c r="M9" s="84" t="s">
        <v>70</v>
      </c>
      <c r="N9" s="84" t="s">
        <v>11</v>
      </c>
    </row>
    <row r="10" spans="1:15" ht="16.2" thickTop="1" x14ac:dyDescent="0.3">
      <c r="B10" s="106"/>
      <c r="C10" s="142"/>
      <c r="D10" s="142"/>
      <c r="E10" s="106"/>
      <c r="F10" s="143"/>
      <c r="G10" s="106"/>
    </row>
    <row r="11" spans="1:15" ht="15.6" x14ac:dyDescent="0.3">
      <c r="B11" s="144" t="s">
        <v>56</v>
      </c>
      <c r="C11" s="94">
        <v>0</v>
      </c>
      <c r="D11" s="94">
        <v>211670</v>
      </c>
      <c r="E11" s="95">
        <f>D11/2000</f>
        <v>105.83499999999999</v>
      </c>
      <c r="F11" s="89">
        <f>G11/E11</f>
        <v>-112.26078329475128</v>
      </c>
      <c r="G11" s="96">
        <v>-11881.12</v>
      </c>
      <c r="H11" s="145">
        <f>+H$6/J$6*$G11</f>
        <v>-9152.797848165339</v>
      </c>
      <c r="I11" s="145">
        <f>+I$6/J$6*$G11</f>
        <v>-2728.3221518346627</v>
      </c>
      <c r="J11" s="146">
        <f>+H11+I11</f>
        <v>-11881.120000000003</v>
      </c>
      <c r="K11" s="94"/>
      <c r="L11" s="95">
        <f>+H$6/J$6*E11</f>
        <v>81.531569436263453</v>
      </c>
      <c r="M11" s="95">
        <f>+I$6/J$6*E11</f>
        <v>24.303430563736541</v>
      </c>
      <c r="N11" s="132">
        <f>+L11+M11</f>
        <v>105.83499999999999</v>
      </c>
      <c r="O11" s="96"/>
    </row>
    <row r="12" spans="1:15" ht="15.6" x14ac:dyDescent="0.3">
      <c r="B12" s="147" t="s">
        <v>57</v>
      </c>
      <c r="C12" s="94">
        <v>0</v>
      </c>
      <c r="D12" s="94">
        <v>212000</v>
      </c>
      <c r="E12" s="93">
        <f t="shared" ref="E12:E22" si="0">D12/2000</f>
        <v>106</v>
      </c>
      <c r="F12" s="89">
        <f t="shared" ref="F12:F22" si="1">G12/E12</f>
        <v>-97.643301886792457</v>
      </c>
      <c r="G12" s="96">
        <v>-10350.19</v>
      </c>
      <c r="H12" s="145">
        <f t="shared" ref="H12:H22" si="2">+H$6/J$6*$G12</f>
        <v>-7973.4231082677725</v>
      </c>
      <c r="I12" s="145">
        <f t="shared" ref="I12:I22" si="3">+I$6/J$6*$G12</f>
        <v>-2376.7668917322276</v>
      </c>
      <c r="J12" s="146">
        <f t="shared" ref="J12:J18" si="4">+H12+I12</f>
        <v>-10350.19</v>
      </c>
      <c r="K12" s="94"/>
      <c r="L12" s="95">
        <f t="shared" ref="L12:L22" si="5">+H$6/J$6*E12</f>
        <v>81.658679645145057</v>
      </c>
      <c r="M12" s="95">
        <f t="shared" ref="M12:M22" si="6">+I$6/J$6*E12</f>
        <v>24.341320354854947</v>
      </c>
      <c r="N12" s="132">
        <f t="shared" ref="N12:N22" si="7">+L12+M12</f>
        <v>106</v>
      </c>
      <c r="O12" s="96"/>
    </row>
    <row r="13" spans="1:15" ht="15.6" x14ac:dyDescent="0.3">
      <c r="B13" s="147" t="s">
        <v>58</v>
      </c>
      <c r="C13" s="94">
        <v>0</v>
      </c>
      <c r="D13" s="94">
        <v>235000</v>
      </c>
      <c r="E13" s="95">
        <f t="shared" si="0"/>
        <v>117.5</v>
      </c>
      <c r="F13" s="89">
        <f t="shared" si="1"/>
        <v>-37.005872340425526</v>
      </c>
      <c r="G13" s="96">
        <v>-4348.1899999999996</v>
      </c>
      <c r="H13" s="145">
        <f t="shared" si="2"/>
        <v>-3349.6929645870118</v>
      </c>
      <c r="I13" s="145">
        <f t="shared" si="3"/>
        <v>-998.497035412988</v>
      </c>
      <c r="J13" s="146">
        <f t="shared" si="4"/>
        <v>-4348.1899999999996</v>
      </c>
      <c r="K13" s="94"/>
      <c r="L13" s="95">
        <f t="shared" si="5"/>
        <v>90.517876021740975</v>
      </c>
      <c r="M13" s="95">
        <f t="shared" si="6"/>
        <v>26.982123978259022</v>
      </c>
      <c r="N13" s="132">
        <f t="shared" si="7"/>
        <v>117.5</v>
      </c>
      <c r="O13" s="96"/>
    </row>
    <row r="14" spans="1:15" ht="15.6" x14ac:dyDescent="0.3">
      <c r="B14" s="147" t="s">
        <v>59</v>
      </c>
      <c r="C14" s="94">
        <v>0</v>
      </c>
      <c r="D14" s="94">
        <v>206300</v>
      </c>
      <c r="E14" s="95">
        <f t="shared" si="0"/>
        <v>103.15</v>
      </c>
      <c r="F14" s="89">
        <f t="shared" si="1"/>
        <v>-243.07639360155113</v>
      </c>
      <c r="G14" s="96">
        <v>-25073.33</v>
      </c>
      <c r="H14" s="145">
        <f t="shared" si="2"/>
        <v>-19315.613416103821</v>
      </c>
      <c r="I14" s="145">
        <f t="shared" si="3"/>
        <v>-5757.7165838961819</v>
      </c>
      <c r="J14" s="146">
        <f t="shared" si="4"/>
        <v>-25073.33</v>
      </c>
      <c r="K14" s="94"/>
      <c r="L14" s="95">
        <f t="shared" si="5"/>
        <v>79.463139673553897</v>
      </c>
      <c r="M14" s="95">
        <f t="shared" si="6"/>
        <v>23.686860326446112</v>
      </c>
      <c r="N14" s="132">
        <f t="shared" si="7"/>
        <v>103.15</v>
      </c>
      <c r="O14" s="96"/>
    </row>
    <row r="15" spans="1:15" ht="15.6" x14ac:dyDescent="0.3">
      <c r="B15" s="147" t="s">
        <v>60</v>
      </c>
      <c r="C15" s="94">
        <v>0</v>
      </c>
      <c r="D15" s="94">
        <v>212820</v>
      </c>
      <c r="E15" s="95">
        <f t="shared" si="0"/>
        <v>106.41</v>
      </c>
      <c r="F15" s="89">
        <f t="shared" si="1"/>
        <v>-82.872474391504554</v>
      </c>
      <c r="G15" s="96">
        <v>-8818.4599999999991</v>
      </c>
      <c r="H15" s="145">
        <f t="shared" si="2"/>
        <v>-6793.4320764483564</v>
      </c>
      <c r="I15" s="145">
        <f t="shared" si="3"/>
        <v>-2025.027923551643</v>
      </c>
      <c r="J15" s="146">
        <f t="shared" si="4"/>
        <v>-8818.4599999999991</v>
      </c>
      <c r="K15" s="94"/>
      <c r="L15" s="95">
        <f t="shared" si="5"/>
        <v>81.974529255093259</v>
      </c>
      <c r="M15" s="95">
        <f t="shared" si="6"/>
        <v>24.435470744906745</v>
      </c>
      <c r="N15" s="132">
        <f t="shared" si="7"/>
        <v>106.41</v>
      </c>
      <c r="O15" s="96"/>
    </row>
    <row r="16" spans="1:15" ht="15.6" x14ac:dyDescent="0.3">
      <c r="B16" s="144" t="s">
        <v>61</v>
      </c>
      <c r="C16" s="94">
        <v>0</v>
      </c>
      <c r="D16" s="94">
        <v>250340</v>
      </c>
      <c r="E16" s="95">
        <f t="shared" si="0"/>
        <v>125.17</v>
      </c>
      <c r="F16" s="89">
        <f t="shared" si="1"/>
        <v>-124.95022769034114</v>
      </c>
      <c r="G16" s="96">
        <v>-15640.02</v>
      </c>
      <c r="H16" s="130">
        <f t="shared" si="2"/>
        <v>-12048.522479468505</v>
      </c>
      <c r="I16" s="130">
        <f t="shared" si="3"/>
        <v>-3591.4975205314954</v>
      </c>
      <c r="J16" s="146">
        <f t="shared" si="4"/>
        <v>-15640.02</v>
      </c>
      <c r="K16" s="94"/>
      <c r="L16" s="95">
        <f t="shared" si="5"/>
        <v>96.42657482247931</v>
      </c>
      <c r="M16" s="95">
        <f t="shared" si="6"/>
        <v>28.743425177520695</v>
      </c>
      <c r="N16" s="132">
        <f t="shared" si="7"/>
        <v>125.17</v>
      </c>
      <c r="O16" s="96"/>
    </row>
    <row r="17" spans="1:15" ht="15.6" x14ac:dyDescent="0.3">
      <c r="B17" s="144" t="s">
        <v>62</v>
      </c>
      <c r="C17" s="94">
        <v>0</v>
      </c>
      <c r="D17" s="94">
        <v>164380</v>
      </c>
      <c r="E17" s="95">
        <f t="shared" si="0"/>
        <v>82.19</v>
      </c>
      <c r="F17" s="89">
        <f t="shared" si="1"/>
        <v>-212.38520501277526</v>
      </c>
      <c r="G17" s="96">
        <v>-17455.939999999999</v>
      </c>
      <c r="H17" s="130">
        <f t="shared" si="2"/>
        <v>-13447.443512876162</v>
      </c>
      <c r="I17" s="130">
        <f t="shared" si="3"/>
        <v>-4008.4964871238362</v>
      </c>
      <c r="J17" s="144">
        <f t="shared" si="4"/>
        <v>-17455.939999999999</v>
      </c>
      <c r="L17" s="95">
        <f t="shared" si="5"/>
        <v>63.316291321079923</v>
      </c>
      <c r="M17" s="95">
        <f t="shared" si="6"/>
        <v>18.873708678920078</v>
      </c>
      <c r="N17" s="132">
        <f t="shared" si="7"/>
        <v>82.19</v>
      </c>
    </row>
    <row r="18" spans="1:15" ht="15.6" x14ac:dyDescent="0.3">
      <c r="B18" s="144" t="s">
        <v>82</v>
      </c>
      <c r="C18" s="94">
        <v>0</v>
      </c>
      <c r="D18" s="94">
        <v>169740</v>
      </c>
      <c r="E18" s="95">
        <f t="shared" si="0"/>
        <v>84.87</v>
      </c>
      <c r="F18" s="89">
        <f t="shared" si="1"/>
        <v>-105.05408271474019</v>
      </c>
      <c r="G18" s="96">
        <v>-8915.94</v>
      </c>
      <c r="H18" s="130">
        <f t="shared" si="2"/>
        <v>-6868.5272471257986</v>
      </c>
      <c r="I18" s="130">
        <f t="shared" si="3"/>
        <v>-2047.4127528742022</v>
      </c>
      <c r="J18" s="148">
        <f t="shared" si="4"/>
        <v>-8915.94</v>
      </c>
      <c r="K18" s="94"/>
      <c r="L18" s="95">
        <f t="shared" si="5"/>
        <v>65.380869259277929</v>
      </c>
      <c r="M18" s="95">
        <f t="shared" si="6"/>
        <v>19.489130740722072</v>
      </c>
      <c r="N18" s="132">
        <f t="shared" si="7"/>
        <v>84.87</v>
      </c>
      <c r="O18" s="96"/>
    </row>
    <row r="19" spans="1:15" ht="15.6" x14ac:dyDescent="0.3">
      <c r="B19" s="147" t="s">
        <v>83</v>
      </c>
      <c r="C19" s="94">
        <v>0</v>
      </c>
      <c r="D19" s="94">
        <v>200220</v>
      </c>
      <c r="E19" s="95">
        <f t="shared" si="0"/>
        <v>100.11</v>
      </c>
      <c r="F19" s="89">
        <f t="shared" si="1"/>
        <v>-107.95724702826891</v>
      </c>
      <c r="G19" s="96">
        <v>-10807.6</v>
      </c>
      <c r="H19" s="130">
        <f t="shared" si="2"/>
        <v>-8325.7957182346199</v>
      </c>
      <c r="I19" s="130">
        <f t="shared" si="3"/>
        <v>-2481.8042817653804</v>
      </c>
      <c r="J19" s="148">
        <f>+H19+I19</f>
        <v>-10807.6</v>
      </c>
      <c r="K19" s="94"/>
      <c r="L19" s="95">
        <f t="shared" si="5"/>
        <v>77.121230370523307</v>
      </c>
      <c r="M19" s="95">
        <f t="shared" si="6"/>
        <v>22.988769629476685</v>
      </c>
      <c r="N19" s="132">
        <f t="shared" si="7"/>
        <v>100.10999999999999</v>
      </c>
    </row>
    <row r="20" spans="1:15" ht="15.6" x14ac:dyDescent="0.3">
      <c r="B20" s="147" t="s">
        <v>84</v>
      </c>
      <c r="C20" s="94">
        <v>0</v>
      </c>
      <c r="D20" s="94">
        <v>184540</v>
      </c>
      <c r="E20" s="95">
        <f t="shared" si="0"/>
        <v>92.27</v>
      </c>
      <c r="F20" s="89">
        <f t="shared" si="1"/>
        <v>-132.2668256204617</v>
      </c>
      <c r="G20" s="96">
        <f>-2768.1-9436.16</f>
        <v>-12204.26</v>
      </c>
      <c r="H20" s="130">
        <f t="shared" si="2"/>
        <v>-9401.7335626986605</v>
      </c>
      <c r="I20" s="130">
        <f t="shared" si="3"/>
        <v>-2802.5264373013401</v>
      </c>
      <c r="J20" s="148">
        <f t="shared" ref="J20:J22" si="8">+H20+I20</f>
        <v>-12204.26</v>
      </c>
      <c r="L20" s="95">
        <f t="shared" si="5"/>
        <v>71.081569536391825</v>
      </c>
      <c r="M20" s="95">
        <f t="shared" si="6"/>
        <v>21.188430463608171</v>
      </c>
      <c r="N20" s="132">
        <f t="shared" si="7"/>
        <v>92.27</v>
      </c>
      <c r="O20" s="96"/>
    </row>
    <row r="21" spans="1:15" ht="15.6" x14ac:dyDescent="0.3">
      <c r="B21" s="147" t="s">
        <v>85</v>
      </c>
      <c r="C21" s="94">
        <v>0</v>
      </c>
      <c r="D21" s="94">
        <v>194786</v>
      </c>
      <c r="E21" s="95">
        <f t="shared" si="0"/>
        <v>97.393000000000001</v>
      </c>
      <c r="F21" s="89">
        <f t="shared" si="1"/>
        <v>-115.43653034612343</v>
      </c>
      <c r="G21" s="96">
        <f>-2921.79-8320.92</f>
        <v>-11242.71</v>
      </c>
      <c r="H21" s="130">
        <f t="shared" si="2"/>
        <v>-8660.9891908798927</v>
      </c>
      <c r="I21" s="130">
        <f t="shared" si="3"/>
        <v>-2581.720809120106</v>
      </c>
      <c r="J21" s="148">
        <f t="shared" si="8"/>
        <v>-11242.71</v>
      </c>
      <c r="K21" s="94"/>
      <c r="L21" s="95">
        <f t="shared" si="5"/>
        <v>75.028148930939736</v>
      </c>
      <c r="M21" s="95">
        <f t="shared" si="6"/>
        <v>22.364851069060265</v>
      </c>
      <c r="N21" s="132">
        <f t="shared" si="7"/>
        <v>97.393000000000001</v>
      </c>
      <c r="O21" s="96"/>
    </row>
    <row r="22" spans="1:15" ht="15.6" x14ac:dyDescent="0.3">
      <c r="B22" s="147" t="s">
        <v>86</v>
      </c>
      <c r="C22" s="94">
        <v>0</v>
      </c>
      <c r="D22" s="94">
        <v>181900</v>
      </c>
      <c r="E22" s="95">
        <f t="shared" si="0"/>
        <v>90.95</v>
      </c>
      <c r="F22" s="89">
        <f t="shared" si="1"/>
        <v>-117.19912039582188</v>
      </c>
      <c r="G22" s="96">
        <f>-3014.6-7644.66</f>
        <v>-10659.26</v>
      </c>
      <c r="H22" s="130">
        <f t="shared" si="2"/>
        <v>-8211.5197886255555</v>
      </c>
      <c r="I22" s="130">
        <f t="shared" si="3"/>
        <v>-2447.7402113744447</v>
      </c>
      <c r="J22" s="148">
        <f t="shared" si="8"/>
        <v>-10659.26</v>
      </c>
      <c r="K22" s="94"/>
      <c r="L22" s="95">
        <f t="shared" si="5"/>
        <v>70.064687865339081</v>
      </c>
      <c r="M22" s="95">
        <f t="shared" si="6"/>
        <v>20.885312134660921</v>
      </c>
      <c r="N22" s="132">
        <f t="shared" si="7"/>
        <v>90.95</v>
      </c>
      <c r="O22" s="96"/>
    </row>
    <row r="23" spans="1:15" ht="15.6" x14ac:dyDescent="0.3">
      <c r="B23" s="144"/>
      <c r="K23" s="94"/>
      <c r="L23" s="94"/>
      <c r="M23" s="95"/>
      <c r="N23" s="89"/>
      <c r="O23" s="96"/>
    </row>
    <row r="24" spans="1:15" ht="15.6" x14ac:dyDescent="0.3">
      <c r="B24" s="144"/>
      <c r="C24" s="98"/>
      <c r="D24" s="98"/>
      <c r="E24" s="99"/>
      <c r="F24" s="90"/>
      <c r="G24" s="100"/>
      <c r="I24" s="145"/>
      <c r="J24" s="146"/>
    </row>
    <row r="25" spans="1:15" ht="15.6" x14ac:dyDescent="0.3">
      <c r="A25" s="84" t="s">
        <v>8</v>
      </c>
      <c r="B25" s="83"/>
      <c r="C25" s="149"/>
      <c r="D25" s="149">
        <f>SUM(D11:D22)</f>
        <v>2423696</v>
      </c>
      <c r="E25" s="150">
        <f>SUM(E11:E22)</f>
        <v>1211.848</v>
      </c>
      <c r="F25" s="82"/>
      <c r="G25" s="151">
        <f>SUM(G11:G22)</f>
        <v>-147397.02000000002</v>
      </c>
      <c r="H25" s="145">
        <f>SUM(H11:H22)</f>
        <v>-113549.49091348148</v>
      </c>
      <c r="I25" s="145">
        <f>SUM(I11:I22)</f>
        <v>-33847.529086518509</v>
      </c>
    </row>
    <row r="26" spans="1:15" ht="15.6" x14ac:dyDescent="0.3">
      <c r="B26" s="12"/>
      <c r="C26" s="13"/>
      <c r="D26" s="14"/>
      <c r="E26" s="152" t="s">
        <v>0</v>
      </c>
      <c r="F26" s="83"/>
      <c r="G26" s="82"/>
    </row>
    <row r="27" spans="1:15" ht="15.6" x14ac:dyDescent="0.3">
      <c r="B27" s="12"/>
      <c r="C27" s="13"/>
      <c r="D27" s="14"/>
      <c r="E27" s="152"/>
      <c r="F27" s="83"/>
      <c r="G27" s="153"/>
    </row>
    <row r="28" spans="1:15" ht="15.6" x14ac:dyDescent="0.3">
      <c r="B28" s="12"/>
      <c r="C28" s="131" t="s">
        <v>94</v>
      </c>
      <c r="D28" s="14"/>
      <c r="E28" s="152"/>
      <c r="F28" s="83"/>
      <c r="G28" s="82"/>
    </row>
    <row r="29" spans="1:15" x14ac:dyDescent="0.3">
      <c r="E29" s="154"/>
    </row>
    <row r="30" spans="1:15" x14ac:dyDescent="0.3">
      <c r="E30" s="154"/>
    </row>
    <row r="31" spans="1:15" x14ac:dyDescent="0.3">
      <c r="E31" s="154"/>
    </row>
  </sheetData>
  <mergeCells count="5">
    <mergeCell ref="A1:G1"/>
    <mergeCell ref="A2:G2"/>
    <mergeCell ref="A3:G3"/>
    <mergeCell ref="H8:J8"/>
    <mergeCell ref="L8:N8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sqref="A1:G1"/>
    </sheetView>
  </sheetViews>
  <sheetFormatPr defaultRowHeight="14.4" x14ac:dyDescent="0.3"/>
  <cols>
    <col min="1" max="1" width="3.33203125" customWidth="1"/>
    <col min="2" max="2" width="11.5546875" customWidth="1"/>
    <col min="3" max="3" width="16.44140625" customWidth="1"/>
    <col min="4" max="6" width="12.6640625" customWidth="1"/>
    <col min="7" max="7" width="5.6640625" customWidth="1"/>
  </cols>
  <sheetData>
    <row r="1" spans="1:7" ht="22.8" x14ac:dyDescent="0.4">
      <c r="A1" s="174" t="s">
        <v>22</v>
      </c>
      <c r="B1" s="174"/>
      <c r="C1" s="174"/>
      <c r="D1" s="174"/>
      <c r="E1" s="174"/>
      <c r="F1" s="174"/>
      <c r="G1" s="174"/>
    </row>
    <row r="2" spans="1:7" ht="17.399999999999999" x14ac:dyDescent="0.3">
      <c r="A2" s="175" t="s">
        <v>24</v>
      </c>
      <c r="B2" s="175"/>
      <c r="C2" s="175"/>
      <c r="D2" s="175"/>
      <c r="E2" s="175"/>
      <c r="F2" s="175"/>
      <c r="G2" s="175"/>
    </row>
    <row r="3" spans="1:7" ht="15.6" x14ac:dyDescent="0.3">
      <c r="A3" s="176"/>
      <c r="B3" s="176"/>
      <c r="C3" s="176"/>
      <c r="D3" s="176"/>
      <c r="E3" s="176"/>
      <c r="F3" s="176"/>
      <c r="G3" s="176"/>
    </row>
    <row r="4" spans="1:7" x14ac:dyDescent="0.3">
      <c r="A4" s="1"/>
      <c r="B4" s="1"/>
      <c r="C4" s="2"/>
      <c r="D4" s="1"/>
      <c r="E4" s="127"/>
      <c r="F4" s="3"/>
    </row>
    <row r="5" spans="1:7" x14ac:dyDescent="0.3">
      <c r="A5" s="1"/>
      <c r="B5" s="1"/>
      <c r="C5" s="122"/>
      <c r="D5" s="121"/>
      <c r="E5" s="121"/>
      <c r="F5" s="123"/>
    </row>
    <row r="6" spans="1:7" x14ac:dyDescent="0.3">
      <c r="A6" s="1"/>
      <c r="B6" s="1"/>
      <c r="C6" s="2"/>
      <c r="D6" s="1"/>
      <c r="E6" s="127"/>
      <c r="F6" s="3"/>
    </row>
    <row r="7" spans="1:7" ht="15" customHeight="1" x14ac:dyDescent="0.3">
      <c r="A7" s="1"/>
      <c r="B7" s="1"/>
      <c r="C7" s="2"/>
      <c r="D7" s="1"/>
      <c r="E7" s="127"/>
      <c r="F7" s="3"/>
    </row>
    <row r="8" spans="1:7" ht="15.6" x14ac:dyDescent="0.3">
      <c r="B8" s="4" t="s">
        <v>26</v>
      </c>
      <c r="C8" s="5" t="s">
        <v>7</v>
      </c>
      <c r="D8" s="4" t="s">
        <v>31</v>
      </c>
      <c r="E8" s="4" t="s">
        <v>78</v>
      </c>
      <c r="F8" s="4" t="s">
        <v>76</v>
      </c>
    </row>
    <row r="9" spans="1:7" ht="16.2" thickBot="1" x14ac:dyDescent="0.35">
      <c r="B9" s="6"/>
      <c r="C9" s="7"/>
      <c r="D9" s="6" t="s">
        <v>75</v>
      </c>
      <c r="E9" s="6" t="s">
        <v>75</v>
      </c>
      <c r="F9" s="6"/>
    </row>
    <row r="10" spans="1:7" ht="16.2" thickTop="1" x14ac:dyDescent="0.3">
      <c r="B10" s="8"/>
      <c r="C10" s="9"/>
      <c r="D10" s="9"/>
      <c r="E10" s="9"/>
      <c r="F10" s="10"/>
    </row>
    <row r="11" spans="1:7" ht="15.6" x14ac:dyDescent="0.3">
      <c r="B11" s="16" t="s">
        <v>9</v>
      </c>
      <c r="C11" s="91">
        <v>5141</v>
      </c>
      <c r="D11" s="103">
        <f>+C11*2.17</f>
        <v>11155.97</v>
      </c>
      <c r="E11" s="103">
        <f>+D11*12</f>
        <v>133871.63999999998</v>
      </c>
      <c r="F11" s="80" t="s">
        <v>79</v>
      </c>
    </row>
    <row r="12" spans="1:7" ht="15.6" x14ac:dyDescent="0.3">
      <c r="B12" s="16" t="s">
        <v>63</v>
      </c>
      <c r="C12" s="91">
        <v>768</v>
      </c>
      <c r="D12" s="103">
        <f>+C12*4.33</f>
        <v>3325.44</v>
      </c>
      <c r="E12" s="92">
        <f>+D12*12</f>
        <v>39905.279999999999</v>
      </c>
      <c r="F12" s="81" t="s">
        <v>77</v>
      </c>
    </row>
    <row r="13" spans="1:7" ht="15.6" x14ac:dyDescent="0.3">
      <c r="B13" s="16"/>
      <c r="C13" s="97"/>
      <c r="D13" s="103"/>
      <c r="E13" s="103"/>
      <c r="F13" s="90"/>
    </row>
    <row r="14" spans="1:7" ht="15.6" x14ac:dyDescent="0.3">
      <c r="A14" t="s">
        <v>8</v>
      </c>
      <c r="B14" s="11"/>
      <c r="C14" s="79">
        <f>SUM(C11:C13)</f>
        <v>5909</v>
      </c>
      <c r="D14" s="17"/>
      <c r="E14" s="17"/>
      <c r="F14" s="82"/>
    </row>
    <row r="15" spans="1:7" ht="15.6" x14ac:dyDescent="0.3">
      <c r="B15" s="8"/>
      <c r="C15" s="12"/>
      <c r="D15" s="13"/>
      <c r="E15" s="13"/>
      <c r="F15" s="15" t="s">
        <v>0</v>
      </c>
    </row>
    <row r="16" spans="1:7" ht="15.6" x14ac:dyDescent="0.3">
      <c r="B16" s="78"/>
      <c r="C16" s="12"/>
      <c r="D16" s="13"/>
      <c r="E16" s="13"/>
      <c r="F16" s="15" t="s">
        <v>0</v>
      </c>
    </row>
    <row r="17" spans="3:6" x14ac:dyDescent="0.3">
      <c r="C17" s="104"/>
      <c r="D17" s="104"/>
      <c r="E17" s="104"/>
      <c r="F17" s="102"/>
    </row>
    <row r="18" spans="3:6" x14ac:dyDescent="0.3">
      <c r="C18" s="107"/>
      <c r="D18" s="101"/>
      <c r="E18" s="101"/>
      <c r="F18" s="102"/>
    </row>
    <row r="19" spans="3:6" x14ac:dyDescent="0.3">
      <c r="C19" s="104"/>
      <c r="D19" s="101"/>
      <c r="E19" s="101"/>
      <c r="F19" s="102"/>
    </row>
    <row r="20" spans="3:6" x14ac:dyDescent="0.3">
      <c r="C20" s="104"/>
      <c r="D20" s="101"/>
      <c r="E20" s="101"/>
      <c r="F20" s="105"/>
    </row>
    <row r="21" spans="3:6" ht="15.6" x14ac:dyDescent="0.3">
      <c r="C21" s="12"/>
      <c r="D21" s="13"/>
      <c r="E21" s="13"/>
      <c r="F21" s="15" t="s">
        <v>0</v>
      </c>
    </row>
    <row r="22" spans="3:6" ht="15.6" x14ac:dyDescent="0.3">
      <c r="C22" s="12"/>
      <c r="D22" s="13"/>
      <c r="E22" s="13"/>
      <c r="F22" s="15" t="s">
        <v>0</v>
      </c>
    </row>
  </sheetData>
  <mergeCells count="3">
    <mergeCell ref="A1:G1"/>
    <mergeCell ref="A2:G2"/>
    <mergeCell ref="A3:G3"/>
  </mergeCells>
  <pageMargins left="0.75" right="0.75" top="1" bottom="1" header="0.5" footer="0.5"/>
  <pageSetup scale="8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opLeftCell="A31" zoomScaleNormal="100" workbookViewId="0">
      <selection activeCell="L54" sqref="L54"/>
    </sheetView>
  </sheetViews>
  <sheetFormatPr defaultColWidth="9.109375" defaultRowHeight="14.4" x14ac:dyDescent="0.3"/>
  <cols>
    <col min="1" max="10" width="9.109375" style="84"/>
    <col min="11" max="11" width="9.44140625" style="84" customWidth="1"/>
    <col min="12" max="12" width="9.5546875" style="84" bestFit="1" customWidth="1"/>
    <col min="13" max="16" width="9.109375" style="84"/>
    <col min="17" max="17" width="16" style="84" customWidth="1"/>
    <col min="18" max="18" width="9.6640625" style="84" bestFit="1" customWidth="1"/>
    <col min="19" max="19" width="9.109375" style="84"/>
    <col min="20" max="20" width="9.6640625" style="84" bestFit="1" customWidth="1"/>
    <col min="21" max="16384" width="9.109375" style="84"/>
  </cols>
  <sheetData>
    <row r="1" spans="1:18" x14ac:dyDescent="0.3">
      <c r="C1" s="84" t="s">
        <v>97</v>
      </c>
    </row>
    <row r="4" spans="1:18" x14ac:dyDescent="0.3">
      <c r="D4" s="177" t="s">
        <v>91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1:18" x14ac:dyDescent="0.3">
      <c r="F5" s="121"/>
      <c r="G5" s="121"/>
      <c r="H5" s="121"/>
      <c r="I5" s="121"/>
      <c r="J5" s="121"/>
      <c r="K5" s="121"/>
      <c r="L5" s="121"/>
      <c r="M5" s="121"/>
    </row>
    <row r="6" spans="1:18" x14ac:dyDescent="0.3">
      <c r="A6" s="155"/>
      <c r="B6" s="155"/>
      <c r="C6" s="155"/>
      <c r="D6" s="156">
        <v>43678</v>
      </c>
      <c r="E6" s="156">
        <v>43709</v>
      </c>
      <c r="F6" s="156">
        <v>43739</v>
      </c>
      <c r="G6" s="156">
        <v>43770</v>
      </c>
      <c r="H6" s="156">
        <v>43800</v>
      </c>
      <c r="I6" s="156">
        <v>43831</v>
      </c>
      <c r="J6" s="156">
        <v>43862</v>
      </c>
      <c r="K6" s="156">
        <v>43891</v>
      </c>
      <c r="L6" s="156">
        <v>43922</v>
      </c>
      <c r="M6" s="156">
        <v>43952</v>
      </c>
      <c r="N6" s="156">
        <v>43983</v>
      </c>
      <c r="O6" s="156">
        <v>44013</v>
      </c>
      <c r="P6" s="156"/>
      <c r="Q6" s="157" t="s">
        <v>32</v>
      </c>
      <c r="R6" s="158" t="s">
        <v>33</v>
      </c>
    </row>
    <row r="7" spans="1:18" x14ac:dyDescent="0.3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</row>
    <row r="8" spans="1:18" x14ac:dyDescent="0.3">
      <c r="A8" s="113" t="s">
        <v>34</v>
      </c>
      <c r="B8" s="113"/>
      <c r="C8" s="113"/>
      <c r="D8" s="112">
        <f>+'Aug 19 - Jul 20'!L11</f>
        <v>81.531569436263453</v>
      </c>
      <c r="E8" s="112">
        <f>+'Aug 19 - Jul 20'!L12</f>
        <v>81.658679645145057</v>
      </c>
      <c r="F8" s="112">
        <f>+'Aug 19 - Jul 20'!L13</f>
        <v>90.517876021740975</v>
      </c>
      <c r="G8" s="112">
        <f>+'Aug 19 - Jul 20'!L14</f>
        <v>79.463139673553897</v>
      </c>
      <c r="H8" s="112">
        <f>+'Aug 19 - Jul 20'!L15</f>
        <v>81.974529255093259</v>
      </c>
      <c r="I8" s="112">
        <f>+'Aug 19 - Jul 20'!L16</f>
        <v>96.42657482247931</v>
      </c>
      <c r="J8" s="112">
        <f>+'Aug 19 - Jul 20'!L17</f>
        <v>63.316291321079923</v>
      </c>
      <c r="K8" s="112">
        <f>+'Aug 19 - Jul 20'!L18</f>
        <v>65.380869259277929</v>
      </c>
      <c r="L8" s="112">
        <f>+'Aug 19 - Jul 20'!L19</f>
        <v>77.121230370523307</v>
      </c>
      <c r="M8" s="112">
        <f>+'Aug 19 - Jul 20'!L20</f>
        <v>71.081569536391825</v>
      </c>
      <c r="N8" s="112">
        <f>+'Aug 19 - Jul 20'!L21</f>
        <v>75.028148930939736</v>
      </c>
      <c r="O8" s="112">
        <f>+'Aug 19 - Jul 20'!L22</f>
        <v>70.064687865339081</v>
      </c>
      <c r="P8" s="112"/>
      <c r="Q8" s="112">
        <f>SUM(D8:O8)</f>
        <v>933.56516613782787</v>
      </c>
      <c r="R8" s="133">
        <f>SUM(J8:O8)</f>
        <v>421.99279728355179</v>
      </c>
    </row>
    <row r="9" spans="1:18" x14ac:dyDescent="0.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0"/>
      <c r="Q9" s="110"/>
      <c r="R9" s="111"/>
    </row>
    <row r="10" spans="1:18" x14ac:dyDescent="0.3">
      <c r="A10" s="113" t="s">
        <v>7</v>
      </c>
      <c r="B10" s="113"/>
      <c r="C10" s="113"/>
      <c r="D10" s="114">
        <f>+'Commodity Debit'!C11</f>
        <v>5141</v>
      </c>
      <c r="E10" s="114">
        <f>+D10</f>
        <v>5141</v>
      </c>
      <c r="F10" s="114">
        <f t="shared" ref="F10:O10" si="0">+E10</f>
        <v>5141</v>
      </c>
      <c r="G10" s="114">
        <f t="shared" si="0"/>
        <v>5141</v>
      </c>
      <c r="H10" s="114">
        <f t="shared" si="0"/>
        <v>5141</v>
      </c>
      <c r="I10" s="114">
        <f t="shared" si="0"/>
        <v>5141</v>
      </c>
      <c r="J10" s="114">
        <f t="shared" si="0"/>
        <v>5141</v>
      </c>
      <c r="K10" s="114">
        <f t="shared" si="0"/>
        <v>5141</v>
      </c>
      <c r="L10" s="114">
        <f t="shared" si="0"/>
        <v>5141</v>
      </c>
      <c r="M10" s="114">
        <f t="shared" si="0"/>
        <v>5141</v>
      </c>
      <c r="N10" s="114">
        <f t="shared" si="0"/>
        <v>5141</v>
      </c>
      <c r="O10" s="114">
        <f t="shared" si="0"/>
        <v>5141</v>
      </c>
      <c r="P10" s="114"/>
      <c r="Q10" s="112">
        <f>SUM(D10:O10)</f>
        <v>61692</v>
      </c>
      <c r="R10" s="115">
        <f>SUM(J10:O10)</f>
        <v>30846</v>
      </c>
    </row>
    <row r="11" spans="1:18" x14ac:dyDescent="0.3">
      <c r="A11" s="113"/>
      <c r="B11" s="113"/>
      <c r="C11" s="113"/>
      <c r="D11" s="113"/>
      <c r="E11" s="159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0"/>
      <c r="Q11" s="110"/>
      <c r="R11" s="111"/>
    </row>
    <row r="12" spans="1:18" x14ac:dyDescent="0.3">
      <c r="A12" s="113" t="s">
        <v>95</v>
      </c>
      <c r="B12" s="113"/>
      <c r="C12" s="113"/>
      <c r="D12" s="116">
        <f>D8/D10</f>
        <v>1.5859087616468284E-2</v>
      </c>
      <c r="E12" s="116">
        <f t="shared" ref="E12:I12" si="1">E8/E10</f>
        <v>1.5883812418818335E-2</v>
      </c>
      <c r="F12" s="116">
        <f t="shared" si="1"/>
        <v>1.7607056218973152E-2</v>
      </c>
      <c r="G12" s="116">
        <f t="shared" si="1"/>
        <v>1.5456747650953879E-2</v>
      </c>
      <c r="H12" s="116">
        <f t="shared" si="1"/>
        <v>1.5945249806476026E-2</v>
      </c>
      <c r="I12" s="116">
        <f t="shared" si="1"/>
        <v>1.8756384910032932E-2</v>
      </c>
      <c r="J12" s="116">
        <f t="shared" ref="J12" si="2">J8/J10</f>
        <v>1.2315948516063008E-2</v>
      </c>
      <c r="K12" s="116">
        <f>K8/K10</f>
        <v>1.2717539245142566E-2</v>
      </c>
      <c r="L12" s="116">
        <f t="shared" ref="L12:O12" si="3">L8/L10</f>
        <v>1.5001211898565125E-2</v>
      </c>
      <c r="M12" s="116">
        <f t="shared" si="3"/>
        <v>1.3826409168720449E-2</v>
      </c>
      <c r="N12" s="116">
        <f t="shared" si="3"/>
        <v>1.4594076819867678E-2</v>
      </c>
      <c r="O12" s="116">
        <f t="shared" si="3"/>
        <v>1.362861074992007E-2</v>
      </c>
      <c r="P12" s="116"/>
      <c r="Q12" s="117">
        <f>SUM(D12:O12)/12</f>
        <v>1.5132677918333457E-2</v>
      </c>
      <c r="R12" s="111"/>
    </row>
    <row r="13" spans="1:18" x14ac:dyDescent="0.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0"/>
      <c r="Q13" s="110"/>
      <c r="R13" s="111"/>
    </row>
    <row r="14" spans="1:18" x14ac:dyDescent="0.3">
      <c r="A14" s="113" t="s">
        <v>35</v>
      </c>
      <c r="B14" s="113"/>
      <c r="C14" s="113"/>
      <c r="D14" s="112">
        <f>+'Aug 19 - Jul 20'!F11</f>
        <v>-112.26078329475128</v>
      </c>
      <c r="E14" s="112">
        <f>+'Aug 19 - Jul 20'!F12</f>
        <v>-97.643301886792457</v>
      </c>
      <c r="F14" s="112">
        <f>+'Aug 19 - Jul 20'!F13</f>
        <v>-37.005872340425526</v>
      </c>
      <c r="G14" s="112">
        <f>+'Aug 19 - Jul 20'!F14</f>
        <v>-243.07639360155113</v>
      </c>
      <c r="H14" s="112">
        <f>+'Aug 19 - Jul 20'!F15</f>
        <v>-82.872474391504554</v>
      </c>
      <c r="I14" s="112">
        <f>+'Aug 19 - Jul 20'!F16</f>
        <v>-124.95022769034114</v>
      </c>
      <c r="J14" s="112">
        <f>+'Aug 19 - Jul 20'!F17</f>
        <v>-212.38520501277526</v>
      </c>
      <c r="K14" s="112">
        <f>+'Aug 19 - Jul 20'!F18</f>
        <v>-105.05408271474019</v>
      </c>
      <c r="L14" s="112">
        <f>+'Aug 19 - Jul 20'!F19</f>
        <v>-107.95724702826891</v>
      </c>
      <c r="M14" s="112">
        <f>+'Aug 19 - Jul 20'!F20</f>
        <v>-132.2668256204617</v>
      </c>
      <c r="N14" s="112">
        <f>+'Aug 19 - Jul 20'!F21</f>
        <v>-115.43653034612343</v>
      </c>
      <c r="O14" s="112">
        <f>+'Aug 19 - Jul 20'!F22</f>
        <v>-117.19912039582188</v>
      </c>
      <c r="P14" s="112"/>
      <c r="Q14" s="110"/>
      <c r="R14" s="111"/>
    </row>
    <row r="15" spans="1:18" x14ac:dyDescent="0.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2"/>
      <c r="Q15" s="110"/>
      <c r="R15" s="111"/>
    </row>
    <row r="16" spans="1:18" x14ac:dyDescent="0.3">
      <c r="A16" s="113" t="s">
        <v>36</v>
      </c>
      <c r="B16" s="113"/>
      <c r="C16" s="113"/>
      <c r="D16" s="112">
        <f>D12*D14</f>
        <v>-1.7803535981648195</v>
      </c>
      <c r="E16" s="112">
        <f t="shared" ref="E16:I16" si="4">E12*E14</f>
        <v>-1.5509478911238617</v>
      </c>
      <c r="F16" s="112">
        <f t="shared" si="4"/>
        <v>-0.65156447473001577</v>
      </c>
      <c r="G16" s="112">
        <f t="shared" si="4"/>
        <v>-3.7571704758031159</v>
      </c>
      <c r="H16" s="112">
        <f t="shared" si="4"/>
        <v>-1.3214223062533275</v>
      </c>
      <c r="I16" s="112">
        <f t="shared" si="4"/>
        <v>-2.3436145651562934</v>
      </c>
      <c r="J16" s="112">
        <f>J12*J14</f>
        <v>-2.6157252505108275</v>
      </c>
      <c r="K16" s="112">
        <f>K12*K14</f>
        <v>-1.3360294197871616</v>
      </c>
      <c r="L16" s="112">
        <f t="shared" ref="L16:O16" si="5">L12*L14</f>
        <v>-1.619489538656802</v>
      </c>
      <c r="M16" s="112">
        <f t="shared" si="5"/>
        <v>-1.8287752504763004</v>
      </c>
      <c r="N16" s="112">
        <f t="shared" si="5"/>
        <v>-1.6846895916903117</v>
      </c>
      <c r="O16" s="112">
        <f t="shared" si="5"/>
        <v>-1.5972611921076745</v>
      </c>
      <c r="P16" s="112"/>
      <c r="Q16" s="110"/>
      <c r="R16" s="111"/>
    </row>
    <row r="17" spans="1:20" x14ac:dyDescent="0.3">
      <c r="A17" s="113" t="s">
        <v>37</v>
      </c>
      <c r="B17" s="113"/>
      <c r="C17" s="113"/>
      <c r="D17" s="112">
        <v>-1.47</v>
      </c>
      <c r="E17" s="112">
        <v>-1.47</v>
      </c>
      <c r="F17" s="112">
        <v>-1.68</v>
      </c>
      <c r="G17" s="112">
        <v>-1.68</v>
      </c>
      <c r="H17" s="112">
        <v>-1.68</v>
      </c>
      <c r="I17" s="112">
        <v>-1.68</v>
      </c>
      <c r="J17" s="112">
        <v>-1.68</v>
      </c>
      <c r="K17" s="112">
        <v>-1.68</v>
      </c>
      <c r="L17" s="112">
        <v>-1.9</v>
      </c>
      <c r="M17" s="112">
        <v>-1.9</v>
      </c>
      <c r="N17" s="112">
        <v>-1.9</v>
      </c>
      <c r="O17" s="112">
        <v>-1.9</v>
      </c>
      <c r="P17" s="112"/>
      <c r="Q17" s="110"/>
      <c r="R17" s="111"/>
    </row>
    <row r="18" spans="1:20" x14ac:dyDescent="0.3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2"/>
      <c r="Q18" s="110"/>
      <c r="R18" s="111"/>
    </row>
    <row r="19" spans="1:20" x14ac:dyDescent="0.3">
      <c r="A19" s="113" t="s">
        <v>38</v>
      </c>
      <c r="B19" s="113"/>
      <c r="C19" s="113"/>
      <c r="D19" s="118">
        <f>+D17*D10</f>
        <v>-7557.2699999999995</v>
      </c>
      <c r="E19" s="118">
        <f t="shared" ref="E19" si="6">+E17*E10</f>
        <v>-7557.2699999999995</v>
      </c>
      <c r="F19" s="118">
        <f t="shared" ref="F19:O19" si="7">+F17*F10</f>
        <v>-8636.8799999999992</v>
      </c>
      <c r="G19" s="118">
        <f>+G17*G10</f>
        <v>-8636.8799999999992</v>
      </c>
      <c r="H19" s="118">
        <f t="shared" si="7"/>
        <v>-8636.8799999999992</v>
      </c>
      <c r="I19" s="118">
        <f t="shared" si="7"/>
        <v>-8636.8799999999992</v>
      </c>
      <c r="J19" s="118">
        <f>+J17*J10</f>
        <v>-8636.8799999999992</v>
      </c>
      <c r="K19" s="118">
        <f>+K17*K10</f>
        <v>-8636.8799999999992</v>
      </c>
      <c r="L19" s="118">
        <f>+L17*L10</f>
        <v>-9767.9</v>
      </c>
      <c r="M19" s="118">
        <f t="shared" si="7"/>
        <v>-9767.9</v>
      </c>
      <c r="N19" s="118">
        <f t="shared" si="7"/>
        <v>-9767.9</v>
      </c>
      <c r="O19" s="118">
        <f t="shared" si="7"/>
        <v>-9767.9</v>
      </c>
      <c r="P19" s="118"/>
      <c r="Q19" s="119">
        <f>SUM(D19:O19)</f>
        <v>-106007.41999999997</v>
      </c>
      <c r="R19" s="120">
        <f>SUM(J19:O19)</f>
        <v>-56345.36</v>
      </c>
      <c r="S19" s="128"/>
    </row>
    <row r="20" spans="1:20" x14ac:dyDescent="0.3">
      <c r="A20" s="113" t="s">
        <v>39</v>
      </c>
      <c r="B20" s="113"/>
      <c r="C20" s="113"/>
      <c r="D20" s="118">
        <f>+'Aug 19 - Jul 20'!H11</f>
        <v>-9152.797848165339</v>
      </c>
      <c r="E20" s="118">
        <f>+'Aug 19 - Jul 20'!H12</f>
        <v>-7973.4231082677725</v>
      </c>
      <c r="F20" s="118">
        <f>+'Aug 19 - Jul 20'!H13</f>
        <v>-3349.6929645870118</v>
      </c>
      <c r="G20" s="118">
        <f>+'Aug 19 - Jul 20'!H14</f>
        <v>-19315.613416103821</v>
      </c>
      <c r="H20" s="118">
        <f>+'Aug 19 - Jul 20'!H15</f>
        <v>-6793.4320764483564</v>
      </c>
      <c r="I20" s="118">
        <f>+'Aug 19 - Jul 20'!H16</f>
        <v>-12048.522479468505</v>
      </c>
      <c r="J20" s="118">
        <f>+'Aug 19 - Jul 20'!H17</f>
        <v>-13447.443512876162</v>
      </c>
      <c r="K20" s="118">
        <f>+'Aug 19 - Jul 20'!H18</f>
        <v>-6868.5272471257986</v>
      </c>
      <c r="L20" s="118">
        <f>+'Aug 19 - Jul 20'!H19</f>
        <v>-8325.7957182346199</v>
      </c>
      <c r="M20" s="118">
        <f>+'Aug 19 - Jul 20'!H20</f>
        <v>-9401.7335626986605</v>
      </c>
      <c r="N20" s="118">
        <f>+'Aug 19 - Jul 20'!H21</f>
        <v>-8660.9891908798927</v>
      </c>
      <c r="O20" s="118">
        <f>+'Aug 19 - Jul 20'!H22</f>
        <v>-8211.5197886255555</v>
      </c>
      <c r="P20" s="118"/>
      <c r="Q20" s="119">
        <f>SUM(D20:O20)</f>
        <v>-113549.49091348148</v>
      </c>
      <c r="R20" s="120">
        <f>SUM(J20:O20)</f>
        <v>-54916.009020440695</v>
      </c>
      <c r="T20" s="128"/>
    </row>
    <row r="21" spans="1:20" x14ac:dyDescent="0.3">
      <c r="A21" s="113" t="s">
        <v>40</v>
      </c>
      <c r="B21" s="113"/>
      <c r="C21" s="113"/>
      <c r="D21" s="118">
        <f>+D19-D20</f>
        <v>1595.5278481653395</v>
      </c>
      <c r="E21" s="118">
        <f t="shared" ref="E21:I21" si="8">+E19-E20</f>
        <v>416.15310826777295</v>
      </c>
      <c r="F21" s="118">
        <f t="shared" si="8"/>
        <v>-5287.1870354129878</v>
      </c>
      <c r="G21" s="118">
        <f t="shared" si="8"/>
        <v>10678.733416103822</v>
      </c>
      <c r="H21" s="118">
        <f t="shared" si="8"/>
        <v>-1843.4479235516428</v>
      </c>
      <c r="I21" s="118">
        <f t="shared" si="8"/>
        <v>3411.6424794685063</v>
      </c>
      <c r="J21" s="118">
        <f t="shared" ref="J21" si="9">+J19-J20</f>
        <v>4810.5635128761623</v>
      </c>
      <c r="K21" s="118">
        <f t="shared" ref="K21" si="10">+K19-K20</f>
        <v>-1768.3527528742006</v>
      </c>
      <c r="L21" s="118">
        <f t="shared" ref="L21:O21" si="11">+L19-L20</f>
        <v>-1442.1042817653797</v>
      </c>
      <c r="M21" s="118">
        <f t="shared" si="11"/>
        <v>-366.1664373013391</v>
      </c>
      <c r="N21" s="118">
        <f t="shared" si="11"/>
        <v>-1106.9108091201069</v>
      </c>
      <c r="O21" s="118">
        <f t="shared" si="11"/>
        <v>-1556.3802113744441</v>
      </c>
      <c r="P21" s="118"/>
      <c r="Q21" s="119">
        <f>SUM(D21:O21)</f>
        <v>7542.0709134815024</v>
      </c>
      <c r="R21" s="120">
        <f>+R19-R20</f>
        <v>-1429.3509795593054</v>
      </c>
      <c r="T21" s="119"/>
    </row>
    <row r="22" spans="1:20" x14ac:dyDescent="0.3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8"/>
      <c r="Q22" s="110"/>
      <c r="R22" s="120"/>
      <c r="T22" s="128"/>
    </row>
    <row r="23" spans="1:20" x14ac:dyDescent="0.3">
      <c r="A23" s="113" t="s">
        <v>41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2"/>
      <c r="Q23" s="112">
        <f>+Q20/Q10</f>
        <v>-1.8405869628717091</v>
      </c>
      <c r="R23" s="112"/>
    </row>
    <row r="24" spans="1:20" x14ac:dyDescent="0.3">
      <c r="A24" s="113" t="s">
        <v>42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2"/>
      <c r="Q24" s="112"/>
      <c r="R24" s="112">
        <f>-R21/12/O10</f>
        <v>2.3169146397576758E-2</v>
      </c>
    </row>
    <row r="25" spans="1:20" x14ac:dyDescent="0.3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8"/>
      <c r="Q25" s="110"/>
      <c r="R25" s="160"/>
    </row>
    <row r="26" spans="1:20" x14ac:dyDescent="0.3">
      <c r="A26" s="113" t="s">
        <v>43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0"/>
      <c r="Q26" s="161">
        <f>+Q23+R24</f>
        <v>-1.8174178164741324</v>
      </c>
      <c r="R26" s="162"/>
    </row>
    <row r="27" spans="1:20" x14ac:dyDescent="0.3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1"/>
    </row>
    <row r="28" spans="1:20" x14ac:dyDescent="0.3">
      <c r="A28" s="163" t="s">
        <v>44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10"/>
      <c r="Q28" s="161">
        <v>-2.19</v>
      </c>
      <c r="R28" s="111"/>
    </row>
    <row r="29" spans="1:20" x14ac:dyDescent="0.3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1"/>
    </row>
    <row r="30" spans="1:20" x14ac:dyDescent="0.3">
      <c r="A30" s="163" t="s">
        <v>45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10"/>
      <c r="Q30" s="129"/>
      <c r="R30" s="111"/>
    </row>
    <row r="31" spans="1:20" x14ac:dyDescent="0.3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</row>
    <row r="32" spans="1:20" x14ac:dyDescent="0.3">
      <c r="D32" s="177" t="s">
        <v>96</v>
      </c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</row>
    <row r="33" spans="1:20" x14ac:dyDescent="0.3">
      <c r="F33" s="121"/>
      <c r="G33" s="121"/>
      <c r="H33" s="121"/>
      <c r="I33" s="121"/>
      <c r="J33" s="121"/>
      <c r="K33" s="121"/>
      <c r="L33" s="121"/>
      <c r="M33" s="121"/>
    </row>
    <row r="34" spans="1:20" x14ac:dyDescent="0.3">
      <c r="A34" s="155"/>
      <c r="B34" s="155"/>
      <c r="C34" s="155"/>
      <c r="D34" s="156">
        <v>43678</v>
      </c>
      <c r="E34" s="156">
        <v>43709</v>
      </c>
      <c r="F34" s="156">
        <v>43739</v>
      </c>
      <c r="G34" s="156">
        <v>43770</v>
      </c>
      <c r="H34" s="156">
        <v>43800</v>
      </c>
      <c r="I34" s="156">
        <v>43831</v>
      </c>
      <c r="J34" s="156">
        <v>43862</v>
      </c>
      <c r="K34" s="156">
        <v>43891</v>
      </c>
      <c r="L34" s="156">
        <v>43922</v>
      </c>
      <c r="M34" s="156">
        <v>43952</v>
      </c>
      <c r="N34" s="156">
        <v>43983</v>
      </c>
      <c r="O34" s="156">
        <v>44013</v>
      </c>
      <c r="P34" s="156"/>
      <c r="Q34" s="157" t="s">
        <v>32</v>
      </c>
      <c r="R34" s="158" t="s">
        <v>33</v>
      </c>
    </row>
    <row r="35" spans="1:20" x14ac:dyDescent="0.3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1"/>
    </row>
    <row r="36" spans="1:20" x14ac:dyDescent="0.3">
      <c r="A36" s="113" t="s">
        <v>34</v>
      </c>
      <c r="B36" s="113"/>
      <c r="C36" s="113"/>
      <c r="D36" s="112">
        <f>+'Aug 19 - Jul 20'!M11</f>
        <v>24.303430563736541</v>
      </c>
      <c r="E36" s="112">
        <f>+'Aug 19 - Jul 20'!M12</f>
        <v>24.341320354854947</v>
      </c>
      <c r="F36" s="112">
        <f>+'Aug 19 - Jul 20'!M13</f>
        <v>26.982123978259022</v>
      </c>
      <c r="G36" s="112">
        <f>+'Aug 19 - Jul 20'!M14</f>
        <v>23.686860326446112</v>
      </c>
      <c r="H36" s="112">
        <f>+'Aug 19 - Jul 20'!M15</f>
        <v>24.435470744906745</v>
      </c>
      <c r="I36" s="112">
        <f>+'Aug 19 - Jul 20'!M16</f>
        <v>28.743425177520695</v>
      </c>
      <c r="J36" s="112">
        <f>+'Aug 19 - Jul 20'!M17</f>
        <v>18.873708678920078</v>
      </c>
      <c r="K36" s="112">
        <f>+'Aug 19 - Jul 20'!M18</f>
        <v>19.489130740722072</v>
      </c>
      <c r="L36" s="112">
        <f>+'Aug 19 - Jul 20'!M19</f>
        <v>22.988769629476685</v>
      </c>
      <c r="M36" s="112">
        <f>+'Aug 19 - Jul 20'!M20</f>
        <v>21.188430463608171</v>
      </c>
      <c r="N36" s="112">
        <f>+'Aug 19 - Jul 20'!M21</f>
        <v>22.364851069060265</v>
      </c>
      <c r="O36" s="112">
        <f>+'Aug 19 - Jul 20'!M22</f>
        <v>20.885312134660921</v>
      </c>
      <c r="P36" s="112"/>
      <c r="Q36" s="112">
        <f>SUM(D36:O36)</f>
        <v>278.28283386217225</v>
      </c>
      <c r="R36" s="133">
        <f>SUM(J36:O36)</f>
        <v>125.79020271644819</v>
      </c>
    </row>
    <row r="37" spans="1:20" x14ac:dyDescent="0.3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0"/>
      <c r="Q37" s="110"/>
      <c r="R37" s="111"/>
    </row>
    <row r="38" spans="1:20" x14ac:dyDescent="0.3">
      <c r="A38" s="113" t="s">
        <v>68</v>
      </c>
      <c r="B38" s="113"/>
      <c r="C38" s="113"/>
      <c r="D38" s="114">
        <f>+'Commodity Debit'!C12</f>
        <v>768</v>
      </c>
      <c r="E38" s="114">
        <f t="shared" ref="E38:O38" si="12">+D38</f>
        <v>768</v>
      </c>
      <c r="F38" s="114">
        <f t="shared" si="12"/>
        <v>768</v>
      </c>
      <c r="G38" s="114">
        <f t="shared" si="12"/>
        <v>768</v>
      </c>
      <c r="H38" s="114">
        <f t="shared" si="12"/>
        <v>768</v>
      </c>
      <c r="I38" s="114">
        <f t="shared" si="12"/>
        <v>768</v>
      </c>
      <c r="J38" s="114">
        <f t="shared" si="12"/>
        <v>768</v>
      </c>
      <c r="K38" s="114">
        <f t="shared" si="12"/>
        <v>768</v>
      </c>
      <c r="L38" s="114">
        <f>+'Commodity Debit'!D12</f>
        <v>3325.44</v>
      </c>
      <c r="M38" s="114">
        <f t="shared" si="12"/>
        <v>3325.44</v>
      </c>
      <c r="N38" s="114">
        <f t="shared" si="12"/>
        <v>3325.44</v>
      </c>
      <c r="O38" s="114">
        <f t="shared" si="12"/>
        <v>3325.44</v>
      </c>
      <c r="P38" s="114"/>
      <c r="Q38" s="112">
        <f>SUM(D38:O38)</f>
        <v>19445.760000000002</v>
      </c>
      <c r="R38" s="115">
        <f>SUM(J38:O38)</f>
        <v>14837.760000000002</v>
      </c>
    </row>
    <row r="39" spans="1:20" x14ac:dyDescent="0.3">
      <c r="A39" s="113"/>
      <c r="B39" s="113"/>
      <c r="C39" s="113"/>
      <c r="D39" s="113"/>
      <c r="E39" s="159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0"/>
      <c r="Q39" s="110"/>
      <c r="R39" s="111"/>
    </row>
    <row r="40" spans="1:20" x14ac:dyDescent="0.3">
      <c r="A40" s="113" t="s">
        <v>81</v>
      </c>
      <c r="B40" s="113"/>
      <c r="C40" s="113"/>
      <c r="D40" s="116">
        <f>D36/D38</f>
        <v>3.1645091879865285E-2</v>
      </c>
      <c r="E40" s="116">
        <f t="shared" ref="E40:J40" si="13">E36/E38</f>
        <v>3.1694427545384048E-2</v>
      </c>
      <c r="F40" s="116">
        <f t="shared" si="13"/>
        <v>3.513297393002477E-2</v>
      </c>
      <c r="G40" s="116">
        <f t="shared" si="13"/>
        <v>3.0842266050060043E-2</v>
      </c>
      <c r="H40" s="116">
        <f t="shared" si="13"/>
        <v>3.1817019199097324E-2</v>
      </c>
      <c r="I40" s="116">
        <f t="shared" si="13"/>
        <v>3.7426334866563403E-2</v>
      </c>
      <c r="J40" s="116">
        <f t="shared" si="13"/>
        <v>2.4575141509010519E-2</v>
      </c>
      <c r="K40" s="116">
        <f>K36/K38</f>
        <v>2.5376472318648532E-2</v>
      </c>
      <c r="L40" s="116">
        <f t="shared" ref="L40:O40" si="14">L36/L38</f>
        <v>6.9130008749148037E-3</v>
      </c>
      <c r="M40" s="116">
        <f t="shared" si="14"/>
        <v>6.3716171284426033E-3</v>
      </c>
      <c r="N40" s="116">
        <f t="shared" si="14"/>
        <v>6.7253810229804967E-3</v>
      </c>
      <c r="O40" s="116">
        <f t="shared" si="14"/>
        <v>6.2804657833733044E-3</v>
      </c>
      <c r="P40" s="116"/>
      <c r="Q40" s="117">
        <f>SUM(D40:O40)/12</f>
        <v>2.2900016009030428E-2</v>
      </c>
      <c r="R40" s="111"/>
    </row>
    <row r="41" spans="1:20" x14ac:dyDescent="0.3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0"/>
      <c r="Q41" s="110"/>
      <c r="R41" s="111"/>
    </row>
    <row r="42" spans="1:20" x14ac:dyDescent="0.3">
      <c r="A42" s="113" t="s">
        <v>35</v>
      </c>
      <c r="B42" s="113"/>
      <c r="C42" s="113"/>
      <c r="D42" s="112">
        <f>+'Aug 19 - Jul 20'!F11</f>
        <v>-112.26078329475128</v>
      </c>
      <c r="E42" s="112">
        <f>+'Aug 19 - Jul 20'!F12</f>
        <v>-97.643301886792457</v>
      </c>
      <c r="F42" s="112">
        <f>+'Aug 19 - Jul 20'!F13</f>
        <v>-37.005872340425526</v>
      </c>
      <c r="G42" s="112">
        <f>+'Aug 19 - Jul 20'!F14</f>
        <v>-243.07639360155113</v>
      </c>
      <c r="H42" s="112">
        <f>+'Aug 19 - Jul 20'!F15</f>
        <v>-82.872474391504554</v>
      </c>
      <c r="I42" s="112">
        <f>+'Aug 19 - Jul 20'!F16</f>
        <v>-124.95022769034114</v>
      </c>
      <c r="J42" s="112">
        <f>+'Aug 19 - Jul 20'!F17</f>
        <v>-212.38520501277526</v>
      </c>
      <c r="K42" s="112">
        <f>+'Aug 19 - Jul 20'!F18</f>
        <v>-105.05408271474019</v>
      </c>
      <c r="L42" s="112">
        <f>+'Aug 19 - Jul 20'!F19</f>
        <v>-107.95724702826891</v>
      </c>
      <c r="M42" s="112">
        <f>+'Aug 19 - Jul 20'!F20</f>
        <v>-132.2668256204617</v>
      </c>
      <c r="N42" s="112">
        <f>+'Aug 19 - Jul 20'!F21</f>
        <v>-115.43653034612343</v>
      </c>
      <c r="O42" s="112">
        <f>+'Aug 19 - Jul 20'!F22</f>
        <v>-117.19912039582188</v>
      </c>
      <c r="P42" s="112"/>
      <c r="Q42" s="110"/>
      <c r="R42" s="111"/>
    </row>
    <row r="43" spans="1:20" x14ac:dyDescent="0.3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2"/>
      <c r="Q43" s="110"/>
      <c r="R43" s="111"/>
    </row>
    <row r="44" spans="1:20" x14ac:dyDescent="0.3">
      <c r="A44" s="113" t="s">
        <v>36</v>
      </c>
      <c r="B44" s="113"/>
      <c r="C44" s="113"/>
      <c r="D44" s="112">
        <f>D40*D42</f>
        <v>-3.5525028018680502</v>
      </c>
      <c r="E44" s="112">
        <f t="shared" ref="E44:I44" si="15">E40*E42</f>
        <v>-3.0947485569430051</v>
      </c>
      <c r="F44" s="112">
        <f t="shared" si="15"/>
        <v>-1.3001263481939946</v>
      </c>
      <c r="G44" s="112">
        <f t="shared" si="15"/>
        <v>-7.4970268019481532</v>
      </c>
      <c r="H44" s="112">
        <f t="shared" si="15"/>
        <v>-2.6367551087912018</v>
      </c>
      <c r="I44" s="112">
        <f t="shared" si="15"/>
        <v>-4.6764290631920504</v>
      </c>
      <c r="J44" s="112">
        <f>J40*J42</f>
        <v>-5.2193964676091626</v>
      </c>
      <c r="K44" s="112">
        <f>K40*K42</f>
        <v>-2.6659020219716179</v>
      </c>
      <c r="L44" s="112">
        <f t="shared" ref="L44:O44" si="16">L40*L42</f>
        <v>-0.74630854315981654</v>
      </c>
      <c r="M44" s="112">
        <f t="shared" si="16"/>
        <v>-0.84275357164806475</v>
      </c>
      <c r="N44" s="112">
        <f t="shared" si="16"/>
        <v>-0.77635465054853081</v>
      </c>
      <c r="O44" s="112">
        <f t="shared" si="16"/>
        <v>-0.73606506548740769</v>
      </c>
      <c r="P44" s="112"/>
      <c r="Q44" s="110"/>
      <c r="R44" s="111"/>
    </row>
    <row r="45" spans="1:20" x14ac:dyDescent="0.3">
      <c r="A45" s="113" t="s">
        <v>37</v>
      </c>
      <c r="B45" s="113"/>
      <c r="C45" s="113"/>
      <c r="D45" s="112">
        <f>+Analysis!J11</f>
        <v>-1.47</v>
      </c>
      <c r="E45" s="112">
        <f>+D45</f>
        <v>-1.47</v>
      </c>
      <c r="F45" s="112">
        <f>+Analysis!J12</f>
        <v>-1.68</v>
      </c>
      <c r="G45" s="112">
        <f>+F45</f>
        <v>-1.68</v>
      </c>
      <c r="H45" s="112">
        <f>+G45</f>
        <v>-1.68</v>
      </c>
      <c r="I45" s="112">
        <f>+H45</f>
        <v>-1.68</v>
      </c>
      <c r="J45" s="112">
        <f>+I45</f>
        <v>-1.68</v>
      </c>
      <c r="K45" s="112">
        <f>+J45</f>
        <v>-1.68</v>
      </c>
      <c r="L45" s="112">
        <v>-0.88</v>
      </c>
      <c r="M45" s="112">
        <v>-0.88</v>
      </c>
      <c r="N45" s="112">
        <v>-0.88</v>
      </c>
      <c r="O45" s="112">
        <v>-0.88</v>
      </c>
      <c r="P45" s="112"/>
      <c r="Q45" s="110"/>
      <c r="R45" s="111"/>
    </row>
    <row r="46" spans="1:20" x14ac:dyDescent="0.3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2"/>
      <c r="Q46" s="110"/>
      <c r="R46" s="111"/>
    </row>
    <row r="47" spans="1:20" x14ac:dyDescent="0.3">
      <c r="A47" s="113" t="s">
        <v>38</v>
      </c>
      <c r="B47" s="113"/>
      <c r="C47" s="113"/>
      <c r="D47" s="118">
        <f>+D45*D38</f>
        <v>-1128.96</v>
      </c>
      <c r="E47" s="118">
        <f t="shared" ref="E47:O47" si="17">+E45*E38</f>
        <v>-1128.96</v>
      </c>
      <c r="F47" s="118">
        <f t="shared" si="17"/>
        <v>-1290.24</v>
      </c>
      <c r="G47" s="118">
        <f t="shared" si="17"/>
        <v>-1290.24</v>
      </c>
      <c r="H47" s="118">
        <f t="shared" si="17"/>
        <v>-1290.24</v>
      </c>
      <c r="I47" s="118">
        <f t="shared" si="17"/>
        <v>-1290.24</v>
      </c>
      <c r="J47" s="118">
        <f t="shared" si="17"/>
        <v>-1290.24</v>
      </c>
      <c r="K47" s="118">
        <f t="shared" si="17"/>
        <v>-1290.24</v>
      </c>
      <c r="L47" s="118">
        <f t="shared" si="17"/>
        <v>-2926.3872000000001</v>
      </c>
      <c r="M47" s="118">
        <f t="shared" si="17"/>
        <v>-2926.3872000000001</v>
      </c>
      <c r="N47" s="118">
        <f t="shared" si="17"/>
        <v>-2926.3872000000001</v>
      </c>
      <c r="O47" s="118">
        <f t="shared" si="17"/>
        <v>-2926.3872000000001</v>
      </c>
      <c r="P47" s="118"/>
      <c r="Q47" s="119">
        <f>SUM(D47:O47)</f>
        <v>-21704.908800000001</v>
      </c>
      <c r="R47" s="120">
        <f>SUM(J47:O47)</f>
        <v>-14286.028800000004</v>
      </c>
      <c r="S47" s="128"/>
    </row>
    <row r="48" spans="1:20" x14ac:dyDescent="0.3">
      <c r="A48" s="113" t="s">
        <v>39</v>
      </c>
      <c r="B48" s="113"/>
      <c r="C48" s="113"/>
      <c r="D48" s="118">
        <f>+'Aug 19 - Jul 20'!I11</f>
        <v>-2728.3221518346627</v>
      </c>
      <c r="E48" s="118">
        <f>+'Aug 19 - Jul 20'!I12</f>
        <v>-2376.7668917322276</v>
      </c>
      <c r="F48" s="118">
        <f>+'Aug 19 - Jul 20'!I13</f>
        <v>-998.497035412988</v>
      </c>
      <c r="G48" s="118">
        <f>+'Aug 19 - Jul 20'!I14</f>
        <v>-5757.7165838961819</v>
      </c>
      <c r="H48" s="118">
        <f>+'Aug 19 - Jul 20'!I15</f>
        <v>-2025.027923551643</v>
      </c>
      <c r="I48" s="118">
        <f>+'Aug 19 - Jul 20'!I16</f>
        <v>-3591.4975205314954</v>
      </c>
      <c r="J48" s="118">
        <f>+'Aug 19 - Jul 20'!I17</f>
        <v>-4008.4964871238362</v>
      </c>
      <c r="K48" s="118">
        <f>+'Aug 19 - Jul 20'!I18</f>
        <v>-2047.4127528742022</v>
      </c>
      <c r="L48" s="118">
        <f>+'Aug 19 - Jul 20'!I19</f>
        <v>-2481.8042817653804</v>
      </c>
      <c r="M48" s="118">
        <f>+'Aug 19 - Jul 20'!I20</f>
        <v>-2802.5264373013401</v>
      </c>
      <c r="N48" s="118">
        <f>+'Aug 19 - Jul 20'!I21</f>
        <v>-2581.720809120106</v>
      </c>
      <c r="O48" s="118">
        <f>+'Aug 19 - Jul 20'!I22</f>
        <v>-2447.7402113744447</v>
      </c>
      <c r="P48" s="118"/>
      <c r="Q48" s="119">
        <f>SUM(D48:O48)</f>
        <v>-33847.529086518509</v>
      </c>
      <c r="R48" s="120">
        <f>SUM(J48:O48)</f>
        <v>-16369.700979559309</v>
      </c>
      <c r="T48" s="128"/>
    </row>
    <row r="49" spans="1:20" x14ac:dyDescent="0.3">
      <c r="A49" s="113" t="s">
        <v>40</v>
      </c>
      <c r="B49" s="113"/>
      <c r="C49" s="113"/>
      <c r="D49" s="118">
        <f>+D47-D48</f>
        <v>1599.3621518346627</v>
      </c>
      <c r="E49" s="118">
        <f t="shared" ref="E49:O49" si="18">+E47-E48</f>
        <v>1247.8068917322275</v>
      </c>
      <c r="F49" s="118">
        <f t="shared" si="18"/>
        <v>-291.74296458701201</v>
      </c>
      <c r="G49" s="118">
        <f t="shared" si="18"/>
        <v>4467.4765838961821</v>
      </c>
      <c r="H49" s="118">
        <f t="shared" si="18"/>
        <v>734.78792355164296</v>
      </c>
      <c r="I49" s="118">
        <f t="shared" si="18"/>
        <v>2301.2575205314952</v>
      </c>
      <c r="J49" s="118">
        <f t="shared" si="18"/>
        <v>2718.2564871238365</v>
      </c>
      <c r="K49" s="118">
        <f t="shared" si="18"/>
        <v>757.17275287420216</v>
      </c>
      <c r="L49" s="118">
        <f t="shared" si="18"/>
        <v>-444.58291823461968</v>
      </c>
      <c r="M49" s="118">
        <f t="shared" si="18"/>
        <v>-123.86076269865998</v>
      </c>
      <c r="N49" s="118">
        <f t="shared" si="18"/>
        <v>-344.66639087989415</v>
      </c>
      <c r="O49" s="118">
        <f t="shared" si="18"/>
        <v>-478.64698862555542</v>
      </c>
      <c r="P49" s="118"/>
      <c r="Q49" s="119">
        <f>SUM(D49:O49)</f>
        <v>12142.620286518508</v>
      </c>
      <c r="R49" s="120">
        <f>SUM(J49:O49)</f>
        <v>2083.6721795593094</v>
      </c>
      <c r="T49" s="119"/>
    </row>
    <row r="50" spans="1:20" x14ac:dyDescent="0.3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8"/>
      <c r="Q50" s="110"/>
      <c r="R50" s="120"/>
      <c r="T50" s="128"/>
    </row>
    <row r="51" spans="1:20" x14ac:dyDescent="0.3">
      <c r="A51" s="113" t="s">
        <v>41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2"/>
      <c r="Q51" s="112">
        <f>+Q48/'Commodity Debit'!E12</f>
        <v>-0.84819675708373699</v>
      </c>
      <c r="R51" s="111"/>
    </row>
    <row r="52" spans="1:20" x14ac:dyDescent="0.3">
      <c r="A52" s="113" t="s">
        <v>42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2"/>
      <c r="Q52" s="112">
        <f>+R49/12/O38</f>
        <v>5.2215450676183939E-2</v>
      </c>
      <c r="R52" s="160"/>
    </row>
    <row r="53" spans="1:20" x14ac:dyDescent="0.3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8"/>
      <c r="Q53" s="110"/>
      <c r="R53" s="160"/>
    </row>
    <row r="54" spans="1:20" x14ac:dyDescent="0.3">
      <c r="A54" s="113" t="s">
        <v>43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0"/>
      <c r="Q54" s="161">
        <f>+Q51-Q52</f>
        <v>-0.90041220775992092</v>
      </c>
      <c r="R54" s="160"/>
    </row>
    <row r="55" spans="1:20" x14ac:dyDescent="0.3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1"/>
    </row>
    <row r="56" spans="1:20" x14ac:dyDescent="0.3">
      <c r="A56" s="163" t="s">
        <v>44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10"/>
      <c r="Q56" s="161">
        <v>-1.38</v>
      </c>
      <c r="R56" s="111"/>
    </row>
    <row r="57" spans="1:20" x14ac:dyDescent="0.3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1"/>
    </row>
    <row r="58" spans="1:20" x14ac:dyDescent="0.3">
      <c r="A58" s="163" t="s">
        <v>45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10"/>
      <c r="Q58" s="129"/>
      <c r="R58" s="111"/>
    </row>
    <row r="59" spans="1:20" x14ac:dyDescent="0.3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1"/>
    </row>
    <row r="60" spans="1:20" x14ac:dyDescent="0.3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10"/>
      <c r="Q60" s="129"/>
      <c r="R60" s="111"/>
    </row>
    <row r="61" spans="1:20" x14ac:dyDescent="0.3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</row>
  </sheetData>
  <mergeCells count="2">
    <mergeCell ref="D4:O4"/>
    <mergeCell ref="D32:O32"/>
  </mergeCells>
  <pageMargins left="0.7" right="0.7" top="0.75" bottom="0.75" header="0.3" footer="0.3"/>
  <pageSetup scale="52" fitToHeight="0" orientation="portrait" r:id="rId1"/>
  <colBreaks count="1" manualBreakCount="1">
    <brk id="18" max="5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2020-08-26T07:00:00+00:00</OpenedDate>
    <SignificantOrder xmlns="dc463f71-b30c-4ab2-9473-d307f9d35888">false</SignificantOrder>
    <Date1 xmlns="dc463f71-b30c-4ab2-9473-d307f9d35888">2020-08-26T07:00:00+00:00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Pullman Disposal Service, Inc</CaseCompanyNames>
    <Nickname xmlns="http://schemas.microsoft.com/sharepoint/v3" xsi:nil="true"/>
    <DocketNumber xmlns="dc463f71-b30c-4ab2-9473-d307f9d35888">200772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D573CD9F7258F4F82534A1465755EEB" ma:contentTypeVersion="44" ma:contentTypeDescription="" ma:contentTypeScope="" ma:versionID="17ca52ea8402214f92386a1a20a13c8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5F2745-C311-4CBF-A376-4BFC69D0A006}">
  <ds:schemaRefs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C9AF4E-3DCA-4230-BC99-3D70510E0F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48D237-8B58-4F32-A178-E5B4E0AA6ABD}"/>
</file>

<file path=customXml/itemProps4.xml><?xml version="1.0" encoding="utf-8"?>
<ds:datastoreItem xmlns:ds="http://schemas.openxmlformats.org/officeDocument/2006/customXml" ds:itemID="{A7BA82A3-6A36-4D2A-9C00-6EE55D1C88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Analysis</vt:lpstr>
      <vt:lpstr>Aug 19 - Jul 20</vt:lpstr>
      <vt:lpstr>Commodity Debit</vt:lpstr>
      <vt:lpstr>Calcs revised method</vt:lpstr>
      <vt:lpstr>Analysis!Print_Area</vt:lpstr>
      <vt:lpstr>'Calcs revised method'!Print_Area</vt:lpstr>
      <vt:lpstr>'Commodity Debit'!Print_Area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</dc:creator>
  <cp:lastModifiedBy>Logan Davis</cp:lastModifiedBy>
  <cp:lastPrinted>2020-08-24T17:11:18Z</cp:lastPrinted>
  <dcterms:created xsi:type="dcterms:W3CDTF">2011-01-20T20:41:17Z</dcterms:created>
  <dcterms:modified xsi:type="dcterms:W3CDTF">2020-08-24T17:11:28Z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0x0101006E56B4D1795A2E4DB2F0B01679ED314A005D573CD9F7258F4F82534A1465755EEB</vt:lpwstr>
  </property>
  <property fmtid="{D5CDD505-2E9C-101B-9397-08002B2CF9AE}" pid="3" name="EFilingId">
    <vt:lpwstr>1732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Description">
    <vt:lpwstr>Excel File containing statistical data with rate calculations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