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stern Region\WUTC\WUTC-Murrey  2111\Med Waste\Disposal Increase Eff. 10-1-2020\"/>
    </mc:Choice>
  </mc:AlternateContent>
  <bookViews>
    <workbookView xWindow="0" yWindow="0" windowWidth="28800" windowHeight="11685"/>
  </bookViews>
  <sheets>
    <sheet name="Med Waste PI" sheetId="1" r:id="rId1"/>
    <sheet name="Med Waste Disp Log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D" localSheetId="1">#REF!</definedName>
    <definedName name="\D">#REF!</definedName>
    <definedName name="\S" localSheetId="1">#REF!</definedName>
    <definedName name="\S">#REF!</definedName>
    <definedName name="\Y" localSheetId="1">#REF!</definedName>
    <definedName name="\Y">#REF!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1" hidden="1">#REF!</definedName>
    <definedName name="_132Graph_h" hidden="1">#REF!</definedName>
    <definedName name="_ACT1">[4]Hidden!#REF!</definedName>
    <definedName name="_ACT2">[4]Hidden!#REF!</definedName>
    <definedName name="_ACT3">[4]Hidden!#REF!</definedName>
    <definedName name="_COS1" localSheetId="1">#REF!</definedName>
    <definedName name="_COS1">#REF!</definedName>
    <definedName name="_COS2" localSheetId="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1" hidden="1">#REF!</definedName>
    <definedName name="_max" hidden="1">#REF!</definedName>
    <definedName name="_Mon" localSheetId="1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1" hidden="1">#REF!</definedName>
    <definedName name="_Sort" hidden="1">#REF!</definedName>
    <definedName name="_Sort1" hidden="1">'[2]#REF'!$A$10:$Z$281</definedName>
    <definedName name="_sort3" hidden="1">[3]XXXXXX!$G$10:$J$11</definedName>
    <definedName name="a" localSheetId="1">#REF!</definedName>
    <definedName name="a">#REF!</definedName>
    <definedName name="Accounts" localSheetId="1">#REF!</definedName>
    <definedName name="Accounts">#REF!</definedName>
    <definedName name="ACCT">[4]Hidden!#REF!</definedName>
    <definedName name="ACCT.ConsolSum">[1]Hidden!$Q$11</definedName>
    <definedName name="ACT_CUR">[4]Hidden!#REF!</definedName>
    <definedName name="ACT_YTD">[4]Hidden!#REF!</definedName>
    <definedName name="afsdfsdfsd" localSheetId="1">#REF!</definedName>
    <definedName name="afsdfsdfsd">#REF!</definedName>
    <definedName name="AmountCount" localSheetId="1">#REF!</definedName>
    <definedName name="AmountCount">#REF!</definedName>
    <definedName name="AmountCount1" localSheetId="1">#REF!</definedName>
    <definedName name="AmountCount1">#REF!</definedName>
    <definedName name="AmountFrom" localSheetId="1">#REF!</definedName>
    <definedName name="AmountFrom">#REF!</definedName>
    <definedName name="AmountTo" localSheetId="1">#REF!</definedName>
    <definedName name="AmountTo">#REF!</definedName>
    <definedName name="AmountTotal" localSheetId="1">#REF!</definedName>
    <definedName name="AmountTotal">#REF!</definedName>
    <definedName name="AmountTotal1" localSheetId="1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1">#REF!</definedName>
    <definedName name="BREMAIR_COST_of_SERVICE_STUDY">#REF!</definedName>
    <definedName name="BUD_CUR">[4]Hidden!#REF!</definedName>
    <definedName name="BUD_YTD">[4]Hidden!#REF!</definedName>
    <definedName name="CalRecyTons">'[6]Recycl Tons, Commodity Value'!$L$23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ommlStaffPriceOut" localSheetId="1">'[7]Price Out-Reg EASTSIDE-Resi'!#REF!</definedName>
    <definedName name="CommlStaffPriceOut">'[7]Price Out-Reg EASTSIDE-Resi'!#REF!</definedName>
    <definedName name="CRCTable" localSheetId="1">#REF!</definedName>
    <definedName name="CRCTable">#REF!</definedName>
    <definedName name="CRCTableOLD" localSheetId="1">#REF!</definedName>
    <definedName name="CRCTableOLD">#REF!</definedName>
    <definedName name="CriteriaType">[8]ControlPanel!$Z$2:$Z$5</definedName>
    <definedName name="CurrentMonth" localSheetId="1">#REF!</definedName>
    <definedName name="CurrentMonth">#REF!</definedName>
    <definedName name="Cutomers" localSheetId="1">#REF!</definedName>
    <definedName name="Cutomers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ateFrom" localSheetId="1">#REF!</definedName>
    <definedName name="DateFrom">#REF!</definedName>
    <definedName name="DateTo" localSheetId="1">#REF!</definedName>
    <definedName name="DateTo">#REF!</definedName>
    <definedName name="DBxStaffPriceOut" localSheetId="1">'[7]Price Out-Reg EASTSIDE-Resi'!#REF!</definedName>
    <definedName name="DBxStaffPriceOut">'[7]Price Out-Reg EASTSIDE-Resi'!#REF!</definedName>
    <definedName name="DEPT">[4]Hidden!#REF!</definedName>
    <definedName name="Dist">[9]Data!$E$3</definedName>
    <definedName name="District">'[10]Vashon BS'!#REF!</definedName>
    <definedName name="DistrictNum" localSheetId="1">#REF!</definedName>
    <definedName name="DistrictNum">#REF!</definedName>
    <definedName name="Districts" localSheetId="1">#REF!</definedName>
    <definedName name="Districts">#REF!</definedName>
    <definedName name="dOG" localSheetId="1">#REF!</definedName>
    <definedName name="dOG">#REF!</definedName>
    <definedName name="drlFilter">[1]Settings!$D$27</definedName>
    <definedName name="End" localSheetId="1">#REF!</definedName>
    <definedName name="End">#REF!</definedName>
    <definedName name="EntrieShownLimit" localSheetId="1">#REF!</definedName>
    <definedName name="EntrieShownLimit">#REF!</definedName>
    <definedName name="ExcludeIC">'[10]Vashon BS'!#REF!</definedName>
    <definedName name="ExpensesPF1" localSheetId="1">#REF!</definedName>
    <definedName name="ExpensesPF1">#REF!</definedName>
    <definedName name="EXT" localSheetId="1">#REF!</definedName>
    <definedName name="EXT">#REF!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FromMonth" localSheetId="1">#REF!</definedName>
    <definedName name="FromMonth">#REF!</definedName>
    <definedName name="FundsApprPend">[9]Data!#REF!</definedName>
    <definedName name="FundsBudUnbud">[9]Data!#REF!</definedName>
    <definedName name="GLMappingStart" localSheetId="1">#REF!</definedName>
    <definedName name="GLMappingStart">#REF!</definedName>
    <definedName name="GLMappingStart1" localSheetId="1">#REF!</definedName>
    <definedName name="GLMappingStart1">#REF!</definedName>
    <definedName name="Import_Range">[9]Data!#REF!</definedName>
    <definedName name="IncomeStmnt" localSheetId="1">#REF!</definedName>
    <definedName name="IncomeStmnt">#REF!</definedName>
    <definedName name="INPUT" localSheetId="1">#REF!</definedName>
    <definedName name="INPUT">#REF!</definedName>
    <definedName name="INPUTc" localSheetId="1">#REF!</definedName>
    <definedName name="INPUTc">#REF!</definedName>
    <definedName name="Insurance" localSheetId="1">#REF!</definedName>
    <definedName name="Insurance">#REF!</definedName>
    <definedName name="Interject_LastPulledValues_BalanceRange" localSheetId="1">#REF!</definedName>
    <definedName name="Interject_LastPulledValues_BalanceRange">#REF!</definedName>
    <definedName name="Interject_LastPulledValues_DescriptionRange" localSheetId="1">#REF!</definedName>
    <definedName name="Interject_LastPulledValues_DescriptionRange">#REF!</definedName>
    <definedName name="Interject_LastPulledValues_LastChangeGUID" localSheetId="1">#REF!</definedName>
    <definedName name="Interject_LastPulledValues_LastChangeGUID">#REF!</definedName>
    <definedName name="Interject_LastPulledValues_PreviousLastChangeGUID" localSheetId="1">#REF!</definedName>
    <definedName name="Interject_LastPulledValues_PreviousLastChangeGUID">#REF!</definedName>
    <definedName name="Invoice_Start" localSheetId="1">[9]Invoice_Drill!#REF!</definedName>
    <definedName name="Invoice_Start">[9]Invoice_Drill!#REF!</definedName>
    <definedName name="JEDetail" localSheetId="1">#REF!</definedName>
    <definedName name="JEDetail">#REF!</definedName>
    <definedName name="JEDetail1" localSheetId="1">#REF!</definedName>
    <definedName name="JEDetail1">#REF!</definedName>
    <definedName name="JEType" localSheetId="1">#REF!</definedName>
    <definedName name="JEType">#REF!</definedName>
    <definedName name="JEType1" localSheetId="1">#REF!</definedName>
    <definedName name="JEType1">#REF!</definedName>
    <definedName name="lblBillAreaStatus" localSheetId="1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llllllllllllllllllll" localSheetId="1">#REF!</definedName>
    <definedName name="lllllllllllllllllllll">#REF!</definedName>
    <definedName name="LOB">[11]DropDownRanges!$B$4:$B$37</definedName>
    <definedName name="MainDataEnd" localSheetId="1">#REF!</definedName>
    <definedName name="MainDataEnd">#REF!</definedName>
    <definedName name="MainDataStart" localSheetId="1">#REF!</definedName>
    <definedName name="MainDataStart">#REF!</definedName>
    <definedName name="MapKeyStart" localSheetId="1">#REF!</definedName>
    <definedName name="MapKeyStart">#REF!</definedName>
    <definedName name="master_def" localSheetId="1">#REF!</definedName>
    <definedName name="master_def">#REF!</definedName>
    <definedName name="MATRIX" localSheetId="1">#REF!</definedName>
    <definedName name="MATRIX">#REF!</definedName>
    <definedName name="MemoAttachment" localSheetId="1">#REF!</definedName>
    <definedName name="MemoAttachment">#REF!</definedName>
    <definedName name="MetaSet">[1]Orientation!$C$22</definedName>
    <definedName name="MFStaffPriceOut" localSheetId="1">'[7]Price Out-Reg EASTSIDE-Resi'!#REF!</definedName>
    <definedName name="MFStaffPriceOut">'[7]Price Out-Reg EASTSIDE-Resi'!#REF!</definedName>
    <definedName name="MILTON" localSheetId="1">#REF!</definedName>
    <definedName name="MILTON">#REF!</definedName>
    <definedName name="MonthList">'[9]Lookup Tables'!$A$1:$A$13</definedName>
    <definedName name="NewLob">[11]DropDownRanges!$B$4:$B$37</definedName>
    <definedName name="NewOnlyOrg">#N/A</definedName>
    <definedName name="NewSource">[11]DropDownRanges!$D$4:$D$7</definedName>
    <definedName name="nn" localSheetId="1">#REF!</definedName>
    <definedName name="nn">#REF!</definedName>
    <definedName name="NOTES" localSheetId="1">#REF!</definedName>
    <definedName name="NOTES">#REF!</definedName>
    <definedName name="NR" localSheetId="1">#REF!</definedName>
    <definedName name="NR">#REF!</definedName>
    <definedName name="OfficerSalary">#N/A</definedName>
    <definedName name="OffsetAcctBil">[12]JEexport!$L$10</definedName>
    <definedName name="OffsetAcctPmt">[12]JEexport!$L$9</definedName>
    <definedName name="Org11_13">#N/A</definedName>
    <definedName name="Org7_10">#N/A</definedName>
    <definedName name="p" localSheetId="1">#REF!</definedName>
    <definedName name="p">#REF!</definedName>
    <definedName name="PAGE_1" localSheetId="1">#REF!</definedName>
    <definedName name="PAGE_1">#REF!</definedName>
    <definedName name="Page16" localSheetId="1">#REF!</definedName>
    <definedName name="Page16">#REF!</definedName>
    <definedName name="Page17" localSheetId="1">#REF!</definedName>
    <definedName name="Page17">#REF!</definedName>
    <definedName name="Page18" localSheetId="1">#REF!</definedName>
    <definedName name="Page18">#REF!</definedName>
    <definedName name="Page7a" localSheetId="1">#REF!</definedName>
    <definedName name="Page7a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osting" localSheetId="1">#REF!</definedName>
    <definedName name="Posting">#REF!</definedName>
    <definedName name="primtbl">[1]Orientation!$C$23</definedName>
    <definedName name="_xlnm.Print_Area" localSheetId="1">'Med Waste Disp Log'!$A$1:$Q$32</definedName>
    <definedName name="_xlnm.Print_Area">#REF!</definedName>
    <definedName name="Print_Area_MI" localSheetId="1">#REF!</definedName>
    <definedName name="Print_Area_MI">#REF!</definedName>
    <definedName name="Print_Area_MIc" localSheetId="1">#REF!</definedName>
    <definedName name="Print_Area_MIc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5" localSheetId="1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1">#REF!</definedName>
    <definedName name="pServer">#REF!</definedName>
    <definedName name="pServiceCode" localSheetId="1">#REF!</definedName>
    <definedName name="pServiceCode">#REF!</definedName>
    <definedName name="pShowAllUnposted" localSheetId="1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g_Cust_Billed_Percent">'[13]Consolidated IS 2009 2010'!$AK$20</definedName>
    <definedName name="Reg_Cust_Percent">'[13]Consolidated IS 2009 2010'!$AC$20</definedName>
    <definedName name="Reg_Drive_Percent">'[13]Consolidated IS 2009 2010'!$AC$40</definedName>
    <definedName name="Reg_Haul_Rev_Percent">'[13]Consolidated IS 2009 2010'!$Z$18</definedName>
    <definedName name="Reg_Lab_Percent">'[13]Consolidated IS 2009 2010'!$AC$39</definedName>
    <definedName name="Reg_Steel_Cont_Percent">'[13]Consolidated IS 2009 2010'!$AE$120</definedName>
    <definedName name="RegulatedIS">'[13]2009 IS'!$A$12:$Q$655</definedName>
    <definedName name="RelatedSalary">#N/A</definedName>
    <definedName name="report_type">[1]Orientation!$C$24</definedName>
    <definedName name="ReportNames">[14]ControlPanel!$S$2:$S$16</definedName>
    <definedName name="ReportVersion">[1]Settings!$D$5</definedName>
    <definedName name="ReslStaffPriceOut" localSheetId="1">'[7]Price Out-Reg EASTSIDE-Resi'!#REF!</definedName>
    <definedName name="ReslStaffPriceOut">'[7]Price Out-Reg EASTSIDE-Resi'!#REF!</definedName>
    <definedName name="RetainedEarnings" localSheetId="1">#REF!</definedName>
    <definedName name="RetainedEarnings">#REF!</definedName>
    <definedName name="RevCust">[15]RevenuesCust!#REF!</definedName>
    <definedName name="RevCustomer" localSheetId="1">#REF!</definedName>
    <definedName name="RevCustomer">#REF!</definedName>
    <definedName name="RevenuePF1" localSheetId="1">#REF!</definedName>
    <definedName name="RevenuePF1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ffasfasdfsd">[4]Hidden!#REF!</definedName>
    <definedName name="Sequential_Group">[1]Settings!$J$6</definedName>
    <definedName name="Sequential_Segment">[1]Settings!$I$6</definedName>
    <definedName name="Sequential_sort">[1]Settings!$I$10:$J$11</definedName>
    <definedName name="slope">'[16]LG Nonpublic 2018 V5.0'!$X$58</definedName>
    <definedName name="sortcol" localSheetId="1">#REF!</definedName>
    <definedName name="sortcol">#REF!</definedName>
    <definedName name="Source">[11]DropDownRanges!$D$4:$D$7</definedName>
    <definedName name="sSRCDate">'[17]Feb''12 FAR Data'!#REF!</definedName>
    <definedName name="SubSystems" localSheetId="1">#REF!</definedName>
    <definedName name="SubSystems">#REF!</definedName>
    <definedName name="Supplemental_filter">[1]Settings!$C$31</definedName>
    <definedName name="SWDisposal">#N/A</definedName>
    <definedName name="System">[18]BS_Close!$V$8</definedName>
    <definedName name="Systems" localSheetId="1">#REF!</definedName>
    <definedName name="Systems">#REF!</definedName>
    <definedName name="TemplateEnd" localSheetId="1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Month" localSheetId="1">#REF!</definedName>
    <definedName name="ToMonth">#REF!</definedName>
    <definedName name="Tons" localSheetId="1">#REF!</definedName>
    <definedName name="Tons">#REF!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1">#REF!</definedName>
    <definedName name="Transactions">#REF!</definedName>
    <definedName name="UnregulatedIS">'[13]2010 IS'!$A$12:$Q$654</definedName>
    <definedName name="VendorCode" localSheetId="1">#REF!</definedName>
    <definedName name="VendorCode">#REF!</definedName>
    <definedName name="Version">[9]Data!#REF!</definedName>
    <definedName name="wrn.PrintReview.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1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1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ww" localSheetId="1">#REF!</definedName>
    <definedName name="ww">#REF!</definedName>
    <definedName name="xperiod">[1]Orientation!$G$15</definedName>
    <definedName name="xtabin">[4]Hidden!#REF!</definedName>
    <definedName name="xx" localSheetId="1">#REF!</definedName>
    <definedName name="xx">#REF!</definedName>
    <definedName name="xxx" localSheetId="1">#REF!</definedName>
    <definedName name="xxx">#REF!</definedName>
    <definedName name="xxxx" localSheetId="1">#REF!</definedName>
    <definedName name="xxxx">#REF!</definedName>
    <definedName name="y_inter1">'[16]LG Nonpublic 2018 V5.0'!$W$55</definedName>
    <definedName name="y_inter2">'[16]LG Nonpublic 2018 V5.0'!$W$56</definedName>
    <definedName name="y_inter3">'[16]LG Nonpublic 2018 V5.0'!$Y$55</definedName>
    <definedName name="y_inter4">'[16]LG Nonpublic 2018 V5.0'!$Y$56</definedName>
    <definedName name="YearMonth">'[10]Vashon BS'!#REF!</definedName>
    <definedName name="YWMedWasteDisp">#N/A</definedName>
    <definedName name="yy" localSheetId="1">#REF!</definedName>
    <definedName name="yy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19" i="1" l="1"/>
  <c r="V11" i="1"/>
  <c r="V12" i="1" s="1"/>
  <c r="V14" i="1" s="1"/>
  <c r="J31" i="2"/>
  <c r="V8" i="1"/>
  <c r="K31" i="2"/>
  <c r="F24" i="2"/>
  <c r="G23" i="2"/>
  <c r="F23" i="2"/>
  <c r="H23" i="2" s="1"/>
  <c r="F22" i="2"/>
  <c r="D22" i="2"/>
  <c r="G22" i="2" s="1"/>
  <c r="G21" i="2"/>
  <c r="D21" i="2"/>
  <c r="H20" i="2"/>
  <c r="G20" i="2"/>
  <c r="F20" i="2"/>
  <c r="D20" i="2"/>
  <c r="C20" i="2"/>
  <c r="D19" i="2"/>
  <c r="F19" i="2" s="1"/>
  <c r="F18" i="2"/>
  <c r="D18" i="2"/>
  <c r="G18" i="2" s="1"/>
  <c r="G17" i="2"/>
  <c r="D17" i="2"/>
  <c r="H16" i="2"/>
  <c r="G16" i="2"/>
  <c r="F16" i="2"/>
  <c r="D16" i="2"/>
  <c r="C16" i="2"/>
  <c r="D15" i="2"/>
  <c r="F15" i="2" s="1"/>
  <c r="F14" i="2"/>
  <c r="D14" i="2"/>
  <c r="G14" i="2" s="1"/>
  <c r="G13" i="2"/>
  <c r="F13" i="2"/>
  <c r="D13" i="2"/>
  <c r="H13" i="2" s="1"/>
  <c r="H12" i="2"/>
  <c r="G12" i="2"/>
  <c r="F12" i="2"/>
  <c r="D12" i="2"/>
  <c r="C12" i="2"/>
  <c r="D11" i="2"/>
  <c r="F11" i="2" s="1"/>
  <c r="F10" i="2"/>
  <c r="D10" i="2"/>
  <c r="G10" i="2" s="1"/>
  <c r="G9" i="2"/>
  <c r="F9" i="2"/>
  <c r="D9" i="2"/>
  <c r="H9" i="2" s="1"/>
  <c r="H8" i="2"/>
  <c r="G8" i="2"/>
  <c r="F8" i="2"/>
  <c r="D8" i="2"/>
  <c r="C8" i="2"/>
  <c r="D7" i="2"/>
  <c r="F7" i="2" s="1"/>
  <c r="F6" i="2"/>
  <c r="D6" i="2"/>
  <c r="G6" i="2" s="1"/>
  <c r="G5" i="2"/>
  <c r="F5" i="2"/>
  <c r="D5" i="2"/>
  <c r="H5" i="2" s="1"/>
  <c r="H4" i="2"/>
  <c r="G4" i="2"/>
  <c r="F4" i="2"/>
  <c r="D4" i="2"/>
  <c r="C4" i="2"/>
  <c r="D3" i="2"/>
  <c r="F3" i="2" s="1"/>
  <c r="F2" i="2"/>
  <c r="D2" i="2"/>
  <c r="G2" i="2" s="1"/>
  <c r="E66" i="1"/>
  <c r="D64" i="1"/>
  <c r="G63" i="1"/>
  <c r="H63" i="1" s="1"/>
  <c r="E63" i="1"/>
  <c r="A63" i="1"/>
  <c r="G62" i="1"/>
  <c r="H62" i="1" s="1"/>
  <c r="A62" i="1"/>
  <c r="H61" i="1"/>
  <c r="G61" i="1"/>
  <c r="E61" i="1"/>
  <c r="A61" i="1"/>
  <c r="H60" i="1"/>
  <c r="G60" i="1"/>
  <c r="A60" i="1"/>
  <c r="G59" i="1"/>
  <c r="H59" i="1" s="1"/>
  <c r="E59" i="1"/>
  <c r="A59" i="1"/>
  <c r="G58" i="1"/>
  <c r="H58" i="1" s="1"/>
  <c r="A58" i="1"/>
  <c r="G57" i="1"/>
  <c r="H57" i="1" s="1"/>
  <c r="A57" i="1"/>
  <c r="H56" i="1"/>
  <c r="G56" i="1"/>
  <c r="A56" i="1"/>
  <c r="H55" i="1"/>
  <c r="G55" i="1"/>
  <c r="A55" i="1"/>
  <c r="G54" i="1"/>
  <c r="H54" i="1" s="1"/>
  <c r="I63" i="1" s="1"/>
  <c r="A54" i="1"/>
  <c r="G53" i="1"/>
  <c r="H53" i="1" s="1"/>
  <c r="A53" i="1"/>
  <c r="H52" i="1"/>
  <c r="G52" i="1"/>
  <c r="A52" i="1"/>
  <c r="G51" i="1"/>
  <c r="H51" i="1" s="1"/>
  <c r="E51" i="1"/>
  <c r="A51" i="1"/>
  <c r="G50" i="1"/>
  <c r="H50" i="1" s="1"/>
  <c r="A50" i="1"/>
  <c r="G49" i="1"/>
  <c r="H49" i="1" s="1"/>
  <c r="A49" i="1"/>
  <c r="G48" i="1"/>
  <c r="H48" i="1" s="1"/>
  <c r="A48" i="1"/>
  <c r="H47" i="1"/>
  <c r="G47" i="1"/>
  <c r="A47" i="1"/>
  <c r="G46" i="1"/>
  <c r="H46" i="1" s="1"/>
  <c r="A46" i="1"/>
  <c r="G45" i="1"/>
  <c r="H45" i="1" s="1"/>
  <c r="A45" i="1"/>
  <c r="G44" i="1"/>
  <c r="H44" i="1" s="1"/>
  <c r="A44" i="1"/>
  <c r="G43" i="1"/>
  <c r="H43" i="1" s="1"/>
  <c r="A43" i="1"/>
  <c r="G42" i="1"/>
  <c r="H42" i="1" s="1"/>
  <c r="A42" i="1"/>
  <c r="G41" i="1"/>
  <c r="H41" i="1" s="1"/>
  <c r="A41" i="1"/>
  <c r="H40" i="1"/>
  <c r="G40" i="1"/>
  <c r="A40" i="1"/>
  <c r="G39" i="1"/>
  <c r="H39" i="1" s="1"/>
  <c r="A39" i="1"/>
  <c r="G38" i="1"/>
  <c r="H38" i="1" s="1"/>
  <c r="A38" i="1"/>
  <c r="G37" i="1"/>
  <c r="H37" i="1" s="1"/>
  <c r="A37" i="1"/>
  <c r="G36" i="1"/>
  <c r="H36" i="1" s="1"/>
  <c r="A36" i="1"/>
  <c r="G35" i="1"/>
  <c r="H35" i="1" s="1"/>
  <c r="A35" i="1"/>
  <c r="G34" i="1"/>
  <c r="H34" i="1" s="1"/>
  <c r="A34" i="1"/>
  <c r="H33" i="1"/>
  <c r="G33" i="1"/>
  <c r="E33" i="1"/>
  <c r="A33" i="1"/>
  <c r="H32" i="1"/>
  <c r="G32" i="1"/>
  <c r="A32" i="1"/>
  <c r="G31" i="1"/>
  <c r="H31" i="1" s="1"/>
  <c r="A31" i="1"/>
  <c r="G30" i="1"/>
  <c r="H30" i="1" s="1"/>
  <c r="A30" i="1"/>
  <c r="H29" i="1"/>
  <c r="G29" i="1"/>
  <c r="A29" i="1"/>
  <c r="G28" i="1"/>
  <c r="H28" i="1" s="1"/>
  <c r="E28" i="1"/>
  <c r="A28" i="1"/>
  <c r="G27" i="1"/>
  <c r="H27" i="1" s="1"/>
  <c r="A27" i="1"/>
  <c r="G26" i="1"/>
  <c r="H26" i="1" s="1"/>
  <c r="A26" i="1"/>
  <c r="H25" i="1"/>
  <c r="G25" i="1"/>
  <c r="E25" i="1"/>
  <c r="A25" i="1"/>
  <c r="H24" i="1"/>
  <c r="G24" i="1"/>
  <c r="A24" i="1"/>
  <c r="G23" i="1"/>
  <c r="H23" i="1" s="1"/>
  <c r="E23" i="1"/>
  <c r="A23" i="1"/>
  <c r="G22" i="1"/>
  <c r="H22" i="1" s="1"/>
  <c r="E22" i="1"/>
  <c r="A22" i="1"/>
  <c r="G21" i="1"/>
  <c r="H21" i="1" s="1"/>
  <c r="E21" i="1"/>
  <c r="A21" i="1"/>
  <c r="H20" i="1"/>
  <c r="G20" i="1"/>
  <c r="A20" i="1"/>
  <c r="G19" i="1"/>
  <c r="H19" i="1" s="1"/>
  <c r="E19" i="1"/>
  <c r="A19" i="1"/>
  <c r="G18" i="1"/>
  <c r="H18" i="1" s="1"/>
  <c r="E18" i="1"/>
  <c r="A18" i="1"/>
  <c r="Q17" i="1"/>
  <c r="G17" i="1"/>
  <c r="H17" i="1" s="1"/>
  <c r="E17" i="1"/>
  <c r="A17" i="1"/>
  <c r="Q16" i="1"/>
  <c r="G16" i="1"/>
  <c r="H16" i="1" s="1"/>
  <c r="E16" i="1"/>
  <c r="A16" i="1"/>
  <c r="Q15" i="1"/>
  <c r="G15" i="1"/>
  <c r="H15" i="1" s="1"/>
  <c r="E15" i="1"/>
  <c r="A15" i="1"/>
  <c r="Q14" i="1"/>
  <c r="H14" i="1"/>
  <c r="G14" i="1"/>
  <c r="E14" i="1"/>
  <c r="A14" i="1"/>
  <c r="Q13" i="1"/>
  <c r="G13" i="1"/>
  <c r="H13" i="1" s="1"/>
  <c r="I16" i="1" s="1"/>
  <c r="A13" i="1"/>
  <c r="Q12" i="1"/>
  <c r="H12" i="1"/>
  <c r="G12" i="1"/>
  <c r="E12" i="1"/>
  <c r="A12" i="1"/>
  <c r="Q11" i="1"/>
  <c r="H11" i="1"/>
  <c r="G11" i="1"/>
  <c r="E11" i="1"/>
  <c r="A11" i="1"/>
  <c r="Q10" i="1"/>
  <c r="G10" i="1"/>
  <c r="H10" i="1" s="1"/>
  <c r="E10" i="1"/>
  <c r="A10" i="1"/>
  <c r="Q9" i="1"/>
  <c r="G9" i="1"/>
  <c r="H9" i="1" s="1"/>
  <c r="E9" i="1"/>
  <c r="E65" i="1" s="1"/>
  <c r="A9" i="1"/>
  <c r="G8" i="1"/>
  <c r="H8" i="1" s="1"/>
  <c r="A8" i="1"/>
  <c r="E4" i="1"/>
  <c r="E67" i="1" l="1"/>
  <c r="G67" i="1" s="1"/>
  <c r="V13" i="1"/>
  <c r="V15" i="1" s="1"/>
  <c r="V21" i="1" s="1"/>
  <c r="V23" i="1" s="1"/>
  <c r="H17" i="2"/>
  <c r="L31" i="2"/>
  <c r="C2" i="2"/>
  <c r="H2" i="2"/>
  <c r="G3" i="2"/>
  <c r="C6" i="2"/>
  <c r="H6" i="2"/>
  <c r="G7" i="2"/>
  <c r="C10" i="2"/>
  <c r="H10" i="2"/>
  <c r="G11" i="2"/>
  <c r="H11" i="2" s="1"/>
  <c r="C14" i="2"/>
  <c r="H14" i="2"/>
  <c r="G15" i="2"/>
  <c r="C18" i="2"/>
  <c r="H18" i="2"/>
  <c r="G19" i="2"/>
  <c r="C22" i="2"/>
  <c r="H22" i="2"/>
  <c r="C3" i="2"/>
  <c r="H3" i="2"/>
  <c r="C7" i="2"/>
  <c r="H7" i="2"/>
  <c r="C11" i="2"/>
  <c r="C15" i="2"/>
  <c r="H15" i="2"/>
  <c r="F17" i="2"/>
  <c r="C19" i="2"/>
  <c r="H19" i="2"/>
  <c r="F21" i="2"/>
  <c r="H21" i="2" s="1"/>
  <c r="C5" i="2"/>
  <c r="C9" i="2"/>
  <c r="C13" i="2"/>
  <c r="C17" i="2"/>
  <c r="C21" i="2"/>
  <c r="N17" i="1"/>
  <c r="J63" i="1"/>
  <c r="K63" i="1" s="1"/>
  <c r="I31" i="1"/>
  <c r="I53" i="1"/>
  <c r="I12" i="1"/>
  <c r="N10" i="1"/>
  <c r="J16" i="1"/>
  <c r="K16" i="1" s="1"/>
  <c r="I36" i="1"/>
  <c r="I43" i="1"/>
  <c r="I21" i="1"/>
  <c r="I26" i="1"/>
  <c r="S17" i="1" l="1"/>
  <c r="S13" i="1"/>
  <c r="S9" i="1"/>
  <c r="S16" i="1"/>
  <c r="S12" i="1"/>
  <c r="S8" i="1"/>
  <c r="S14" i="1"/>
  <c r="S10" i="1"/>
  <c r="S15" i="1"/>
  <c r="S11" i="1"/>
  <c r="J26" i="1"/>
  <c r="K26" i="1" s="1"/>
  <c r="N12" i="1"/>
  <c r="J36" i="1"/>
  <c r="K36" i="1" s="1"/>
  <c r="N14" i="1"/>
  <c r="N16" i="1"/>
  <c r="J53" i="1"/>
  <c r="K53" i="1" s="1"/>
  <c r="J31" i="1"/>
  <c r="K31" i="1" s="1"/>
  <c r="N13" i="1"/>
  <c r="J21" i="1"/>
  <c r="K21" i="1" s="1"/>
  <c r="N11" i="1"/>
  <c r="J43" i="1"/>
  <c r="K43" i="1" s="1"/>
  <c r="N15" i="1"/>
  <c r="J12" i="1"/>
  <c r="K12" i="1" s="1"/>
  <c r="N9" i="1"/>
  <c r="R23" i="1" l="1"/>
  <c r="O4" i="1"/>
  <c r="Q4" i="1" s="1"/>
  <c r="O12" i="1" l="1"/>
  <c r="P12" i="1" s="1"/>
  <c r="O14" i="1"/>
  <c r="P14" i="1" s="1"/>
  <c r="O13" i="1"/>
  <c r="P13" i="1" s="1"/>
  <c r="O9" i="1"/>
  <c r="P9" i="1" s="1"/>
  <c r="O17" i="1"/>
  <c r="P17" i="1" s="1"/>
  <c r="O11" i="1"/>
  <c r="P11" i="1" s="1"/>
  <c r="O15" i="1"/>
  <c r="P15" i="1" s="1"/>
  <c r="O10" i="1"/>
  <c r="P10" i="1" s="1"/>
  <c r="O16" i="1"/>
  <c r="P16" i="1" s="1"/>
  <c r="O8" i="1"/>
  <c r="P8" i="1" s="1"/>
  <c r="R10" i="1" l="1"/>
  <c r="T10" i="1"/>
  <c r="R9" i="1"/>
  <c r="T9" i="1"/>
  <c r="R15" i="1"/>
  <c r="T15" i="1"/>
  <c r="R13" i="1"/>
  <c r="T13" i="1"/>
  <c r="R11" i="1"/>
  <c r="T11" i="1"/>
  <c r="R14" i="1"/>
  <c r="T14" i="1"/>
  <c r="R16" i="1"/>
  <c r="T16" i="1"/>
  <c r="R17" i="1"/>
  <c r="T17" i="1"/>
  <c r="R12" i="1"/>
  <c r="T12" i="1"/>
  <c r="T8" i="1"/>
  <c r="R8" i="1"/>
  <c r="R19" i="1" l="1"/>
  <c r="R4" i="1"/>
  <c r="R22" i="1" l="1"/>
  <c r="R24" i="1" s="1"/>
  <c r="V25" i="1"/>
</calcChain>
</file>

<file path=xl/comments1.xml><?xml version="1.0" encoding="utf-8"?>
<comments xmlns="http://schemas.openxmlformats.org/spreadsheetml/2006/main">
  <authors>
    <author>Chelsea Paschke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 xml:space="preserve">Chelsea Paschke: </t>
        </r>
        <r>
          <rPr>
            <sz val="9"/>
            <color indexed="81"/>
            <rFont val="Tahoma"/>
            <family val="2"/>
          </rPr>
          <t xml:space="preserve">Grouping billing quanity amounts in 50 gallons increments in order to eliminate obsolete tiers and simplify billing
</t>
        </r>
      </text>
    </comment>
  </commentList>
</comments>
</file>

<file path=xl/sharedStrings.xml><?xml version="1.0" encoding="utf-8"?>
<sst xmlns="http://schemas.openxmlformats.org/spreadsheetml/2006/main" count="150" uniqueCount="143">
  <si>
    <t>Plug to Tie</t>
  </si>
  <si>
    <t>See below</t>
  </si>
  <si>
    <t>Grouped by 50 (or more) Gallons</t>
  </si>
  <si>
    <t>Proposed - Effective 9-1-2019</t>
  </si>
  <si>
    <t>Quantity (Gallons)</t>
  </si>
  <si>
    <t>Amount</t>
  </si>
  <si>
    <t>Sum of Units</t>
  </si>
  <si>
    <t>Sum of Subtotal</t>
  </si>
  <si>
    <t>%</t>
  </si>
  <si>
    <t>Rate</t>
  </si>
  <si>
    <t>Effective Rate</t>
  </si>
  <si>
    <t>Effective Revenue</t>
  </si>
  <si>
    <t>Check</t>
  </si>
  <si>
    <t>Current Rate</t>
  </si>
  <si>
    <t>Proposed Increase</t>
  </si>
  <si>
    <t>New Rate</t>
  </si>
  <si>
    <t>481-500</t>
  </si>
  <si>
    <t>500+</t>
  </si>
  <si>
    <t>461-480</t>
  </si>
  <si>
    <t>401-500</t>
  </si>
  <si>
    <t>441-460</t>
  </si>
  <si>
    <t>351-400</t>
  </si>
  <si>
    <t>421-440</t>
  </si>
  <si>
    <t>301-350</t>
  </si>
  <si>
    <t>401-420</t>
  </si>
  <si>
    <t>251-300</t>
  </si>
  <si>
    <t>381-400</t>
  </si>
  <si>
    <t>201-250</t>
  </si>
  <si>
    <t>371-380</t>
  </si>
  <si>
    <t>151-200</t>
  </si>
  <si>
    <t>361-370</t>
  </si>
  <si>
    <t>101-150</t>
  </si>
  <si>
    <t>351-360</t>
  </si>
  <si>
    <t>51-100</t>
  </si>
  <si>
    <t>341-350</t>
  </si>
  <si>
    <t>0-50</t>
  </si>
  <si>
    <t>331-340</t>
  </si>
  <si>
    <t>321-330</t>
  </si>
  <si>
    <t>Increase</t>
  </si>
  <si>
    <t>311-320</t>
  </si>
  <si>
    <t>LG Model Increase</t>
  </si>
  <si>
    <t>301-310</t>
  </si>
  <si>
    <t>291-300</t>
  </si>
  <si>
    <t>281-290</t>
  </si>
  <si>
    <t>271-280</t>
  </si>
  <si>
    <t>261-270</t>
  </si>
  <si>
    <t>251-260</t>
  </si>
  <si>
    <t>241-250</t>
  </si>
  <si>
    <t>231-240</t>
  </si>
  <si>
    <t>221-230</t>
  </si>
  <si>
    <t>211-220</t>
  </si>
  <si>
    <t>201-210</t>
  </si>
  <si>
    <t>191-200</t>
  </si>
  <si>
    <t>181-190</t>
  </si>
  <si>
    <t>171-180</t>
  </si>
  <si>
    <t>161-170</t>
  </si>
  <si>
    <t>151-160</t>
  </si>
  <si>
    <t>141-150</t>
  </si>
  <si>
    <t>131-140</t>
  </si>
  <si>
    <t>121-130</t>
  </si>
  <si>
    <t>116-120</t>
  </si>
  <si>
    <t>111-115</t>
  </si>
  <si>
    <t>106-110</t>
  </si>
  <si>
    <t>101-105</t>
  </si>
  <si>
    <t>96-100</t>
  </si>
  <si>
    <t>91-95</t>
  </si>
  <si>
    <t>86-90</t>
  </si>
  <si>
    <t>81-85</t>
  </si>
  <si>
    <t>76-80</t>
  </si>
  <si>
    <t>71-75</t>
  </si>
  <si>
    <t>66-70</t>
  </si>
  <si>
    <t>61-65</t>
  </si>
  <si>
    <t>56-60</t>
  </si>
  <si>
    <t>51-55</t>
  </si>
  <si>
    <t>46-50</t>
  </si>
  <si>
    <t>41-45</t>
  </si>
  <si>
    <t>36-40</t>
  </si>
  <si>
    <t>31-35</t>
  </si>
  <si>
    <t>26-30</t>
  </si>
  <si>
    <t>21-25</t>
  </si>
  <si>
    <t>16-20</t>
  </si>
  <si>
    <t>11-15</t>
  </si>
  <si>
    <t>6-10</t>
  </si>
  <si>
    <t>0-05</t>
  </si>
  <si>
    <t>Per GL</t>
  </si>
  <si>
    <t>Note: Columns A-R are taken from Medical Watse Filing, TG-190612</t>
  </si>
  <si>
    <t>Month</t>
  </si>
  <si>
    <t>Workdays</t>
  </si>
  <si>
    <t>Lbs/WD</t>
  </si>
  <si>
    <t>Volume
(lb)</t>
  </si>
  <si>
    <t>Utility Tax
16.55%</t>
  </si>
  <si>
    <t>WA Solida Waste Tax
4.2%</t>
  </si>
  <si>
    <t>Invoice Total</t>
  </si>
  <si>
    <t>2017-09</t>
  </si>
  <si>
    <t>http://toolbox.wcnx.org/Programs/APPOLog/APPOLog/tabid/165/Default.aspx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</si>
  <si>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</si>
  <si>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</si>
  <si>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</si>
  <si>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</si>
  <si>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</si>
  <si>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</si>
  <si>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</si>
  <si>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</si>
  <si>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</si>
  <si>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</si>
  <si>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</si>
  <si>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</si>
  <si>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</si>
  <si>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</si>
  <si>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</si>
  <si>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</si>
  <si>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</si>
  <si>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</si>
  <si>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</si>
  <si>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</si>
  <si>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</si>
  <si>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</si>
  <si>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</si>
  <si>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</si>
  <si>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</si>
  <si>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</si>
  <si>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</si>
  <si>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2018 Volumn (pounds)</t>
  </si>
  <si>
    <t>Increase per Pound</t>
  </si>
  <si>
    <t>Proforma Disposal Adj.</t>
  </si>
  <si>
    <t>From TG-190612 - we made an adjustment to icnrease disposal to $.32 per pound.</t>
  </si>
  <si>
    <t>Current Disposal/Lb in Rates</t>
  </si>
  <si>
    <t>New Disposal/Lb</t>
  </si>
  <si>
    <t>Total Lbs</t>
  </si>
  <si>
    <t>Disposal Expense per Gallon in Rates</t>
  </si>
  <si>
    <t>New Disposal Expense per Gallon</t>
  </si>
  <si>
    <t>Increase per Gallon</t>
  </si>
  <si>
    <t>Total Gallons</t>
  </si>
  <si>
    <t>B&amp;O Tax Gross Up</t>
  </si>
  <si>
    <t>UTC Fee Gross Up</t>
  </si>
  <si>
    <t>Gross Up Factor</t>
  </si>
  <si>
    <t>Lbs/Gallon</t>
  </si>
  <si>
    <t>Disposal Increase/Gallon</t>
  </si>
  <si>
    <t>Proposed Rate 10/1/2020</t>
  </si>
  <si>
    <t>Projected Revenue Increase</t>
  </si>
  <si>
    <t>Dump Fee Increase Effective 10-1-2020</t>
  </si>
  <si>
    <t>Med Waste Revenue by Quantity</t>
  </si>
  <si>
    <t>Murrey's Disposal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</si>
</sst>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0.000%"/>
    <numFmt numFmtId="167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b/>
      <i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FF"/>
      <name val="Arial"/>
      <family val="2"/>
    </font>
    <font>
      <b/>
      <sz val="10"/>
      <color theme="1" tint="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>
      <alignment vertical="top"/>
    </xf>
    <xf numFmtId="44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4" applyFont="1">
      <alignment vertical="top"/>
    </xf>
    <xf numFmtId="0" fontId="3" fillId="0" borderId="0" xfId="4">
      <alignment vertical="top"/>
    </xf>
    <xf numFmtId="44" fontId="0" fillId="0" borderId="0" xfId="5" applyFont="1">
      <alignment vertical="top"/>
    </xf>
    <xf numFmtId="164" fontId="0" fillId="0" borderId="0" xfId="6" applyNumberFormat="1" applyFont="1">
      <alignment vertical="top"/>
    </xf>
    <xf numFmtId="0" fontId="5" fillId="0" borderId="0" xfId="4" applyFont="1" applyAlignment="1">
      <alignment horizontal="center" vertical="top"/>
    </xf>
    <xf numFmtId="10" fontId="0" fillId="2" borderId="0" xfId="1" applyNumberFormat="1" applyFont="1" applyFill="1" applyAlignment="1">
      <alignment vertical="top"/>
    </xf>
    <xf numFmtId="44" fontId="7" fillId="0" borderId="0" xfId="5" applyFont="1">
      <alignment vertical="top"/>
    </xf>
    <xf numFmtId="10" fontId="0" fillId="0" borderId="0" xfId="1" applyNumberFormat="1" applyFont="1" applyFill="1" applyAlignment="1">
      <alignment vertical="top"/>
    </xf>
    <xf numFmtId="0" fontId="3" fillId="0" borderId="0" xfId="4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44" fontId="4" fillId="4" borderId="1" xfId="5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164" fontId="4" fillId="4" borderId="1" xfId="6" applyNumberFormat="1" applyFont="1" applyFill="1" applyBorder="1" applyAlignment="1">
      <alignment horizontal="center" vertical="center" wrapText="1"/>
    </xf>
    <xf numFmtId="10" fontId="3" fillId="0" borderId="0" xfId="3" applyNumberFormat="1" applyFont="1" applyAlignment="1">
      <alignment vertical="top"/>
    </xf>
    <xf numFmtId="0" fontId="3" fillId="0" borderId="0" xfId="4" applyFill="1" applyBorder="1" applyAlignment="1">
      <alignment horizontal="right" vertical="top"/>
    </xf>
    <xf numFmtId="44" fontId="0" fillId="0" borderId="0" xfId="5" applyFont="1" applyBorder="1">
      <alignment vertical="top"/>
    </xf>
    <xf numFmtId="0" fontId="3" fillId="0" borderId="0" xfId="4" applyNumberFormat="1" applyBorder="1">
      <alignment vertical="top"/>
    </xf>
    <xf numFmtId="44" fontId="3" fillId="0" borderId="0" xfId="4" applyNumberFormat="1">
      <alignment vertical="top"/>
    </xf>
    <xf numFmtId="10" fontId="3" fillId="5" borderId="0" xfId="3" applyNumberFormat="1" applyFont="1" applyFill="1" applyAlignment="1">
      <alignment vertical="top"/>
    </xf>
    <xf numFmtId="44" fontId="3" fillId="5" borderId="0" xfId="4" applyNumberFormat="1" applyFill="1">
      <alignment vertical="top"/>
    </xf>
    <xf numFmtId="0" fontId="3" fillId="0" borderId="0" xfId="4" applyFont="1" applyAlignment="1">
      <alignment horizontal="right" vertical="top"/>
    </xf>
    <xf numFmtId="0" fontId="3" fillId="4" borderId="0" xfId="4" applyFill="1" applyBorder="1" applyAlignment="1">
      <alignment horizontal="right" vertical="top"/>
    </xf>
    <xf numFmtId="44" fontId="3" fillId="4" borderId="0" xfId="5" applyFont="1" applyFill="1" applyBorder="1">
      <alignment vertical="top"/>
    </xf>
    <xf numFmtId="43" fontId="3" fillId="4" borderId="0" xfId="6" applyFont="1" applyFill="1" applyBorder="1">
      <alignment vertical="top"/>
    </xf>
    <xf numFmtId="0" fontId="3" fillId="5" borderId="0" xfId="4" applyFill="1">
      <alignment vertical="top"/>
    </xf>
    <xf numFmtId="0" fontId="3" fillId="4" borderId="0" xfId="4" applyFont="1" applyFill="1" applyBorder="1" applyAlignment="1">
      <alignment horizontal="right" vertical="top"/>
    </xf>
    <xf numFmtId="10" fontId="3" fillId="6" borderId="0" xfId="3" applyNumberFormat="1" applyFont="1" applyFill="1" applyAlignment="1">
      <alignment vertical="top"/>
    </xf>
    <xf numFmtId="44" fontId="3" fillId="6" borderId="0" xfId="4" applyNumberFormat="1" applyFill="1">
      <alignment vertical="top"/>
    </xf>
    <xf numFmtId="0" fontId="3" fillId="6" borderId="0" xfId="4" applyFill="1">
      <alignment vertical="top"/>
    </xf>
    <xf numFmtId="0" fontId="3" fillId="7" borderId="0" xfId="4" applyFont="1" applyFill="1" applyBorder="1" applyAlignment="1">
      <alignment horizontal="right" vertical="top"/>
    </xf>
    <xf numFmtId="44" fontId="3" fillId="7" borderId="0" xfId="5" applyFont="1" applyFill="1" applyBorder="1">
      <alignment vertical="top"/>
    </xf>
    <xf numFmtId="0" fontId="3" fillId="7" borderId="0" xfId="4" applyFill="1" applyBorder="1" applyAlignment="1">
      <alignment horizontal="right" vertical="top"/>
    </xf>
    <xf numFmtId="44" fontId="0" fillId="7" borderId="0" xfId="5" applyFont="1" applyFill="1" applyBorder="1">
      <alignment vertical="top"/>
    </xf>
    <xf numFmtId="10" fontId="3" fillId="8" borderId="0" xfId="3" applyNumberFormat="1" applyFont="1" applyFill="1" applyAlignment="1">
      <alignment vertical="top"/>
    </xf>
    <xf numFmtId="44" fontId="3" fillId="8" borderId="0" xfId="4" applyNumberFormat="1" applyFill="1">
      <alignment vertical="top"/>
    </xf>
    <xf numFmtId="0" fontId="3" fillId="8" borderId="0" xfId="4" applyFill="1">
      <alignment vertical="top"/>
    </xf>
    <xf numFmtId="43" fontId="3" fillId="0" borderId="0" xfId="1" applyFont="1" applyAlignment="1">
      <alignment vertical="top"/>
    </xf>
    <xf numFmtId="44" fontId="0" fillId="0" borderId="5" xfId="5" applyFont="1" applyBorder="1">
      <alignment vertical="top"/>
    </xf>
    <xf numFmtId="44" fontId="0" fillId="0" borderId="0" xfId="5" applyFont="1" applyAlignment="1">
      <alignment horizontal="right" vertical="top"/>
    </xf>
    <xf numFmtId="44" fontId="3" fillId="2" borderId="0" xfId="5" applyFont="1" applyFill="1">
      <alignment vertical="top"/>
    </xf>
    <xf numFmtId="0" fontId="3" fillId="0" borderId="0" xfId="4" applyBorder="1" applyAlignment="1">
      <alignment horizontal="right" vertical="top"/>
    </xf>
    <xf numFmtId="165" fontId="3" fillId="0" borderId="0" xfId="4" applyNumberFormat="1">
      <alignment vertical="top"/>
    </xf>
    <xf numFmtId="44" fontId="5" fillId="0" borderId="0" xfId="4" applyNumberFormat="1" applyFont="1">
      <alignment vertical="top"/>
    </xf>
    <xf numFmtId="10" fontId="3" fillId="9" borderId="0" xfId="3" applyNumberFormat="1" applyFont="1" applyFill="1" applyAlignment="1">
      <alignment vertical="top"/>
    </xf>
    <xf numFmtId="44" fontId="3" fillId="9" borderId="0" xfId="4" applyNumberFormat="1" applyFill="1">
      <alignment vertical="top"/>
    </xf>
    <xf numFmtId="0" fontId="3" fillId="9" borderId="0" xfId="4" applyFill="1">
      <alignment vertical="top"/>
    </xf>
    <xf numFmtId="10" fontId="3" fillId="10" borderId="0" xfId="3" applyNumberFormat="1" applyFont="1" applyFill="1" applyAlignment="1">
      <alignment vertical="top"/>
    </xf>
    <xf numFmtId="44" fontId="3" fillId="10" borderId="0" xfId="4" applyNumberFormat="1" applyFill="1">
      <alignment vertical="top"/>
    </xf>
    <xf numFmtId="0" fontId="3" fillId="10" borderId="0" xfId="4" applyFill="1">
      <alignment vertical="top"/>
    </xf>
    <xf numFmtId="10" fontId="3" fillId="11" borderId="0" xfId="3" applyNumberFormat="1" applyFont="1" applyFill="1" applyAlignment="1">
      <alignment vertical="top"/>
    </xf>
    <xf numFmtId="44" fontId="3" fillId="11" borderId="0" xfId="4" applyNumberFormat="1" applyFill="1">
      <alignment vertical="top"/>
    </xf>
    <xf numFmtId="0" fontId="3" fillId="11" borderId="0" xfId="4" applyFill="1">
      <alignment vertical="top"/>
    </xf>
    <xf numFmtId="10" fontId="3" fillId="12" borderId="0" xfId="3" applyNumberFormat="1" applyFont="1" applyFill="1" applyAlignment="1">
      <alignment vertical="top"/>
    </xf>
    <xf numFmtId="44" fontId="3" fillId="12" borderId="0" xfId="4" applyNumberFormat="1" applyFill="1">
      <alignment vertical="top"/>
    </xf>
    <xf numFmtId="0" fontId="3" fillId="12" borderId="0" xfId="4" applyFill="1">
      <alignment vertical="top"/>
    </xf>
    <xf numFmtId="10" fontId="3" fillId="13" borderId="0" xfId="3" applyNumberFormat="1" applyFont="1" applyFill="1" applyAlignment="1">
      <alignment vertical="top"/>
    </xf>
    <xf numFmtId="44" fontId="3" fillId="13" borderId="0" xfId="4" applyNumberFormat="1" applyFill="1">
      <alignment vertical="top"/>
    </xf>
    <xf numFmtId="0" fontId="3" fillId="13" borderId="0" xfId="4" applyFill="1">
      <alignment vertical="top"/>
    </xf>
    <xf numFmtId="0" fontId="3" fillId="0" borderId="0" xfId="4" applyFont="1" applyBorder="1" applyAlignment="1">
      <alignment horizontal="right" vertical="top"/>
    </xf>
    <xf numFmtId="10" fontId="3" fillId="14" borderId="0" xfId="3" applyNumberFormat="1" applyFont="1" applyFill="1" applyAlignment="1">
      <alignment vertical="top"/>
    </xf>
    <xf numFmtId="44" fontId="3" fillId="14" borderId="0" xfId="4" applyNumberFormat="1" applyFill="1">
      <alignment vertical="top"/>
    </xf>
    <xf numFmtId="0" fontId="3" fillId="14" borderId="0" xfId="4" applyFill="1">
      <alignment vertical="top"/>
    </xf>
    <xf numFmtId="166" fontId="3" fillId="0" borderId="0" xfId="3" applyNumberFormat="1" applyFont="1" applyAlignment="1">
      <alignment vertical="top"/>
    </xf>
    <xf numFmtId="2" fontId="3" fillId="4" borderId="0" xfId="4" quotePrefix="1" applyNumberFormat="1" applyFont="1" applyFill="1" applyBorder="1" applyAlignment="1">
      <alignment horizontal="right" vertical="top"/>
    </xf>
    <xf numFmtId="0" fontId="3" fillId="0" borderId="0" xfId="4" quotePrefix="1" applyFont="1" applyBorder="1" applyAlignment="1">
      <alignment horizontal="right" vertical="top"/>
    </xf>
    <xf numFmtId="0" fontId="3" fillId="4" borderId="0" xfId="4" quotePrefix="1" applyFont="1" applyFill="1" applyBorder="1" applyAlignment="1">
      <alignment horizontal="right" vertical="top"/>
    </xf>
    <xf numFmtId="0" fontId="3" fillId="0" borderId="0" xfId="4" applyFill="1">
      <alignment vertical="top"/>
    </xf>
    <xf numFmtId="0" fontId="3" fillId="0" borderId="0" xfId="4" applyAlignment="1">
      <alignment horizontal="right" vertical="top"/>
    </xf>
    <xf numFmtId="0" fontId="11" fillId="0" borderId="0" xfId="4" applyFont="1">
      <alignment vertical="top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3" fillId="0" borderId="0" xfId="7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10" fontId="2" fillId="0" borderId="0" xfId="8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/>
    <xf numFmtId="164" fontId="14" fillId="0" borderId="0" xfId="7" applyNumberFormat="1" applyFont="1"/>
    <xf numFmtId="43" fontId="15" fillId="0" borderId="0" xfId="7" applyFont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10" fontId="16" fillId="0" borderId="0" xfId="9" applyNumberFormat="1" applyAlignment="1">
      <alignment horizontal="left" vertical="center"/>
    </xf>
    <xf numFmtId="0" fontId="0" fillId="15" borderId="0" xfId="0" applyFont="1" applyFill="1" applyAlignment="1">
      <alignment horizontal="center" vertical="center"/>
    </xf>
    <xf numFmtId="0" fontId="14" fillId="15" borderId="0" xfId="0" applyFont="1" applyFill="1"/>
    <xf numFmtId="164" fontId="14" fillId="15" borderId="0" xfId="7" applyNumberFormat="1" applyFont="1" applyFill="1"/>
    <xf numFmtId="43" fontId="15" fillId="15" borderId="0" xfId="7" applyFont="1" applyFill="1" applyAlignment="1">
      <alignment horizontal="center" vertical="center" wrapText="1"/>
    </xf>
    <xf numFmtId="44" fontId="0" fillId="15" borderId="0" xfId="2" applyFont="1" applyFill="1"/>
    <xf numFmtId="44" fontId="0" fillId="15" borderId="0" xfId="0" applyNumberFormat="1" applyFill="1"/>
    <xf numFmtId="0" fontId="2" fillId="15" borderId="0" xfId="0" applyFont="1" applyFill="1" applyAlignment="1">
      <alignment horizontal="center" vertical="center"/>
    </xf>
    <xf numFmtId="10" fontId="16" fillId="15" borderId="0" xfId="9" applyNumberFormat="1" applyFill="1" applyAlignment="1">
      <alignment horizontal="left" vertical="center"/>
    </xf>
    <xf numFmtId="10" fontId="2" fillId="15" borderId="0" xfId="8" applyNumberFormat="1" applyFont="1" applyFill="1" applyAlignment="1">
      <alignment horizontal="center" vertical="center"/>
    </xf>
    <xf numFmtId="43" fontId="15" fillId="0" borderId="0" xfId="7" applyFont="1"/>
    <xf numFmtId="10" fontId="16" fillId="0" borderId="0" xfId="9" applyNumberFormat="1"/>
    <xf numFmtId="10" fontId="0" fillId="0" borderId="0" xfId="8" applyNumberFormat="1" applyFont="1"/>
    <xf numFmtId="44" fontId="0" fillId="16" borderId="0" xfId="2" applyFont="1" applyFill="1"/>
    <xf numFmtId="0" fontId="0" fillId="0" borderId="0" xfId="0" applyFill="1"/>
    <xf numFmtId="10" fontId="0" fillId="0" borderId="0" xfId="8" applyNumberFormat="1" applyFont="1" applyFill="1"/>
    <xf numFmtId="43" fontId="0" fillId="0" borderId="0" xfId="0" applyNumberFormat="1"/>
    <xf numFmtId="44" fontId="0" fillId="12" borderId="0" xfId="0" applyNumberFormat="1" applyFill="1"/>
    <xf numFmtId="10" fontId="0" fillId="12" borderId="0" xfId="8" applyNumberFormat="1" applyFont="1" applyFill="1"/>
    <xf numFmtId="0" fontId="0" fillId="12" borderId="0" xfId="0" applyFill="1"/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10" fontId="2" fillId="12" borderId="0" xfId="8" applyNumberFormat="1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43" fontId="0" fillId="12" borderId="0" xfId="8" applyNumberFormat="1" applyFont="1" applyFill="1"/>
    <xf numFmtId="44" fontId="0" fillId="12" borderId="0" xfId="2" applyFont="1" applyFill="1"/>
    <xf numFmtId="0" fontId="13" fillId="0" borderId="0" xfId="0" applyFont="1" applyFill="1"/>
    <xf numFmtId="164" fontId="3" fillId="0" borderId="0" xfId="4" applyNumberFormat="1">
      <alignment vertical="top"/>
    </xf>
    <xf numFmtId="164" fontId="3" fillId="0" borderId="0" xfId="4" applyNumberFormat="1" applyAlignment="1">
      <alignment horizontal="center" vertical="center" wrapText="1"/>
    </xf>
    <xf numFmtId="43" fontId="3" fillId="0" borderId="0" xfId="1" applyNumberFormat="1" applyFont="1" applyAlignment="1">
      <alignment vertical="top"/>
    </xf>
    <xf numFmtId="43" fontId="3" fillId="0" borderId="0" xfId="1" applyNumberFormat="1" applyFont="1" applyAlignment="1">
      <alignment horizontal="center" vertical="center" wrapText="1"/>
    </xf>
    <xf numFmtId="43" fontId="3" fillId="0" borderId="6" xfId="1" applyNumberFormat="1" applyFont="1" applyBorder="1" applyAlignment="1">
      <alignment horizontal="center" vertical="center" wrapText="1"/>
    </xf>
    <xf numFmtId="0" fontId="3" fillId="0" borderId="6" xfId="4" applyBorder="1">
      <alignment vertical="top"/>
    </xf>
    <xf numFmtId="43" fontId="3" fillId="0" borderId="0" xfId="4" applyNumberFormat="1" applyFont="1">
      <alignment vertical="top"/>
    </xf>
    <xf numFmtId="0" fontId="3" fillId="0" borderId="0" xfId="4" applyFont="1">
      <alignment vertical="top"/>
    </xf>
    <xf numFmtId="2" fontId="4" fillId="0" borderId="7" xfId="4" applyNumberFormat="1" applyFont="1" applyBorder="1">
      <alignment vertical="top"/>
    </xf>
    <xf numFmtId="0" fontId="4" fillId="0" borderId="7" xfId="4" applyFont="1" applyBorder="1">
      <alignment vertical="top"/>
    </xf>
    <xf numFmtId="44" fontId="3" fillId="0" borderId="0" xfId="2" applyFont="1" applyAlignment="1">
      <alignment vertical="top"/>
    </xf>
    <xf numFmtId="44" fontId="4" fillId="17" borderId="1" xfId="5" applyFont="1" applyFill="1" applyBorder="1" applyAlignment="1">
      <alignment horizontal="center" vertical="center" wrapText="1"/>
    </xf>
    <xf numFmtId="44" fontId="3" fillId="0" borderId="0" xfId="4" applyNumberFormat="1" applyFill="1">
      <alignment vertical="top"/>
    </xf>
    <xf numFmtId="44" fontId="4" fillId="0" borderId="0" xfId="5" applyFont="1" applyFill="1" applyBorder="1" applyAlignment="1">
      <alignment horizontal="center" vertical="center" wrapText="1"/>
    </xf>
    <xf numFmtId="44" fontId="3" fillId="0" borderId="0" xfId="2" applyFont="1" applyFill="1" applyAlignment="1">
      <alignment vertical="top"/>
    </xf>
    <xf numFmtId="167" fontId="4" fillId="0" borderId="0" xfId="2" applyNumberFormat="1" applyFont="1" applyAlignment="1">
      <alignment vertical="top"/>
    </xf>
    <xf numFmtId="0" fontId="4" fillId="3" borderId="1" xfId="4" applyFont="1" applyFill="1" applyBorder="1" applyAlignment="1">
      <alignment horizontal="center" vertical="top"/>
    </xf>
    <xf numFmtId="0" fontId="4" fillId="3" borderId="2" xfId="4" applyFont="1" applyFill="1" applyBorder="1" applyAlignment="1">
      <alignment horizontal="center" vertical="top"/>
    </xf>
    <xf numFmtId="0" fontId="4" fillId="3" borderId="3" xfId="4" applyFont="1" applyFill="1" applyBorder="1" applyAlignment="1">
      <alignment horizontal="center" vertical="top"/>
    </xf>
    <xf numFmtId="0" fontId="4" fillId="3" borderId="4" xfId="4" applyFont="1" applyFill="1" applyBorder="1" applyAlignment="1">
      <alignment horizontal="center" vertical="top"/>
    </xf>
    <xf numFmtId="0" fontId="8" fillId="3" borderId="1" xfId="4" applyFont="1" applyFill="1" applyBorder="1" applyAlignment="1">
      <alignment horizontal="center" vertical="top"/>
    </xf>
  </cellXfs>
  <cellStyles count="10">
    <cellStyle name="Comma" xfId="1" builtinId="3"/>
    <cellStyle name="Comma 11 2 2" xfId="7"/>
    <cellStyle name="Comma 18 4" xfId="6"/>
    <cellStyle name="Currency" xfId="2" builtinId="4"/>
    <cellStyle name="Currency 17" xfId="5"/>
    <cellStyle name="Hyperlink" xfId="9" builtinId="8"/>
    <cellStyle name="Normal" xfId="0" builtinId="0"/>
    <cellStyle name="Normal 10 9" xfId="4"/>
    <cellStyle name="Percent" xfId="3" builtinId="5"/>
    <cellStyle name="Percent 1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urrey%20%202111/Med%20Waste/General%20Filing%20-%20Filed%207-16-19/.Murrey's%20Pro%20forma%20from%20TG-180953%20-%20For%20Med%20Waste%20Filing%20-%20Will%20Ro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comah H IS thru 07-2019"/>
      <sheetName val="Murrey's G-9 Reg 2019"/>
      <sheetName val="Murrey's G-9 Reg 2018"/>
      <sheetName val="LG Med Waste 2111 (2)"/>
      <sheetName val="Murrey's LOB"/>
      <sheetName val="Murrey's-American IS"/>
      <sheetName val="Vashon IS"/>
      <sheetName val="DM IS"/>
      <sheetName val="Consolidated IS"/>
      <sheetName val="Med Waste PI"/>
      <sheetName val="Med Waste Disp Log"/>
      <sheetName val="Vashon LOB"/>
      <sheetName val="Hours+Tons"/>
      <sheetName val="Revenue+Cust"/>
      <sheetName val="Count"/>
      <sheetName val="Shop Hours"/>
      <sheetName val="Restating - Mur-Amer"/>
      <sheetName val="Restating - Vashon"/>
      <sheetName val="Restating Expl"/>
      <sheetName val="Pro forma Adj"/>
      <sheetName val="Murrey's Rate Sheet"/>
      <sheetName val="Vashon Rate Sheet"/>
      <sheetName val="References"/>
      <sheetName val="DF Calculation"/>
      <sheetName val="Proposed Rates"/>
      <sheetName val="DF Tons"/>
      <sheetName val="Vashon Total 16"/>
      <sheetName val="Murrey's Price Out"/>
      <sheetName val="American Price Out"/>
      <sheetName val="Vashon Price Out"/>
      <sheetName val="LG Summary"/>
      <sheetName val="LG Total Company 2111"/>
      <sheetName val="LG Med Waste 2111"/>
      <sheetName val="LG MSW 2111"/>
      <sheetName val="LG ALL GARBAGE 2111"/>
      <sheetName val="LG Recycling 2111"/>
      <sheetName val="LG YW 2111"/>
      <sheetName val="LG Roll Off 2111"/>
      <sheetName val="LG Total Company 2132"/>
      <sheetName val="LG MSW 2132"/>
      <sheetName val="LG Recycle 2132"/>
      <sheetName val="Vashon Deprec"/>
      <sheetName val="M-A Deprec"/>
      <sheetName val="Corp OH"/>
      <sheetName val="M-A Reg OH"/>
      <sheetName val="Vashon Reg OH"/>
      <sheetName val="DM Region OH"/>
      <sheetName val="Explanations"/>
      <sheetName val="DVP-DivCon Allocs"/>
      <sheetName val="Fuel Adjustment"/>
      <sheetName val="Disposal"/>
      <sheetName val="M-A Payroll Schedule"/>
      <sheetName val="Vashon Payroll Schedule"/>
      <sheetName val="DM Payroll Schedule"/>
      <sheetName val="70095"/>
      <sheetName val="70195"/>
      <sheetName val="70255"/>
      <sheetName val="2111_BS_09.30.18"/>
      <sheetName val="2111_BS_09.30.17"/>
      <sheetName val="2132_BS_09.30.18"/>
      <sheetName val="2132_BS_09.30.17"/>
      <sheetName val="2140_BS_9.30.18"/>
      <sheetName val="WCI B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D11">
            <v>105841.40000000001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20">
          <cell r="J20">
            <v>19175.892847302224</v>
          </cell>
          <cell r="K20">
            <v>0.18041363811048522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oolbox.wcnx.org/Programs/APPOLog/APPOLog/tabid/165/Default.aspx" TargetMode="External"/><Relationship Id="rId2" Type="http://schemas.openxmlformats.org/officeDocument/2006/relationships/hyperlink" Target="http://toolbox.wcnx.org/Programs/APPOLog/APPOLog/tabid/165/Default.aspx" TargetMode="External"/><Relationship Id="rId1" Type="http://schemas.openxmlformats.org/officeDocument/2006/relationships/hyperlink" Target="http://toolbox.wcnx.org/Programs/APPOLog/APPOLog/tabid/165/Default.asp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67"/>
  <sheetViews>
    <sheetView showGridLines="0" tabSelected="1" view="pageBreakPreview" zoomScale="85" zoomScaleNormal="115" zoomScaleSheetLayoutView="85" workbookViewId="0">
      <pane ySplit="7" topLeftCell="A8" activePane="bottomLeft" state="frozen"/>
      <selection pane="bottomLeft" activeCell="A3" sqref="A3"/>
    </sheetView>
  </sheetViews>
  <sheetFormatPr defaultRowHeight="15" x14ac:dyDescent="0.25"/>
  <cols>
    <col min="1" max="1" width="9.140625" style="2"/>
    <col min="2" max="3" width="13.85546875" style="2" customWidth="1"/>
    <col min="4" max="4" width="23.42578125" style="2" customWidth="1"/>
    <col min="5" max="5" width="13.85546875" style="3" customWidth="1"/>
    <col min="6" max="6" width="3.7109375" style="2" customWidth="1"/>
    <col min="7" max="8" width="8" style="2" customWidth="1"/>
    <col min="9" max="10" width="11.28515625" style="2" bestFit="1" customWidth="1"/>
    <col min="11" max="11" width="8" style="2" customWidth="1"/>
    <col min="12" max="12" width="3.140625" style="2" customWidth="1"/>
    <col min="13" max="13" width="11.5703125" style="2" customWidth="1"/>
    <col min="14" max="16" width="11.85546875" style="2" customWidth="1"/>
    <col min="17" max="17" width="12.42578125" style="4" customWidth="1"/>
    <col min="18" max="18" width="15.5703125" style="3" customWidth="1"/>
    <col min="19" max="19" width="18.140625" style="3" customWidth="1"/>
    <col min="20" max="20" width="16" style="2" customWidth="1"/>
    <col min="21" max="21" width="3.7109375" style="67" customWidth="1"/>
    <col min="22" max="23" width="8" style="2" customWidth="1"/>
    <col min="24" max="24" width="11.5703125" style="2" customWidth="1"/>
    <col min="25" max="266" width="9.140625" style="2"/>
    <col min="267" max="270" width="13.85546875" style="2" customWidth="1"/>
    <col min="271" max="271" width="8" style="2" customWidth="1"/>
    <col min="272" max="272" width="11.5703125" style="2" customWidth="1"/>
    <col min="273" max="275" width="11.85546875" style="2" customWidth="1"/>
    <col min="276" max="276" width="12.42578125" style="2" customWidth="1"/>
    <col min="277" max="277" width="15.5703125" style="2" customWidth="1"/>
    <col min="278" max="278" width="13.28515625" style="2" customWidth="1"/>
    <col min="279" max="522" width="9.140625" style="2"/>
    <col min="523" max="526" width="13.85546875" style="2" customWidth="1"/>
    <col min="527" max="527" width="8" style="2" customWidth="1"/>
    <col min="528" max="528" width="11.5703125" style="2" customWidth="1"/>
    <col min="529" max="531" width="11.85546875" style="2" customWidth="1"/>
    <col min="532" max="532" width="12.42578125" style="2" customWidth="1"/>
    <col min="533" max="533" width="15.5703125" style="2" customWidth="1"/>
    <col min="534" max="534" width="13.28515625" style="2" customWidth="1"/>
    <col min="535" max="778" width="9.140625" style="2"/>
    <col min="779" max="782" width="13.85546875" style="2" customWidth="1"/>
    <col min="783" max="783" width="8" style="2" customWidth="1"/>
    <col min="784" max="784" width="11.5703125" style="2" customWidth="1"/>
    <col min="785" max="787" width="11.85546875" style="2" customWidth="1"/>
    <col min="788" max="788" width="12.42578125" style="2" customWidth="1"/>
    <col min="789" max="789" width="15.5703125" style="2" customWidth="1"/>
    <col min="790" max="790" width="13.28515625" style="2" customWidth="1"/>
    <col min="791" max="1034" width="9.140625" style="2"/>
    <col min="1035" max="1038" width="13.85546875" style="2" customWidth="1"/>
    <col min="1039" max="1039" width="8" style="2" customWidth="1"/>
    <col min="1040" max="1040" width="11.5703125" style="2" customWidth="1"/>
    <col min="1041" max="1043" width="11.85546875" style="2" customWidth="1"/>
    <col min="1044" max="1044" width="12.42578125" style="2" customWidth="1"/>
    <col min="1045" max="1045" width="15.5703125" style="2" customWidth="1"/>
    <col min="1046" max="1046" width="13.28515625" style="2" customWidth="1"/>
    <col min="1047" max="1290" width="9.140625" style="2"/>
    <col min="1291" max="1294" width="13.85546875" style="2" customWidth="1"/>
    <col min="1295" max="1295" width="8" style="2" customWidth="1"/>
    <col min="1296" max="1296" width="11.5703125" style="2" customWidth="1"/>
    <col min="1297" max="1299" width="11.85546875" style="2" customWidth="1"/>
    <col min="1300" max="1300" width="12.42578125" style="2" customWidth="1"/>
    <col min="1301" max="1301" width="15.5703125" style="2" customWidth="1"/>
    <col min="1302" max="1302" width="13.28515625" style="2" customWidth="1"/>
    <col min="1303" max="1546" width="9.140625" style="2"/>
    <col min="1547" max="1550" width="13.85546875" style="2" customWidth="1"/>
    <col min="1551" max="1551" width="8" style="2" customWidth="1"/>
    <col min="1552" max="1552" width="11.5703125" style="2" customWidth="1"/>
    <col min="1553" max="1555" width="11.85546875" style="2" customWidth="1"/>
    <col min="1556" max="1556" width="12.42578125" style="2" customWidth="1"/>
    <col min="1557" max="1557" width="15.5703125" style="2" customWidth="1"/>
    <col min="1558" max="1558" width="13.28515625" style="2" customWidth="1"/>
    <col min="1559" max="1802" width="9.140625" style="2"/>
    <col min="1803" max="1806" width="13.85546875" style="2" customWidth="1"/>
    <col min="1807" max="1807" width="8" style="2" customWidth="1"/>
    <col min="1808" max="1808" width="11.5703125" style="2" customWidth="1"/>
    <col min="1809" max="1811" width="11.85546875" style="2" customWidth="1"/>
    <col min="1812" max="1812" width="12.42578125" style="2" customWidth="1"/>
    <col min="1813" max="1813" width="15.5703125" style="2" customWidth="1"/>
    <col min="1814" max="1814" width="13.28515625" style="2" customWidth="1"/>
    <col min="1815" max="2058" width="9.140625" style="2"/>
    <col min="2059" max="2062" width="13.85546875" style="2" customWidth="1"/>
    <col min="2063" max="2063" width="8" style="2" customWidth="1"/>
    <col min="2064" max="2064" width="11.5703125" style="2" customWidth="1"/>
    <col min="2065" max="2067" width="11.85546875" style="2" customWidth="1"/>
    <col min="2068" max="2068" width="12.42578125" style="2" customWidth="1"/>
    <col min="2069" max="2069" width="15.5703125" style="2" customWidth="1"/>
    <col min="2070" max="2070" width="13.28515625" style="2" customWidth="1"/>
    <col min="2071" max="2314" width="9.140625" style="2"/>
    <col min="2315" max="2318" width="13.85546875" style="2" customWidth="1"/>
    <col min="2319" max="2319" width="8" style="2" customWidth="1"/>
    <col min="2320" max="2320" width="11.5703125" style="2" customWidth="1"/>
    <col min="2321" max="2323" width="11.85546875" style="2" customWidth="1"/>
    <col min="2324" max="2324" width="12.42578125" style="2" customWidth="1"/>
    <col min="2325" max="2325" width="15.5703125" style="2" customWidth="1"/>
    <col min="2326" max="2326" width="13.28515625" style="2" customWidth="1"/>
    <col min="2327" max="2570" width="9.140625" style="2"/>
    <col min="2571" max="2574" width="13.85546875" style="2" customWidth="1"/>
    <col min="2575" max="2575" width="8" style="2" customWidth="1"/>
    <col min="2576" max="2576" width="11.5703125" style="2" customWidth="1"/>
    <col min="2577" max="2579" width="11.85546875" style="2" customWidth="1"/>
    <col min="2580" max="2580" width="12.42578125" style="2" customWidth="1"/>
    <col min="2581" max="2581" width="15.5703125" style="2" customWidth="1"/>
    <col min="2582" max="2582" width="13.28515625" style="2" customWidth="1"/>
    <col min="2583" max="2826" width="9.140625" style="2"/>
    <col min="2827" max="2830" width="13.85546875" style="2" customWidth="1"/>
    <col min="2831" max="2831" width="8" style="2" customWidth="1"/>
    <col min="2832" max="2832" width="11.5703125" style="2" customWidth="1"/>
    <col min="2833" max="2835" width="11.85546875" style="2" customWidth="1"/>
    <col min="2836" max="2836" width="12.42578125" style="2" customWidth="1"/>
    <col min="2837" max="2837" width="15.5703125" style="2" customWidth="1"/>
    <col min="2838" max="2838" width="13.28515625" style="2" customWidth="1"/>
    <col min="2839" max="3082" width="9.140625" style="2"/>
    <col min="3083" max="3086" width="13.85546875" style="2" customWidth="1"/>
    <col min="3087" max="3087" width="8" style="2" customWidth="1"/>
    <col min="3088" max="3088" width="11.5703125" style="2" customWidth="1"/>
    <col min="3089" max="3091" width="11.85546875" style="2" customWidth="1"/>
    <col min="3092" max="3092" width="12.42578125" style="2" customWidth="1"/>
    <col min="3093" max="3093" width="15.5703125" style="2" customWidth="1"/>
    <col min="3094" max="3094" width="13.28515625" style="2" customWidth="1"/>
    <col min="3095" max="3338" width="9.140625" style="2"/>
    <col min="3339" max="3342" width="13.85546875" style="2" customWidth="1"/>
    <col min="3343" max="3343" width="8" style="2" customWidth="1"/>
    <col min="3344" max="3344" width="11.5703125" style="2" customWidth="1"/>
    <col min="3345" max="3347" width="11.85546875" style="2" customWidth="1"/>
    <col min="3348" max="3348" width="12.42578125" style="2" customWidth="1"/>
    <col min="3349" max="3349" width="15.5703125" style="2" customWidth="1"/>
    <col min="3350" max="3350" width="13.28515625" style="2" customWidth="1"/>
    <col min="3351" max="3594" width="9.140625" style="2"/>
    <col min="3595" max="3598" width="13.85546875" style="2" customWidth="1"/>
    <col min="3599" max="3599" width="8" style="2" customWidth="1"/>
    <col min="3600" max="3600" width="11.5703125" style="2" customWidth="1"/>
    <col min="3601" max="3603" width="11.85546875" style="2" customWidth="1"/>
    <col min="3604" max="3604" width="12.42578125" style="2" customWidth="1"/>
    <col min="3605" max="3605" width="15.5703125" style="2" customWidth="1"/>
    <col min="3606" max="3606" width="13.28515625" style="2" customWidth="1"/>
    <col min="3607" max="3850" width="9.140625" style="2"/>
    <col min="3851" max="3854" width="13.85546875" style="2" customWidth="1"/>
    <col min="3855" max="3855" width="8" style="2" customWidth="1"/>
    <col min="3856" max="3856" width="11.5703125" style="2" customWidth="1"/>
    <col min="3857" max="3859" width="11.85546875" style="2" customWidth="1"/>
    <col min="3860" max="3860" width="12.42578125" style="2" customWidth="1"/>
    <col min="3861" max="3861" width="15.5703125" style="2" customWidth="1"/>
    <col min="3862" max="3862" width="13.28515625" style="2" customWidth="1"/>
    <col min="3863" max="4106" width="9.140625" style="2"/>
    <col min="4107" max="4110" width="13.85546875" style="2" customWidth="1"/>
    <col min="4111" max="4111" width="8" style="2" customWidth="1"/>
    <col min="4112" max="4112" width="11.5703125" style="2" customWidth="1"/>
    <col min="4113" max="4115" width="11.85546875" style="2" customWidth="1"/>
    <col min="4116" max="4116" width="12.42578125" style="2" customWidth="1"/>
    <col min="4117" max="4117" width="15.5703125" style="2" customWidth="1"/>
    <col min="4118" max="4118" width="13.28515625" style="2" customWidth="1"/>
    <col min="4119" max="4362" width="9.140625" style="2"/>
    <col min="4363" max="4366" width="13.85546875" style="2" customWidth="1"/>
    <col min="4367" max="4367" width="8" style="2" customWidth="1"/>
    <col min="4368" max="4368" width="11.5703125" style="2" customWidth="1"/>
    <col min="4369" max="4371" width="11.85546875" style="2" customWidth="1"/>
    <col min="4372" max="4372" width="12.42578125" style="2" customWidth="1"/>
    <col min="4373" max="4373" width="15.5703125" style="2" customWidth="1"/>
    <col min="4374" max="4374" width="13.28515625" style="2" customWidth="1"/>
    <col min="4375" max="4618" width="9.140625" style="2"/>
    <col min="4619" max="4622" width="13.85546875" style="2" customWidth="1"/>
    <col min="4623" max="4623" width="8" style="2" customWidth="1"/>
    <col min="4624" max="4624" width="11.5703125" style="2" customWidth="1"/>
    <col min="4625" max="4627" width="11.85546875" style="2" customWidth="1"/>
    <col min="4628" max="4628" width="12.42578125" style="2" customWidth="1"/>
    <col min="4629" max="4629" width="15.5703125" style="2" customWidth="1"/>
    <col min="4630" max="4630" width="13.28515625" style="2" customWidth="1"/>
    <col min="4631" max="4874" width="9.140625" style="2"/>
    <col min="4875" max="4878" width="13.85546875" style="2" customWidth="1"/>
    <col min="4879" max="4879" width="8" style="2" customWidth="1"/>
    <col min="4880" max="4880" width="11.5703125" style="2" customWidth="1"/>
    <col min="4881" max="4883" width="11.85546875" style="2" customWidth="1"/>
    <col min="4884" max="4884" width="12.42578125" style="2" customWidth="1"/>
    <col min="4885" max="4885" width="15.5703125" style="2" customWidth="1"/>
    <col min="4886" max="4886" width="13.28515625" style="2" customWidth="1"/>
    <col min="4887" max="5130" width="9.140625" style="2"/>
    <col min="5131" max="5134" width="13.85546875" style="2" customWidth="1"/>
    <col min="5135" max="5135" width="8" style="2" customWidth="1"/>
    <col min="5136" max="5136" width="11.5703125" style="2" customWidth="1"/>
    <col min="5137" max="5139" width="11.85546875" style="2" customWidth="1"/>
    <col min="5140" max="5140" width="12.42578125" style="2" customWidth="1"/>
    <col min="5141" max="5141" width="15.5703125" style="2" customWidth="1"/>
    <col min="5142" max="5142" width="13.28515625" style="2" customWidth="1"/>
    <col min="5143" max="5386" width="9.140625" style="2"/>
    <col min="5387" max="5390" width="13.85546875" style="2" customWidth="1"/>
    <col min="5391" max="5391" width="8" style="2" customWidth="1"/>
    <col min="5392" max="5392" width="11.5703125" style="2" customWidth="1"/>
    <col min="5393" max="5395" width="11.85546875" style="2" customWidth="1"/>
    <col min="5396" max="5396" width="12.42578125" style="2" customWidth="1"/>
    <col min="5397" max="5397" width="15.5703125" style="2" customWidth="1"/>
    <col min="5398" max="5398" width="13.28515625" style="2" customWidth="1"/>
    <col min="5399" max="5642" width="9.140625" style="2"/>
    <col min="5643" max="5646" width="13.85546875" style="2" customWidth="1"/>
    <col min="5647" max="5647" width="8" style="2" customWidth="1"/>
    <col min="5648" max="5648" width="11.5703125" style="2" customWidth="1"/>
    <col min="5649" max="5651" width="11.85546875" style="2" customWidth="1"/>
    <col min="5652" max="5652" width="12.42578125" style="2" customWidth="1"/>
    <col min="5653" max="5653" width="15.5703125" style="2" customWidth="1"/>
    <col min="5654" max="5654" width="13.28515625" style="2" customWidth="1"/>
    <col min="5655" max="5898" width="9.140625" style="2"/>
    <col min="5899" max="5902" width="13.85546875" style="2" customWidth="1"/>
    <col min="5903" max="5903" width="8" style="2" customWidth="1"/>
    <col min="5904" max="5904" width="11.5703125" style="2" customWidth="1"/>
    <col min="5905" max="5907" width="11.85546875" style="2" customWidth="1"/>
    <col min="5908" max="5908" width="12.42578125" style="2" customWidth="1"/>
    <col min="5909" max="5909" width="15.5703125" style="2" customWidth="1"/>
    <col min="5910" max="5910" width="13.28515625" style="2" customWidth="1"/>
    <col min="5911" max="6154" width="9.140625" style="2"/>
    <col min="6155" max="6158" width="13.85546875" style="2" customWidth="1"/>
    <col min="6159" max="6159" width="8" style="2" customWidth="1"/>
    <col min="6160" max="6160" width="11.5703125" style="2" customWidth="1"/>
    <col min="6161" max="6163" width="11.85546875" style="2" customWidth="1"/>
    <col min="6164" max="6164" width="12.42578125" style="2" customWidth="1"/>
    <col min="6165" max="6165" width="15.5703125" style="2" customWidth="1"/>
    <col min="6166" max="6166" width="13.28515625" style="2" customWidth="1"/>
    <col min="6167" max="6410" width="9.140625" style="2"/>
    <col min="6411" max="6414" width="13.85546875" style="2" customWidth="1"/>
    <col min="6415" max="6415" width="8" style="2" customWidth="1"/>
    <col min="6416" max="6416" width="11.5703125" style="2" customWidth="1"/>
    <col min="6417" max="6419" width="11.85546875" style="2" customWidth="1"/>
    <col min="6420" max="6420" width="12.42578125" style="2" customWidth="1"/>
    <col min="6421" max="6421" width="15.5703125" style="2" customWidth="1"/>
    <col min="6422" max="6422" width="13.28515625" style="2" customWidth="1"/>
    <col min="6423" max="6666" width="9.140625" style="2"/>
    <col min="6667" max="6670" width="13.85546875" style="2" customWidth="1"/>
    <col min="6671" max="6671" width="8" style="2" customWidth="1"/>
    <col min="6672" max="6672" width="11.5703125" style="2" customWidth="1"/>
    <col min="6673" max="6675" width="11.85546875" style="2" customWidth="1"/>
    <col min="6676" max="6676" width="12.42578125" style="2" customWidth="1"/>
    <col min="6677" max="6677" width="15.5703125" style="2" customWidth="1"/>
    <col min="6678" max="6678" width="13.28515625" style="2" customWidth="1"/>
    <col min="6679" max="6922" width="9.140625" style="2"/>
    <col min="6923" max="6926" width="13.85546875" style="2" customWidth="1"/>
    <col min="6927" max="6927" width="8" style="2" customWidth="1"/>
    <col min="6928" max="6928" width="11.5703125" style="2" customWidth="1"/>
    <col min="6929" max="6931" width="11.85546875" style="2" customWidth="1"/>
    <col min="6932" max="6932" width="12.42578125" style="2" customWidth="1"/>
    <col min="6933" max="6933" width="15.5703125" style="2" customWidth="1"/>
    <col min="6934" max="6934" width="13.28515625" style="2" customWidth="1"/>
    <col min="6935" max="7178" width="9.140625" style="2"/>
    <col min="7179" max="7182" width="13.85546875" style="2" customWidth="1"/>
    <col min="7183" max="7183" width="8" style="2" customWidth="1"/>
    <col min="7184" max="7184" width="11.5703125" style="2" customWidth="1"/>
    <col min="7185" max="7187" width="11.85546875" style="2" customWidth="1"/>
    <col min="7188" max="7188" width="12.42578125" style="2" customWidth="1"/>
    <col min="7189" max="7189" width="15.5703125" style="2" customWidth="1"/>
    <col min="7190" max="7190" width="13.28515625" style="2" customWidth="1"/>
    <col min="7191" max="7434" width="9.140625" style="2"/>
    <col min="7435" max="7438" width="13.85546875" style="2" customWidth="1"/>
    <col min="7439" max="7439" width="8" style="2" customWidth="1"/>
    <col min="7440" max="7440" width="11.5703125" style="2" customWidth="1"/>
    <col min="7441" max="7443" width="11.85546875" style="2" customWidth="1"/>
    <col min="7444" max="7444" width="12.42578125" style="2" customWidth="1"/>
    <col min="7445" max="7445" width="15.5703125" style="2" customWidth="1"/>
    <col min="7446" max="7446" width="13.28515625" style="2" customWidth="1"/>
    <col min="7447" max="7690" width="9.140625" style="2"/>
    <col min="7691" max="7694" width="13.85546875" style="2" customWidth="1"/>
    <col min="7695" max="7695" width="8" style="2" customWidth="1"/>
    <col min="7696" max="7696" width="11.5703125" style="2" customWidth="1"/>
    <col min="7697" max="7699" width="11.85546875" style="2" customWidth="1"/>
    <col min="7700" max="7700" width="12.42578125" style="2" customWidth="1"/>
    <col min="7701" max="7701" width="15.5703125" style="2" customWidth="1"/>
    <col min="7702" max="7702" width="13.28515625" style="2" customWidth="1"/>
    <col min="7703" max="7946" width="9.140625" style="2"/>
    <col min="7947" max="7950" width="13.85546875" style="2" customWidth="1"/>
    <col min="7951" max="7951" width="8" style="2" customWidth="1"/>
    <col min="7952" max="7952" width="11.5703125" style="2" customWidth="1"/>
    <col min="7953" max="7955" width="11.85546875" style="2" customWidth="1"/>
    <col min="7956" max="7956" width="12.42578125" style="2" customWidth="1"/>
    <col min="7957" max="7957" width="15.5703125" style="2" customWidth="1"/>
    <col min="7958" max="7958" width="13.28515625" style="2" customWidth="1"/>
    <col min="7959" max="8202" width="9.140625" style="2"/>
    <col min="8203" max="8206" width="13.85546875" style="2" customWidth="1"/>
    <col min="8207" max="8207" width="8" style="2" customWidth="1"/>
    <col min="8208" max="8208" width="11.5703125" style="2" customWidth="1"/>
    <col min="8209" max="8211" width="11.85546875" style="2" customWidth="1"/>
    <col min="8212" max="8212" width="12.42578125" style="2" customWidth="1"/>
    <col min="8213" max="8213" width="15.5703125" style="2" customWidth="1"/>
    <col min="8214" max="8214" width="13.28515625" style="2" customWidth="1"/>
    <col min="8215" max="8458" width="9.140625" style="2"/>
    <col min="8459" max="8462" width="13.85546875" style="2" customWidth="1"/>
    <col min="8463" max="8463" width="8" style="2" customWidth="1"/>
    <col min="8464" max="8464" width="11.5703125" style="2" customWidth="1"/>
    <col min="8465" max="8467" width="11.85546875" style="2" customWidth="1"/>
    <col min="8468" max="8468" width="12.42578125" style="2" customWidth="1"/>
    <col min="8469" max="8469" width="15.5703125" style="2" customWidth="1"/>
    <col min="8470" max="8470" width="13.28515625" style="2" customWidth="1"/>
    <col min="8471" max="8714" width="9.140625" style="2"/>
    <col min="8715" max="8718" width="13.85546875" style="2" customWidth="1"/>
    <col min="8719" max="8719" width="8" style="2" customWidth="1"/>
    <col min="8720" max="8720" width="11.5703125" style="2" customWidth="1"/>
    <col min="8721" max="8723" width="11.85546875" style="2" customWidth="1"/>
    <col min="8724" max="8724" width="12.42578125" style="2" customWidth="1"/>
    <col min="8725" max="8725" width="15.5703125" style="2" customWidth="1"/>
    <col min="8726" max="8726" width="13.28515625" style="2" customWidth="1"/>
    <col min="8727" max="8970" width="9.140625" style="2"/>
    <col min="8971" max="8974" width="13.85546875" style="2" customWidth="1"/>
    <col min="8975" max="8975" width="8" style="2" customWidth="1"/>
    <col min="8976" max="8976" width="11.5703125" style="2" customWidth="1"/>
    <col min="8977" max="8979" width="11.85546875" style="2" customWidth="1"/>
    <col min="8980" max="8980" width="12.42578125" style="2" customWidth="1"/>
    <col min="8981" max="8981" width="15.5703125" style="2" customWidth="1"/>
    <col min="8982" max="8982" width="13.28515625" style="2" customWidth="1"/>
    <col min="8983" max="9226" width="9.140625" style="2"/>
    <col min="9227" max="9230" width="13.85546875" style="2" customWidth="1"/>
    <col min="9231" max="9231" width="8" style="2" customWidth="1"/>
    <col min="9232" max="9232" width="11.5703125" style="2" customWidth="1"/>
    <col min="9233" max="9235" width="11.85546875" style="2" customWidth="1"/>
    <col min="9236" max="9236" width="12.42578125" style="2" customWidth="1"/>
    <col min="9237" max="9237" width="15.5703125" style="2" customWidth="1"/>
    <col min="9238" max="9238" width="13.28515625" style="2" customWidth="1"/>
    <col min="9239" max="9482" width="9.140625" style="2"/>
    <col min="9483" max="9486" width="13.85546875" style="2" customWidth="1"/>
    <col min="9487" max="9487" width="8" style="2" customWidth="1"/>
    <col min="9488" max="9488" width="11.5703125" style="2" customWidth="1"/>
    <col min="9489" max="9491" width="11.85546875" style="2" customWidth="1"/>
    <col min="9492" max="9492" width="12.42578125" style="2" customWidth="1"/>
    <col min="9493" max="9493" width="15.5703125" style="2" customWidth="1"/>
    <col min="9494" max="9494" width="13.28515625" style="2" customWidth="1"/>
    <col min="9495" max="9738" width="9.140625" style="2"/>
    <col min="9739" max="9742" width="13.85546875" style="2" customWidth="1"/>
    <col min="9743" max="9743" width="8" style="2" customWidth="1"/>
    <col min="9744" max="9744" width="11.5703125" style="2" customWidth="1"/>
    <col min="9745" max="9747" width="11.85546875" style="2" customWidth="1"/>
    <col min="9748" max="9748" width="12.42578125" style="2" customWidth="1"/>
    <col min="9749" max="9749" width="15.5703125" style="2" customWidth="1"/>
    <col min="9750" max="9750" width="13.28515625" style="2" customWidth="1"/>
    <col min="9751" max="9994" width="9.140625" style="2"/>
    <col min="9995" max="9998" width="13.85546875" style="2" customWidth="1"/>
    <col min="9999" max="9999" width="8" style="2" customWidth="1"/>
    <col min="10000" max="10000" width="11.5703125" style="2" customWidth="1"/>
    <col min="10001" max="10003" width="11.85546875" style="2" customWidth="1"/>
    <col min="10004" max="10004" width="12.42578125" style="2" customWidth="1"/>
    <col min="10005" max="10005" width="15.5703125" style="2" customWidth="1"/>
    <col min="10006" max="10006" width="13.28515625" style="2" customWidth="1"/>
    <col min="10007" max="10250" width="9.140625" style="2"/>
    <col min="10251" max="10254" width="13.85546875" style="2" customWidth="1"/>
    <col min="10255" max="10255" width="8" style="2" customWidth="1"/>
    <col min="10256" max="10256" width="11.5703125" style="2" customWidth="1"/>
    <col min="10257" max="10259" width="11.85546875" style="2" customWidth="1"/>
    <col min="10260" max="10260" width="12.42578125" style="2" customWidth="1"/>
    <col min="10261" max="10261" width="15.5703125" style="2" customWidth="1"/>
    <col min="10262" max="10262" width="13.28515625" style="2" customWidth="1"/>
    <col min="10263" max="10506" width="9.140625" style="2"/>
    <col min="10507" max="10510" width="13.85546875" style="2" customWidth="1"/>
    <col min="10511" max="10511" width="8" style="2" customWidth="1"/>
    <col min="10512" max="10512" width="11.5703125" style="2" customWidth="1"/>
    <col min="10513" max="10515" width="11.85546875" style="2" customWidth="1"/>
    <col min="10516" max="10516" width="12.42578125" style="2" customWidth="1"/>
    <col min="10517" max="10517" width="15.5703125" style="2" customWidth="1"/>
    <col min="10518" max="10518" width="13.28515625" style="2" customWidth="1"/>
    <col min="10519" max="10762" width="9.140625" style="2"/>
    <col min="10763" max="10766" width="13.85546875" style="2" customWidth="1"/>
    <col min="10767" max="10767" width="8" style="2" customWidth="1"/>
    <col min="10768" max="10768" width="11.5703125" style="2" customWidth="1"/>
    <col min="10769" max="10771" width="11.85546875" style="2" customWidth="1"/>
    <col min="10772" max="10772" width="12.42578125" style="2" customWidth="1"/>
    <col min="10773" max="10773" width="15.5703125" style="2" customWidth="1"/>
    <col min="10774" max="10774" width="13.28515625" style="2" customWidth="1"/>
    <col min="10775" max="11018" width="9.140625" style="2"/>
    <col min="11019" max="11022" width="13.85546875" style="2" customWidth="1"/>
    <col min="11023" max="11023" width="8" style="2" customWidth="1"/>
    <col min="11024" max="11024" width="11.5703125" style="2" customWidth="1"/>
    <col min="11025" max="11027" width="11.85546875" style="2" customWidth="1"/>
    <col min="11028" max="11028" width="12.42578125" style="2" customWidth="1"/>
    <col min="11029" max="11029" width="15.5703125" style="2" customWidth="1"/>
    <col min="11030" max="11030" width="13.28515625" style="2" customWidth="1"/>
    <col min="11031" max="11274" width="9.140625" style="2"/>
    <col min="11275" max="11278" width="13.85546875" style="2" customWidth="1"/>
    <col min="11279" max="11279" width="8" style="2" customWidth="1"/>
    <col min="11280" max="11280" width="11.5703125" style="2" customWidth="1"/>
    <col min="11281" max="11283" width="11.85546875" style="2" customWidth="1"/>
    <col min="11284" max="11284" width="12.42578125" style="2" customWidth="1"/>
    <col min="11285" max="11285" width="15.5703125" style="2" customWidth="1"/>
    <col min="11286" max="11286" width="13.28515625" style="2" customWidth="1"/>
    <col min="11287" max="11530" width="9.140625" style="2"/>
    <col min="11531" max="11534" width="13.85546875" style="2" customWidth="1"/>
    <col min="11535" max="11535" width="8" style="2" customWidth="1"/>
    <col min="11536" max="11536" width="11.5703125" style="2" customWidth="1"/>
    <col min="11537" max="11539" width="11.85546875" style="2" customWidth="1"/>
    <col min="11540" max="11540" width="12.42578125" style="2" customWidth="1"/>
    <col min="11541" max="11541" width="15.5703125" style="2" customWidth="1"/>
    <col min="11542" max="11542" width="13.28515625" style="2" customWidth="1"/>
    <col min="11543" max="11786" width="9.140625" style="2"/>
    <col min="11787" max="11790" width="13.85546875" style="2" customWidth="1"/>
    <col min="11791" max="11791" width="8" style="2" customWidth="1"/>
    <col min="11792" max="11792" width="11.5703125" style="2" customWidth="1"/>
    <col min="11793" max="11795" width="11.85546875" style="2" customWidth="1"/>
    <col min="11796" max="11796" width="12.42578125" style="2" customWidth="1"/>
    <col min="11797" max="11797" width="15.5703125" style="2" customWidth="1"/>
    <col min="11798" max="11798" width="13.28515625" style="2" customWidth="1"/>
    <col min="11799" max="12042" width="9.140625" style="2"/>
    <col min="12043" max="12046" width="13.85546875" style="2" customWidth="1"/>
    <col min="12047" max="12047" width="8" style="2" customWidth="1"/>
    <col min="12048" max="12048" width="11.5703125" style="2" customWidth="1"/>
    <col min="12049" max="12051" width="11.85546875" style="2" customWidth="1"/>
    <col min="12052" max="12052" width="12.42578125" style="2" customWidth="1"/>
    <col min="12053" max="12053" width="15.5703125" style="2" customWidth="1"/>
    <col min="12054" max="12054" width="13.28515625" style="2" customWidth="1"/>
    <col min="12055" max="12298" width="9.140625" style="2"/>
    <col min="12299" max="12302" width="13.85546875" style="2" customWidth="1"/>
    <col min="12303" max="12303" width="8" style="2" customWidth="1"/>
    <col min="12304" max="12304" width="11.5703125" style="2" customWidth="1"/>
    <col min="12305" max="12307" width="11.85546875" style="2" customWidth="1"/>
    <col min="12308" max="12308" width="12.42578125" style="2" customWidth="1"/>
    <col min="12309" max="12309" width="15.5703125" style="2" customWidth="1"/>
    <col min="12310" max="12310" width="13.28515625" style="2" customWidth="1"/>
    <col min="12311" max="12554" width="9.140625" style="2"/>
    <col min="12555" max="12558" width="13.85546875" style="2" customWidth="1"/>
    <col min="12559" max="12559" width="8" style="2" customWidth="1"/>
    <col min="12560" max="12560" width="11.5703125" style="2" customWidth="1"/>
    <col min="12561" max="12563" width="11.85546875" style="2" customWidth="1"/>
    <col min="12564" max="12564" width="12.42578125" style="2" customWidth="1"/>
    <col min="12565" max="12565" width="15.5703125" style="2" customWidth="1"/>
    <col min="12566" max="12566" width="13.28515625" style="2" customWidth="1"/>
    <col min="12567" max="12810" width="9.140625" style="2"/>
    <col min="12811" max="12814" width="13.85546875" style="2" customWidth="1"/>
    <col min="12815" max="12815" width="8" style="2" customWidth="1"/>
    <col min="12816" max="12816" width="11.5703125" style="2" customWidth="1"/>
    <col min="12817" max="12819" width="11.85546875" style="2" customWidth="1"/>
    <col min="12820" max="12820" width="12.42578125" style="2" customWidth="1"/>
    <col min="12821" max="12821" width="15.5703125" style="2" customWidth="1"/>
    <col min="12822" max="12822" width="13.28515625" style="2" customWidth="1"/>
    <col min="12823" max="13066" width="9.140625" style="2"/>
    <col min="13067" max="13070" width="13.85546875" style="2" customWidth="1"/>
    <col min="13071" max="13071" width="8" style="2" customWidth="1"/>
    <col min="13072" max="13072" width="11.5703125" style="2" customWidth="1"/>
    <col min="13073" max="13075" width="11.85546875" style="2" customWidth="1"/>
    <col min="13076" max="13076" width="12.42578125" style="2" customWidth="1"/>
    <col min="13077" max="13077" width="15.5703125" style="2" customWidth="1"/>
    <col min="13078" max="13078" width="13.28515625" style="2" customWidth="1"/>
    <col min="13079" max="13322" width="9.140625" style="2"/>
    <col min="13323" max="13326" width="13.85546875" style="2" customWidth="1"/>
    <col min="13327" max="13327" width="8" style="2" customWidth="1"/>
    <col min="13328" max="13328" width="11.5703125" style="2" customWidth="1"/>
    <col min="13329" max="13331" width="11.85546875" style="2" customWidth="1"/>
    <col min="13332" max="13332" width="12.42578125" style="2" customWidth="1"/>
    <col min="13333" max="13333" width="15.5703125" style="2" customWidth="1"/>
    <col min="13334" max="13334" width="13.28515625" style="2" customWidth="1"/>
    <col min="13335" max="13578" width="9.140625" style="2"/>
    <col min="13579" max="13582" width="13.85546875" style="2" customWidth="1"/>
    <col min="13583" max="13583" width="8" style="2" customWidth="1"/>
    <col min="13584" max="13584" width="11.5703125" style="2" customWidth="1"/>
    <col min="13585" max="13587" width="11.85546875" style="2" customWidth="1"/>
    <col min="13588" max="13588" width="12.42578125" style="2" customWidth="1"/>
    <col min="13589" max="13589" width="15.5703125" style="2" customWidth="1"/>
    <col min="13590" max="13590" width="13.28515625" style="2" customWidth="1"/>
    <col min="13591" max="13834" width="9.140625" style="2"/>
    <col min="13835" max="13838" width="13.85546875" style="2" customWidth="1"/>
    <col min="13839" max="13839" width="8" style="2" customWidth="1"/>
    <col min="13840" max="13840" width="11.5703125" style="2" customWidth="1"/>
    <col min="13841" max="13843" width="11.85546875" style="2" customWidth="1"/>
    <col min="13844" max="13844" width="12.42578125" style="2" customWidth="1"/>
    <col min="13845" max="13845" width="15.5703125" style="2" customWidth="1"/>
    <col min="13846" max="13846" width="13.28515625" style="2" customWidth="1"/>
    <col min="13847" max="14090" width="9.140625" style="2"/>
    <col min="14091" max="14094" width="13.85546875" style="2" customWidth="1"/>
    <col min="14095" max="14095" width="8" style="2" customWidth="1"/>
    <col min="14096" max="14096" width="11.5703125" style="2" customWidth="1"/>
    <col min="14097" max="14099" width="11.85546875" style="2" customWidth="1"/>
    <col min="14100" max="14100" width="12.42578125" style="2" customWidth="1"/>
    <col min="14101" max="14101" width="15.5703125" style="2" customWidth="1"/>
    <col min="14102" max="14102" width="13.28515625" style="2" customWidth="1"/>
    <col min="14103" max="14346" width="9.140625" style="2"/>
    <col min="14347" max="14350" width="13.85546875" style="2" customWidth="1"/>
    <col min="14351" max="14351" width="8" style="2" customWidth="1"/>
    <col min="14352" max="14352" width="11.5703125" style="2" customWidth="1"/>
    <col min="14353" max="14355" width="11.85546875" style="2" customWidth="1"/>
    <col min="14356" max="14356" width="12.42578125" style="2" customWidth="1"/>
    <col min="14357" max="14357" width="15.5703125" style="2" customWidth="1"/>
    <col min="14358" max="14358" width="13.28515625" style="2" customWidth="1"/>
    <col min="14359" max="14602" width="9.140625" style="2"/>
    <col min="14603" max="14606" width="13.85546875" style="2" customWidth="1"/>
    <col min="14607" max="14607" width="8" style="2" customWidth="1"/>
    <col min="14608" max="14608" width="11.5703125" style="2" customWidth="1"/>
    <col min="14609" max="14611" width="11.85546875" style="2" customWidth="1"/>
    <col min="14612" max="14612" width="12.42578125" style="2" customWidth="1"/>
    <col min="14613" max="14613" width="15.5703125" style="2" customWidth="1"/>
    <col min="14614" max="14614" width="13.28515625" style="2" customWidth="1"/>
    <col min="14615" max="14858" width="9.140625" style="2"/>
    <col min="14859" max="14862" width="13.85546875" style="2" customWidth="1"/>
    <col min="14863" max="14863" width="8" style="2" customWidth="1"/>
    <col min="14864" max="14864" width="11.5703125" style="2" customWidth="1"/>
    <col min="14865" max="14867" width="11.85546875" style="2" customWidth="1"/>
    <col min="14868" max="14868" width="12.42578125" style="2" customWidth="1"/>
    <col min="14869" max="14869" width="15.5703125" style="2" customWidth="1"/>
    <col min="14870" max="14870" width="13.28515625" style="2" customWidth="1"/>
    <col min="14871" max="15114" width="9.140625" style="2"/>
    <col min="15115" max="15118" width="13.85546875" style="2" customWidth="1"/>
    <col min="15119" max="15119" width="8" style="2" customWidth="1"/>
    <col min="15120" max="15120" width="11.5703125" style="2" customWidth="1"/>
    <col min="15121" max="15123" width="11.85546875" style="2" customWidth="1"/>
    <col min="15124" max="15124" width="12.42578125" style="2" customWidth="1"/>
    <col min="15125" max="15125" width="15.5703125" style="2" customWidth="1"/>
    <col min="15126" max="15126" width="13.28515625" style="2" customWidth="1"/>
    <col min="15127" max="15370" width="9.140625" style="2"/>
    <col min="15371" max="15374" width="13.85546875" style="2" customWidth="1"/>
    <col min="15375" max="15375" width="8" style="2" customWidth="1"/>
    <col min="15376" max="15376" width="11.5703125" style="2" customWidth="1"/>
    <col min="15377" max="15379" width="11.85546875" style="2" customWidth="1"/>
    <col min="15380" max="15380" width="12.42578125" style="2" customWidth="1"/>
    <col min="15381" max="15381" width="15.5703125" style="2" customWidth="1"/>
    <col min="15382" max="15382" width="13.28515625" style="2" customWidth="1"/>
    <col min="15383" max="15626" width="9.140625" style="2"/>
    <col min="15627" max="15630" width="13.85546875" style="2" customWidth="1"/>
    <col min="15631" max="15631" width="8" style="2" customWidth="1"/>
    <col min="15632" max="15632" width="11.5703125" style="2" customWidth="1"/>
    <col min="15633" max="15635" width="11.85546875" style="2" customWidth="1"/>
    <col min="15636" max="15636" width="12.42578125" style="2" customWidth="1"/>
    <col min="15637" max="15637" width="15.5703125" style="2" customWidth="1"/>
    <col min="15638" max="15638" width="13.28515625" style="2" customWidth="1"/>
    <col min="15639" max="15882" width="9.140625" style="2"/>
    <col min="15883" max="15886" width="13.85546875" style="2" customWidth="1"/>
    <col min="15887" max="15887" width="8" style="2" customWidth="1"/>
    <col min="15888" max="15888" width="11.5703125" style="2" customWidth="1"/>
    <col min="15889" max="15891" width="11.85546875" style="2" customWidth="1"/>
    <col min="15892" max="15892" width="12.42578125" style="2" customWidth="1"/>
    <col min="15893" max="15893" width="15.5703125" style="2" customWidth="1"/>
    <col min="15894" max="15894" width="13.28515625" style="2" customWidth="1"/>
    <col min="15895" max="16138" width="9.140625" style="2"/>
    <col min="16139" max="16142" width="13.85546875" style="2" customWidth="1"/>
    <col min="16143" max="16143" width="8" style="2" customWidth="1"/>
    <col min="16144" max="16144" width="11.5703125" style="2" customWidth="1"/>
    <col min="16145" max="16147" width="11.85546875" style="2" customWidth="1"/>
    <col min="16148" max="16148" width="12.42578125" style="2" customWidth="1"/>
    <col min="16149" max="16149" width="15.5703125" style="2" customWidth="1"/>
    <col min="16150" max="16150" width="13.28515625" style="2" customWidth="1"/>
    <col min="16151" max="16384" width="9.140625" style="2"/>
  </cols>
  <sheetData>
    <row r="1" spans="1:24" x14ac:dyDescent="0.25">
      <c r="A1" s="1" t="s">
        <v>142</v>
      </c>
    </row>
    <row r="2" spans="1:24" x14ac:dyDescent="0.25">
      <c r="A2" s="1" t="s">
        <v>140</v>
      </c>
    </row>
    <row r="3" spans="1:24" x14ac:dyDescent="0.25">
      <c r="A3" s="1" t="s">
        <v>141</v>
      </c>
      <c r="P3" s="5" t="s">
        <v>0</v>
      </c>
    </row>
    <row r="4" spans="1:24" x14ac:dyDescent="0.25">
      <c r="E4" s="3">
        <f>SUM(E8:E63)</f>
        <v>107256.9</v>
      </c>
      <c r="O4" s="6">
        <f>'[19]LG Med Waste 2111'!K20</f>
        <v>0.18041363811048522</v>
      </c>
      <c r="P4" s="6">
        <v>-1.6000000000000001E-3</v>
      </c>
      <c r="Q4" s="6">
        <f>O4+P4</f>
        <v>0.17881363811048523</v>
      </c>
      <c r="R4" s="3">
        <f>SUM(R9:R17)</f>
        <v>126435.89650145252</v>
      </c>
      <c r="S4" s="7" t="s">
        <v>1</v>
      </c>
      <c r="T4" s="18"/>
      <c r="U4" s="123"/>
    </row>
    <row r="5" spans="1:24" x14ac:dyDescent="0.25">
      <c r="A5" s="69" t="s">
        <v>85</v>
      </c>
      <c r="O5" s="8"/>
      <c r="P5" s="8"/>
      <c r="Q5" s="8"/>
      <c r="S5" s="7"/>
      <c r="W5" s="9"/>
      <c r="X5" s="9"/>
    </row>
    <row r="6" spans="1:24" x14ac:dyDescent="0.25">
      <c r="A6" s="1"/>
      <c r="B6" s="127">
        <v>2018</v>
      </c>
      <c r="C6" s="127"/>
      <c r="D6" s="127"/>
      <c r="E6" s="127"/>
      <c r="G6" s="128" t="s">
        <v>2</v>
      </c>
      <c r="H6" s="129"/>
      <c r="I6" s="129"/>
      <c r="J6" s="129"/>
      <c r="K6" s="130"/>
      <c r="M6" s="131" t="s">
        <v>3</v>
      </c>
      <c r="N6" s="131"/>
      <c r="O6" s="131"/>
      <c r="P6" s="131"/>
      <c r="Q6" s="131"/>
      <c r="R6" s="131"/>
    </row>
    <row r="7" spans="1:24" s="9" customFormat="1" ht="27.75" customHeight="1" x14ac:dyDescent="0.25">
      <c r="B7" s="10" t="s">
        <v>4</v>
      </c>
      <c r="C7" s="10" t="s">
        <v>5</v>
      </c>
      <c r="D7" s="10" t="s">
        <v>6</v>
      </c>
      <c r="E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12</v>
      </c>
      <c r="M7" s="10" t="s">
        <v>4</v>
      </c>
      <c r="N7" s="10" t="s">
        <v>13</v>
      </c>
      <c r="O7" s="12" t="s">
        <v>14</v>
      </c>
      <c r="P7" s="10" t="s">
        <v>15</v>
      </c>
      <c r="Q7" s="13" t="s">
        <v>6</v>
      </c>
      <c r="R7" s="11" t="s">
        <v>7</v>
      </c>
      <c r="S7" s="122" t="s">
        <v>137</v>
      </c>
      <c r="T7" s="122" t="s">
        <v>138</v>
      </c>
      <c r="U7" s="124"/>
    </row>
    <row r="8" spans="1:24" x14ac:dyDescent="0.25">
      <c r="A8" s="14">
        <f>D8/$D$64</f>
        <v>7.5660134675039721E-3</v>
      </c>
      <c r="B8" s="15" t="s">
        <v>16</v>
      </c>
      <c r="C8" s="16">
        <v>0.68</v>
      </c>
      <c r="D8" s="17">
        <v>500</v>
      </c>
      <c r="E8" s="16">
        <v>340</v>
      </c>
      <c r="F8" s="18"/>
      <c r="G8" s="19">
        <f>D8/SUM($D$8:$D$12)</f>
        <v>1</v>
      </c>
      <c r="H8" s="20">
        <f>C8*G8</f>
        <v>0.68</v>
      </c>
      <c r="I8" s="20"/>
      <c r="J8" s="20"/>
      <c r="K8" s="20"/>
      <c r="L8" s="18"/>
      <c r="M8" s="21" t="s">
        <v>17</v>
      </c>
      <c r="N8" s="16">
        <v>0.63</v>
      </c>
      <c r="O8" s="18">
        <f>N8*$Q$4</f>
        <v>0.1126525920096057</v>
      </c>
      <c r="P8" s="18">
        <f>O8+N8</f>
        <v>0.74265259200960565</v>
      </c>
      <c r="Q8" s="4">
        <v>0</v>
      </c>
      <c r="R8" s="3">
        <f>P8*Q8</f>
        <v>0</v>
      </c>
      <c r="S8" s="3">
        <f>$V$21</f>
        <v>0.15</v>
      </c>
      <c r="T8" s="121">
        <f>P8+S8</f>
        <v>0.89265259200960567</v>
      </c>
      <c r="U8" s="125"/>
      <c r="V8" s="18">
        <f>'Med Waste Disp Log'!E24</f>
        <v>0.32</v>
      </c>
      <c r="W8" s="2" t="s">
        <v>126</v>
      </c>
    </row>
    <row r="9" spans="1:24" x14ac:dyDescent="0.25">
      <c r="A9" s="14">
        <f t="shared" ref="A9:A63" si="0">D9/$D$64</f>
        <v>0</v>
      </c>
      <c r="B9" s="22" t="s">
        <v>18</v>
      </c>
      <c r="C9" s="23">
        <v>0.69</v>
      </c>
      <c r="D9" s="24">
        <v>0</v>
      </c>
      <c r="E9" s="23">
        <f>C9*D9</f>
        <v>0</v>
      </c>
      <c r="G9" s="19">
        <f t="shared" ref="G9:G12" si="1">D9/SUM($D$8:$D$12)</f>
        <v>0</v>
      </c>
      <c r="H9" s="20">
        <f t="shared" ref="H9:H53" si="2">C9*G9</f>
        <v>0</v>
      </c>
      <c r="I9" s="25"/>
      <c r="J9" s="25"/>
      <c r="K9" s="25"/>
      <c r="M9" s="21" t="s">
        <v>19</v>
      </c>
      <c r="N9" s="16">
        <f>I12</f>
        <v>0.68</v>
      </c>
      <c r="O9" s="18">
        <f>N9*$Q$4</f>
        <v>0.12159327391512996</v>
      </c>
      <c r="P9" s="18">
        <f>O9+N9</f>
        <v>0.80159327391513002</v>
      </c>
      <c r="Q9" s="4">
        <f>SUM(D8:D12)</f>
        <v>500</v>
      </c>
      <c r="R9" s="3">
        <f>P9*Q9</f>
        <v>400.796636957565</v>
      </c>
      <c r="S9" s="3">
        <f t="shared" ref="S9:S17" si="3">$V$21</f>
        <v>0.15</v>
      </c>
      <c r="T9" s="121">
        <f t="shared" ref="T9:T17" si="4">P9+S9</f>
        <v>0.95159327391513004</v>
      </c>
      <c r="U9" s="125"/>
      <c r="V9" s="18">
        <v>0.45</v>
      </c>
      <c r="W9" s="2" t="s">
        <v>127</v>
      </c>
    </row>
    <row r="10" spans="1:24" x14ac:dyDescent="0.25">
      <c r="A10" s="14">
        <f t="shared" si="0"/>
        <v>0</v>
      </c>
      <c r="B10" s="22" t="s">
        <v>20</v>
      </c>
      <c r="C10" s="23">
        <v>0.7</v>
      </c>
      <c r="D10" s="24">
        <v>0</v>
      </c>
      <c r="E10" s="23">
        <f>C10*D10</f>
        <v>0</v>
      </c>
      <c r="G10" s="19">
        <f t="shared" si="1"/>
        <v>0</v>
      </c>
      <c r="H10" s="20">
        <f t="shared" si="2"/>
        <v>0</v>
      </c>
      <c r="I10" s="25"/>
      <c r="J10" s="25"/>
      <c r="K10" s="25"/>
      <c r="M10" s="21" t="s">
        <v>21</v>
      </c>
      <c r="N10" s="16">
        <f>I16</f>
        <v>0.73</v>
      </c>
      <c r="O10" s="18">
        <f t="shared" ref="O10:O17" si="5">N10*$Q$4</f>
        <v>0.13053395582065422</v>
      </c>
      <c r="P10" s="18">
        <f>O10+N10</f>
        <v>0.86053395582065417</v>
      </c>
      <c r="Q10" s="4">
        <f>SUM(D13:D16)</f>
        <v>400</v>
      </c>
      <c r="R10" s="3">
        <f t="shared" ref="R10:R17" si="6">P10*Q10</f>
        <v>344.21358232826168</v>
      </c>
      <c r="S10" s="3">
        <f t="shared" si="3"/>
        <v>0.15</v>
      </c>
      <c r="T10" s="121">
        <f t="shared" si="4"/>
        <v>1.0105339558206541</v>
      </c>
      <c r="U10" s="125"/>
      <c r="V10" s="111">
        <f>SUM(Q8:Q18)</f>
        <v>66085</v>
      </c>
      <c r="W10" s="2" t="s">
        <v>132</v>
      </c>
    </row>
    <row r="11" spans="1:24" x14ac:dyDescent="0.25">
      <c r="A11" s="14">
        <f t="shared" si="0"/>
        <v>0</v>
      </c>
      <c r="B11" s="26" t="s">
        <v>22</v>
      </c>
      <c r="C11" s="23">
        <v>0.71</v>
      </c>
      <c r="D11" s="24">
        <v>0</v>
      </c>
      <c r="E11" s="23">
        <f>C11*D11</f>
        <v>0</v>
      </c>
      <c r="G11" s="19">
        <f t="shared" si="1"/>
        <v>0</v>
      </c>
      <c r="H11" s="20">
        <f t="shared" si="2"/>
        <v>0</v>
      </c>
      <c r="I11" s="25"/>
      <c r="J11" s="25"/>
      <c r="K11" s="25"/>
      <c r="M11" s="21" t="s">
        <v>23</v>
      </c>
      <c r="N11" s="16">
        <f>I21</f>
        <v>0.81</v>
      </c>
      <c r="O11" s="18">
        <f t="shared" si="5"/>
        <v>0.14483904686949303</v>
      </c>
      <c r="P11" s="18">
        <f>O11+N11</f>
        <v>0.95483904686949306</v>
      </c>
      <c r="Q11" s="4">
        <f>SUM(D17:D21)</f>
        <v>320</v>
      </c>
      <c r="R11" s="3">
        <f t="shared" si="6"/>
        <v>305.5484949982378</v>
      </c>
      <c r="S11" s="3">
        <f t="shared" si="3"/>
        <v>0.15</v>
      </c>
      <c r="T11" s="121">
        <f t="shared" si="4"/>
        <v>1.1048390468694931</v>
      </c>
      <c r="U11" s="125"/>
      <c r="V11" s="112">
        <f>SUM('Med Waste Disp Log'!D6:D17)</f>
        <v>74538</v>
      </c>
      <c r="W11" s="2" t="s">
        <v>128</v>
      </c>
    </row>
    <row r="12" spans="1:24" x14ac:dyDescent="0.25">
      <c r="A12" s="14">
        <f t="shared" si="0"/>
        <v>0</v>
      </c>
      <c r="B12" s="26" t="s">
        <v>24</v>
      </c>
      <c r="C12" s="23">
        <v>0.72</v>
      </c>
      <c r="D12" s="24">
        <v>0</v>
      </c>
      <c r="E12" s="23">
        <f>C12*D12</f>
        <v>0</v>
      </c>
      <c r="G12" s="19">
        <f t="shared" si="1"/>
        <v>0</v>
      </c>
      <c r="H12" s="20">
        <f t="shared" si="2"/>
        <v>0</v>
      </c>
      <c r="I12" s="20">
        <f>SUM(H8:H12)</f>
        <v>0.68</v>
      </c>
      <c r="J12" s="20">
        <f>I12*SUM(D8:D12)</f>
        <v>340</v>
      </c>
      <c r="K12" s="20">
        <f>J12-SUM(E8:E12)</f>
        <v>0</v>
      </c>
      <c r="M12" s="21" t="s">
        <v>25</v>
      </c>
      <c r="N12" s="16">
        <f>I26</f>
        <v>0.86962962962962953</v>
      </c>
      <c r="O12" s="18">
        <f t="shared" si="5"/>
        <v>0.15550163788274787</v>
      </c>
      <c r="P12" s="18">
        <f t="shared" ref="P12:P16" si="7">O12+N12</f>
        <v>1.0251312675123774</v>
      </c>
      <c r="Q12" s="4">
        <f>SUM(D22:D26)</f>
        <v>540</v>
      </c>
      <c r="R12" s="3">
        <f t="shared" si="6"/>
        <v>553.57088445668376</v>
      </c>
      <c r="S12" s="3">
        <f t="shared" si="3"/>
        <v>0.15</v>
      </c>
      <c r="T12" s="121">
        <f t="shared" si="4"/>
        <v>1.1751312675123773</v>
      </c>
      <c r="U12" s="125"/>
      <c r="V12" s="113">
        <f>V11/V10</f>
        <v>1.1279110236816221</v>
      </c>
      <c r="W12" s="2" t="s">
        <v>136</v>
      </c>
    </row>
    <row r="13" spans="1:24" x14ac:dyDescent="0.25">
      <c r="A13" s="14">
        <f t="shared" si="0"/>
        <v>6.052810774003178E-3</v>
      </c>
      <c r="B13" s="15" t="s">
        <v>26</v>
      </c>
      <c r="C13" s="16">
        <v>0.73</v>
      </c>
      <c r="D13" s="17">
        <v>400</v>
      </c>
      <c r="E13" s="16">
        <v>292</v>
      </c>
      <c r="G13" s="27">
        <f>D13/SUM($D$13:$D$16)</f>
        <v>1</v>
      </c>
      <c r="H13" s="28">
        <f t="shared" si="2"/>
        <v>0.73</v>
      </c>
      <c r="I13" s="29"/>
      <c r="J13" s="29"/>
      <c r="K13" s="29"/>
      <c r="M13" s="21" t="s">
        <v>27</v>
      </c>
      <c r="N13" s="16">
        <f>I31</f>
        <v>0.9541558441558442</v>
      </c>
      <c r="O13" s="18">
        <f t="shared" si="5"/>
        <v>0.17061607781788768</v>
      </c>
      <c r="P13" s="18">
        <f t="shared" si="7"/>
        <v>1.124771921973732</v>
      </c>
      <c r="Q13" s="4">
        <f>SUM(D27:D31)</f>
        <v>1540</v>
      </c>
      <c r="R13" s="3">
        <f t="shared" si="6"/>
        <v>1732.1487598395472</v>
      </c>
      <c r="S13" s="3">
        <f t="shared" si="3"/>
        <v>0.15</v>
      </c>
      <c r="T13" s="121">
        <f t="shared" si="4"/>
        <v>1.2747719219737319</v>
      </c>
      <c r="U13" s="125"/>
      <c r="V13" s="114">
        <f>ROUND(V12*V8,2)</f>
        <v>0.36</v>
      </c>
      <c r="W13" s="2" t="s">
        <v>129</v>
      </c>
    </row>
    <row r="14" spans="1:24" x14ac:dyDescent="0.25">
      <c r="A14" s="14">
        <f t="shared" si="0"/>
        <v>0</v>
      </c>
      <c r="B14" s="26" t="s">
        <v>28</v>
      </c>
      <c r="C14" s="23">
        <v>0.75</v>
      </c>
      <c r="D14" s="24">
        <v>0</v>
      </c>
      <c r="E14" s="23">
        <f t="shared" ref="E14:E19" si="8">C14*D14</f>
        <v>0</v>
      </c>
      <c r="G14" s="27">
        <f t="shared" ref="G14:G16" si="9">D14/SUM($D$13:$D$16)</f>
        <v>0</v>
      </c>
      <c r="H14" s="28">
        <f t="shared" si="2"/>
        <v>0</v>
      </c>
      <c r="I14" s="29"/>
      <c r="J14" s="29"/>
      <c r="K14" s="29"/>
      <c r="M14" s="30" t="s">
        <v>29</v>
      </c>
      <c r="N14" s="31">
        <f>I36</f>
        <v>1.0597287299630087</v>
      </c>
      <c r="O14" s="18">
        <f t="shared" si="5"/>
        <v>0.18949394961488955</v>
      </c>
      <c r="P14" s="18">
        <f t="shared" si="7"/>
        <v>1.2492226795778982</v>
      </c>
      <c r="Q14" s="4">
        <f>SUM(D32:D36)</f>
        <v>4055</v>
      </c>
      <c r="R14" s="3">
        <f t="shared" si="6"/>
        <v>5065.5979656883774</v>
      </c>
      <c r="S14" s="3">
        <f t="shared" si="3"/>
        <v>0.15</v>
      </c>
      <c r="T14" s="121">
        <f t="shared" si="4"/>
        <v>1.3992226795778981</v>
      </c>
      <c r="U14" s="125"/>
      <c r="V14" s="115">
        <f>ROUND(V12*V9,2)</f>
        <v>0.51</v>
      </c>
      <c r="W14" s="2" t="s">
        <v>130</v>
      </c>
    </row>
    <row r="15" spans="1:24" x14ac:dyDescent="0.25">
      <c r="A15" s="14">
        <f t="shared" si="0"/>
        <v>0</v>
      </c>
      <c r="B15" s="26" t="s">
        <v>30</v>
      </c>
      <c r="C15" s="23">
        <v>0.76</v>
      </c>
      <c r="D15" s="24">
        <v>0</v>
      </c>
      <c r="E15" s="23">
        <f t="shared" si="8"/>
        <v>0</v>
      </c>
      <c r="G15" s="27">
        <f t="shared" si="9"/>
        <v>0</v>
      </c>
      <c r="H15" s="28">
        <f t="shared" si="2"/>
        <v>0</v>
      </c>
      <c r="I15" s="29"/>
      <c r="J15" s="29"/>
      <c r="K15" s="29"/>
      <c r="M15" s="32" t="s">
        <v>31</v>
      </c>
      <c r="N15" s="33">
        <f>I43</f>
        <v>1.285593395252838</v>
      </c>
      <c r="O15" s="18">
        <f t="shared" si="5"/>
        <v>0.22988163213597099</v>
      </c>
      <c r="P15" s="18">
        <f t="shared" si="7"/>
        <v>1.5154750273888089</v>
      </c>
      <c r="Q15" s="4">
        <f>SUM(D37:D43)</f>
        <v>9690</v>
      </c>
      <c r="R15" s="3">
        <f t="shared" si="6"/>
        <v>14684.953015397557</v>
      </c>
      <c r="S15" s="3">
        <f t="shared" si="3"/>
        <v>0.15</v>
      </c>
      <c r="T15" s="121">
        <f t="shared" si="4"/>
        <v>1.6654750273888088</v>
      </c>
      <c r="U15" s="125"/>
      <c r="V15" s="117">
        <f>V14-V13</f>
        <v>0.15000000000000002</v>
      </c>
      <c r="W15" s="118" t="s">
        <v>131</v>
      </c>
      <c r="X15" s="118"/>
    </row>
    <row r="16" spans="1:24" x14ac:dyDescent="0.25">
      <c r="A16" s="14">
        <f t="shared" si="0"/>
        <v>0</v>
      </c>
      <c r="B16" s="26" t="s">
        <v>32</v>
      </c>
      <c r="C16" s="23">
        <v>0.77</v>
      </c>
      <c r="D16" s="24">
        <v>0</v>
      </c>
      <c r="E16" s="23">
        <f t="shared" si="8"/>
        <v>0</v>
      </c>
      <c r="G16" s="27">
        <f t="shared" si="9"/>
        <v>0</v>
      </c>
      <c r="H16" s="28">
        <f t="shared" si="2"/>
        <v>0</v>
      </c>
      <c r="I16" s="28">
        <f>SUM(H13:H16)</f>
        <v>0.73</v>
      </c>
      <c r="J16" s="28">
        <f>I16*SUM(D13:D16)</f>
        <v>292</v>
      </c>
      <c r="K16" s="28">
        <f>J16-SUM(E13:E16)</f>
        <v>0</v>
      </c>
      <c r="M16" s="32" t="s">
        <v>33</v>
      </c>
      <c r="N16" s="33">
        <f>I53</f>
        <v>1.6400943650579671</v>
      </c>
      <c r="O16" s="18">
        <f t="shared" si="5"/>
        <v>0.29327124026052137</v>
      </c>
      <c r="P16" s="18">
        <f t="shared" si="7"/>
        <v>1.9333656053184884</v>
      </c>
      <c r="Q16" s="4">
        <f>SUM(D44:D53)</f>
        <v>18545</v>
      </c>
      <c r="R16" s="3">
        <f t="shared" si="6"/>
        <v>35854.26515063137</v>
      </c>
      <c r="S16" s="3">
        <f t="shared" si="3"/>
        <v>0.15</v>
      </c>
      <c r="T16" s="121">
        <f t="shared" si="4"/>
        <v>2.0833656053184884</v>
      </c>
      <c r="U16" s="125"/>
    </row>
    <row r="17" spans="1:25" x14ac:dyDescent="0.25">
      <c r="A17" s="14">
        <f t="shared" si="0"/>
        <v>0</v>
      </c>
      <c r="B17" s="26" t="s">
        <v>34</v>
      </c>
      <c r="C17" s="23">
        <v>0.78</v>
      </c>
      <c r="D17" s="24">
        <v>0</v>
      </c>
      <c r="E17" s="23">
        <f t="shared" si="8"/>
        <v>0</v>
      </c>
      <c r="G17" s="34">
        <f>D17/SUM($D$17:$D$21)</f>
        <v>0</v>
      </c>
      <c r="H17" s="35">
        <f t="shared" si="2"/>
        <v>0</v>
      </c>
      <c r="I17" s="36"/>
      <c r="J17" s="36"/>
      <c r="K17" s="36"/>
      <c r="M17" s="30" t="s">
        <v>35</v>
      </c>
      <c r="N17" s="31">
        <f>I63</f>
        <v>1.8775717330709953</v>
      </c>
      <c r="O17" s="18">
        <f t="shared" si="5"/>
        <v>0.33573543240383352</v>
      </c>
      <c r="P17" s="18">
        <f>O17+N17</f>
        <v>2.2133071654748289</v>
      </c>
      <c r="Q17" s="4">
        <f>SUM(D54:D63)</f>
        <v>30495</v>
      </c>
      <c r="R17" s="3">
        <f t="shared" si="6"/>
        <v>67494.802011154912</v>
      </c>
      <c r="S17" s="3">
        <f t="shared" si="3"/>
        <v>0.15</v>
      </c>
      <c r="T17" s="121">
        <f t="shared" si="4"/>
        <v>2.3633071654748288</v>
      </c>
      <c r="U17" s="125"/>
      <c r="V17" s="2">
        <v>1.7500000000000002E-2</v>
      </c>
      <c r="W17" s="2" t="s">
        <v>133</v>
      </c>
    </row>
    <row r="18" spans="1:25" x14ac:dyDescent="0.25">
      <c r="A18" s="14">
        <f t="shared" si="0"/>
        <v>0</v>
      </c>
      <c r="B18" s="26" t="s">
        <v>36</v>
      </c>
      <c r="C18" s="23">
        <v>0.79</v>
      </c>
      <c r="D18" s="24">
        <v>0</v>
      </c>
      <c r="E18" s="23">
        <f t="shared" si="8"/>
        <v>0</v>
      </c>
      <c r="G18" s="34">
        <f t="shared" ref="G18:G21" si="10">D18/SUM($D$17:$D$21)</f>
        <v>0</v>
      </c>
      <c r="H18" s="35">
        <f t="shared" si="2"/>
        <v>0</v>
      </c>
      <c r="I18" s="36"/>
      <c r="J18" s="36"/>
      <c r="K18" s="36"/>
      <c r="M18" s="32"/>
      <c r="V18" s="116">
        <v>5.1000000000000004E-3</v>
      </c>
      <c r="W18" s="2" t="s">
        <v>134</v>
      </c>
    </row>
    <row r="19" spans="1:25" x14ac:dyDescent="0.25">
      <c r="A19" s="14">
        <f t="shared" si="0"/>
        <v>0</v>
      </c>
      <c r="B19" s="26" t="s">
        <v>37</v>
      </c>
      <c r="C19" s="23">
        <v>0.8</v>
      </c>
      <c r="D19" s="24">
        <v>0</v>
      </c>
      <c r="E19" s="23">
        <f t="shared" si="8"/>
        <v>0</v>
      </c>
      <c r="G19" s="34">
        <f t="shared" si="10"/>
        <v>0</v>
      </c>
      <c r="H19" s="35">
        <f t="shared" si="2"/>
        <v>0</v>
      </c>
      <c r="I19" s="36"/>
      <c r="J19" s="36"/>
      <c r="K19" s="36"/>
      <c r="M19" s="32"/>
      <c r="N19" s="37"/>
      <c r="R19" s="38">
        <f>SUM(R8:R18)</f>
        <v>126435.89650145252</v>
      </c>
      <c r="V19" s="2">
        <f>SUM(V17:V18)</f>
        <v>2.2600000000000002E-2</v>
      </c>
      <c r="W19" s="2" t="s">
        <v>135</v>
      </c>
    </row>
    <row r="20" spans="1:25" x14ac:dyDescent="0.25">
      <c r="A20" s="14">
        <f t="shared" si="0"/>
        <v>4.8422486192025421E-3</v>
      </c>
      <c r="B20" s="41" t="s">
        <v>39</v>
      </c>
      <c r="C20" s="16">
        <v>0.81</v>
      </c>
      <c r="D20" s="17">
        <v>320</v>
      </c>
      <c r="E20" s="16">
        <v>259.2</v>
      </c>
      <c r="G20" s="34">
        <f t="shared" si="10"/>
        <v>1</v>
      </c>
      <c r="H20" s="35">
        <f t="shared" si="2"/>
        <v>0.81</v>
      </c>
      <c r="I20" s="36"/>
      <c r="J20" s="36"/>
      <c r="K20" s="36"/>
      <c r="M20" s="32"/>
    </row>
    <row r="21" spans="1:25" ht="15.75" thickBot="1" x14ac:dyDescent="0.3">
      <c r="A21" s="14">
        <f t="shared" si="0"/>
        <v>0</v>
      </c>
      <c r="B21" s="26" t="s">
        <v>41</v>
      </c>
      <c r="C21" s="23">
        <v>0.82</v>
      </c>
      <c r="D21" s="24">
        <v>0</v>
      </c>
      <c r="E21" s="23">
        <f>C21*D21</f>
        <v>0</v>
      </c>
      <c r="G21" s="34">
        <f t="shared" si="10"/>
        <v>0</v>
      </c>
      <c r="H21" s="35">
        <f t="shared" si="2"/>
        <v>0</v>
      </c>
      <c r="I21" s="35">
        <f>SUM(H17:H21)</f>
        <v>0.81</v>
      </c>
      <c r="J21" s="35">
        <f>I21*SUM(D17:D21)</f>
        <v>259.20000000000005</v>
      </c>
      <c r="K21" s="35">
        <f>J21-SUM(E17:E21)</f>
        <v>0</v>
      </c>
      <c r="M21" s="32"/>
      <c r="V21" s="119">
        <f>ROUND(V15/(1-V19),2)</f>
        <v>0.15</v>
      </c>
      <c r="W21" s="120" t="s">
        <v>131</v>
      </c>
      <c r="X21" s="120"/>
    </row>
    <row r="22" spans="1:25" x14ac:dyDescent="0.25">
      <c r="A22" s="14">
        <f t="shared" si="0"/>
        <v>0</v>
      </c>
      <c r="B22" s="26" t="s">
        <v>42</v>
      </c>
      <c r="C22" s="23">
        <v>0.84</v>
      </c>
      <c r="D22" s="24">
        <v>0</v>
      </c>
      <c r="E22" s="23">
        <f>C22*D22</f>
        <v>0</v>
      </c>
      <c r="G22" s="44">
        <f>D22/SUM($D$22:$D$26)</f>
        <v>0</v>
      </c>
      <c r="H22" s="45">
        <f t="shared" si="2"/>
        <v>0</v>
      </c>
      <c r="I22" s="46"/>
      <c r="J22" s="46"/>
      <c r="K22" s="46"/>
      <c r="M22" s="41"/>
      <c r="Q22" s="39" t="s">
        <v>38</v>
      </c>
      <c r="R22" s="40">
        <f>R19-E65</f>
        <v>19178.996501452522</v>
      </c>
    </row>
    <row r="23" spans="1:25" x14ac:dyDescent="0.25">
      <c r="A23" s="14">
        <f t="shared" si="0"/>
        <v>0</v>
      </c>
      <c r="B23" s="26" t="s">
        <v>43</v>
      </c>
      <c r="C23" s="23">
        <v>0.85</v>
      </c>
      <c r="D23" s="24">
        <v>0</v>
      </c>
      <c r="E23" s="23">
        <f>C23*D23</f>
        <v>0</v>
      </c>
      <c r="G23" s="44">
        <f t="shared" ref="G23:G26" si="11">D23/SUM($D$22:$D$26)</f>
        <v>0</v>
      </c>
      <c r="H23" s="45">
        <f t="shared" si="2"/>
        <v>0</v>
      </c>
      <c r="I23" s="46"/>
      <c r="J23" s="46"/>
      <c r="K23" s="46"/>
      <c r="M23" s="41"/>
      <c r="Q23" s="39" t="s">
        <v>40</v>
      </c>
      <c r="R23" s="42">
        <f>'[19]LG Med Waste 2111'!J20</f>
        <v>19175.892847302224</v>
      </c>
      <c r="V23" s="126">
        <f>V21*V10</f>
        <v>9912.75</v>
      </c>
      <c r="W23" s="1" t="s">
        <v>139</v>
      </c>
      <c r="X23" s="1"/>
      <c r="Y23" s="1"/>
    </row>
    <row r="24" spans="1:25" x14ac:dyDescent="0.25">
      <c r="A24" s="14">
        <f t="shared" si="0"/>
        <v>4.2369675418022241E-3</v>
      </c>
      <c r="B24" s="41" t="s">
        <v>44</v>
      </c>
      <c r="C24" s="16">
        <v>0.86</v>
      </c>
      <c r="D24" s="17">
        <v>280</v>
      </c>
      <c r="E24" s="16">
        <v>240.8</v>
      </c>
      <c r="G24" s="44">
        <f t="shared" si="11"/>
        <v>0.51851851851851849</v>
      </c>
      <c r="H24" s="45">
        <f t="shared" si="2"/>
        <v>0.44592592592592589</v>
      </c>
      <c r="I24" s="46"/>
      <c r="J24" s="46"/>
      <c r="K24" s="46"/>
      <c r="M24" s="41"/>
      <c r="Q24" s="3"/>
      <c r="R24" s="43">
        <f>R22-R23</f>
        <v>3.1036541502980981</v>
      </c>
    </row>
    <row r="25" spans="1:25" x14ac:dyDescent="0.25">
      <c r="A25" s="14">
        <f t="shared" si="0"/>
        <v>0</v>
      </c>
      <c r="B25" s="26" t="s">
        <v>45</v>
      </c>
      <c r="C25" s="23">
        <v>0.87</v>
      </c>
      <c r="D25" s="24">
        <v>0</v>
      </c>
      <c r="E25" s="23">
        <f>C25*D25</f>
        <v>0</v>
      </c>
      <c r="G25" s="44">
        <f t="shared" si="11"/>
        <v>0</v>
      </c>
      <c r="H25" s="45">
        <f t="shared" si="2"/>
        <v>0</v>
      </c>
      <c r="I25" s="46"/>
      <c r="J25" s="46"/>
      <c r="K25" s="46"/>
      <c r="M25" s="41"/>
      <c r="V25" s="14">
        <f>V23/R19</f>
        <v>7.8401389749991779E-2</v>
      </c>
    </row>
    <row r="26" spans="1:25" x14ac:dyDescent="0.25">
      <c r="A26" s="14">
        <f t="shared" si="0"/>
        <v>3.9343270031020651E-3</v>
      </c>
      <c r="B26" s="41" t="s">
        <v>46</v>
      </c>
      <c r="C26" s="16">
        <v>0.88</v>
      </c>
      <c r="D26" s="17">
        <v>260</v>
      </c>
      <c r="E26" s="16">
        <v>228.8</v>
      </c>
      <c r="G26" s="44">
        <f t="shared" si="11"/>
        <v>0.48148148148148145</v>
      </c>
      <c r="H26" s="45">
        <f t="shared" si="2"/>
        <v>0.42370370370370369</v>
      </c>
      <c r="I26" s="45">
        <f>SUM(H22:H26)</f>
        <v>0.86962962962962953</v>
      </c>
      <c r="J26" s="45">
        <f>I26*SUM(D22:D26)</f>
        <v>469.59999999999997</v>
      </c>
      <c r="K26" s="45">
        <f>J26-SUM(E22:E26)</f>
        <v>0</v>
      </c>
      <c r="M26" s="41"/>
    </row>
    <row r="27" spans="1:25" x14ac:dyDescent="0.25">
      <c r="A27" s="14">
        <f t="shared" si="0"/>
        <v>3.7073465990769463E-3</v>
      </c>
      <c r="B27" s="41" t="s">
        <v>47</v>
      </c>
      <c r="C27" s="16">
        <v>0.9</v>
      </c>
      <c r="D27" s="17">
        <v>245</v>
      </c>
      <c r="E27" s="16">
        <v>220.5</v>
      </c>
      <c r="G27" s="47">
        <f>D27/SUM($D$27:$D$31)</f>
        <v>0.15909090909090909</v>
      </c>
      <c r="H27" s="48">
        <f t="shared" si="2"/>
        <v>0.14318181818181819</v>
      </c>
      <c r="I27" s="49"/>
      <c r="J27" s="49"/>
      <c r="K27" s="49"/>
      <c r="M27" s="41"/>
    </row>
    <row r="28" spans="1:25" x14ac:dyDescent="0.25">
      <c r="A28" s="14">
        <f t="shared" si="0"/>
        <v>0</v>
      </c>
      <c r="B28" s="26" t="s">
        <v>48</v>
      </c>
      <c r="C28" s="23">
        <v>0.91</v>
      </c>
      <c r="D28" s="24">
        <v>0</v>
      </c>
      <c r="E28" s="23">
        <f>C28*D28</f>
        <v>0</v>
      </c>
      <c r="G28" s="47">
        <f t="shared" ref="G28:G31" si="12">D28/SUM($D$27:$D$31)</f>
        <v>0</v>
      </c>
      <c r="H28" s="48">
        <f t="shared" si="2"/>
        <v>0</v>
      </c>
      <c r="I28" s="49"/>
      <c r="J28" s="49"/>
      <c r="K28" s="49"/>
      <c r="M28" s="41"/>
    </row>
    <row r="29" spans="1:25" x14ac:dyDescent="0.25">
      <c r="A29" s="14">
        <f t="shared" si="0"/>
        <v>3.480366195051827E-3</v>
      </c>
      <c r="B29" s="41" t="s">
        <v>49</v>
      </c>
      <c r="C29" s="16">
        <v>0.93</v>
      </c>
      <c r="D29" s="17">
        <v>230</v>
      </c>
      <c r="E29" s="16">
        <v>213.9</v>
      </c>
      <c r="G29" s="47">
        <f t="shared" si="12"/>
        <v>0.14935064935064934</v>
      </c>
      <c r="H29" s="48">
        <f t="shared" si="2"/>
        <v>0.13889610389610391</v>
      </c>
      <c r="I29" s="49"/>
      <c r="J29" s="49"/>
      <c r="K29" s="49"/>
      <c r="M29" s="41"/>
    </row>
    <row r="30" spans="1:25" x14ac:dyDescent="0.25">
      <c r="A30" s="14">
        <f t="shared" si="0"/>
        <v>6.5824317167284558E-3</v>
      </c>
      <c r="B30" s="41" t="s">
        <v>50</v>
      </c>
      <c r="C30" s="16">
        <v>0.96</v>
      </c>
      <c r="D30" s="17">
        <v>435</v>
      </c>
      <c r="E30" s="16">
        <v>417.6</v>
      </c>
      <c r="G30" s="47">
        <f t="shared" si="12"/>
        <v>0.28246753246753248</v>
      </c>
      <c r="H30" s="48">
        <f t="shared" si="2"/>
        <v>0.27116883116883117</v>
      </c>
      <c r="I30" s="49"/>
      <c r="J30" s="49"/>
      <c r="K30" s="49"/>
      <c r="M30" s="41"/>
    </row>
    <row r="31" spans="1:25" x14ac:dyDescent="0.25">
      <c r="A31" s="14">
        <f t="shared" si="0"/>
        <v>9.5331769690550055E-3</v>
      </c>
      <c r="B31" s="41" t="s">
        <v>51</v>
      </c>
      <c r="C31" s="16">
        <v>0.98</v>
      </c>
      <c r="D31" s="17">
        <v>630</v>
      </c>
      <c r="E31" s="16">
        <v>617.40000000000009</v>
      </c>
      <c r="G31" s="47">
        <f t="shared" si="12"/>
        <v>0.40909090909090912</v>
      </c>
      <c r="H31" s="48">
        <f t="shared" si="2"/>
        <v>0.40090909090909094</v>
      </c>
      <c r="I31" s="48">
        <f>SUM(H27:H31)</f>
        <v>0.9541558441558442</v>
      </c>
      <c r="J31" s="48">
        <f>I31*SUM(D27:D31)</f>
        <v>1469.4</v>
      </c>
      <c r="K31" s="48">
        <f>J31-SUM(E27:E31)</f>
        <v>0</v>
      </c>
      <c r="M31" s="41"/>
    </row>
    <row r="32" spans="1:25" x14ac:dyDescent="0.25">
      <c r="A32" s="14">
        <f t="shared" si="0"/>
        <v>5.9771506393281378E-3</v>
      </c>
      <c r="B32" s="41" t="s">
        <v>52</v>
      </c>
      <c r="C32" s="16">
        <v>1</v>
      </c>
      <c r="D32" s="17">
        <v>395</v>
      </c>
      <c r="E32" s="16">
        <v>395</v>
      </c>
      <c r="G32" s="50">
        <f>D32/SUM($D$32:$D$36)</f>
        <v>9.7410604192355116E-2</v>
      </c>
      <c r="H32" s="51">
        <f t="shared" si="2"/>
        <v>9.7410604192355116E-2</v>
      </c>
      <c r="I32" s="52"/>
      <c r="J32" s="51"/>
      <c r="K32" s="52"/>
      <c r="M32" s="41"/>
    </row>
    <row r="33" spans="1:13" x14ac:dyDescent="0.25">
      <c r="A33" s="14">
        <f t="shared" si="0"/>
        <v>0</v>
      </c>
      <c r="B33" s="26" t="s">
        <v>53</v>
      </c>
      <c r="C33" s="23">
        <v>1.03</v>
      </c>
      <c r="D33" s="24">
        <v>0</v>
      </c>
      <c r="E33" s="23">
        <f>C33*D33</f>
        <v>0</v>
      </c>
      <c r="G33" s="50">
        <f t="shared" ref="G33:G35" si="13">D33/SUM($D$32:$D$36)</f>
        <v>0</v>
      </c>
      <c r="H33" s="51">
        <f t="shared" si="2"/>
        <v>0</v>
      </c>
      <c r="I33" s="52"/>
      <c r="J33" s="52"/>
      <c r="K33" s="52"/>
      <c r="M33" s="41"/>
    </row>
    <row r="34" spans="1:13" x14ac:dyDescent="0.25">
      <c r="A34" s="14">
        <f t="shared" si="0"/>
        <v>4.7968525383975183E-2</v>
      </c>
      <c r="B34" s="41" t="s">
        <v>54</v>
      </c>
      <c r="C34" s="16">
        <v>1.06</v>
      </c>
      <c r="D34" s="17">
        <v>3170</v>
      </c>
      <c r="E34" s="16">
        <v>3360.2</v>
      </c>
      <c r="G34" s="50">
        <f t="shared" si="13"/>
        <v>0.78175092478421704</v>
      </c>
      <c r="H34" s="51">
        <f t="shared" si="2"/>
        <v>0.82865598027127008</v>
      </c>
      <c r="I34" s="52"/>
      <c r="J34" s="52"/>
      <c r="K34" s="52"/>
      <c r="M34" s="41"/>
    </row>
    <row r="35" spans="1:13" x14ac:dyDescent="0.25">
      <c r="A35" s="14">
        <f t="shared" si="0"/>
        <v>2.5724445789513505E-3</v>
      </c>
      <c r="B35" s="41" t="s">
        <v>55</v>
      </c>
      <c r="C35" s="16">
        <v>1.08</v>
      </c>
      <c r="D35" s="17">
        <v>170</v>
      </c>
      <c r="E35" s="16">
        <v>183.6</v>
      </c>
      <c r="G35" s="50">
        <f t="shared" si="13"/>
        <v>4.192355117139334E-2</v>
      </c>
      <c r="H35" s="51">
        <f t="shared" si="2"/>
        <v>4.5277435265104811E-2</v>
      </c>
      <c r="I35" s="52"/>
      <c r="J35" s="52"/>
      <c r="K35" s="52"/>
    </row>
    <row r="36" spans="1:13" x14ac:dyDescent="0.25">
      <c r="A36" s="14">
        <f t="shared" si="0"/>
        <v>4.8422486192025421E-3</v>
      </c>
      <c r="B36" s="41" t="s">
        <v>56</v>
      </c>
      <c r="C36" s="16">
        <v>1.1200000000000001</v>
      </c>
      <c r="D36" s="17">
        <v>320</v>
      </c>
      <c r="E36" s="16">
        <v>358.4</v>
      </c>
      <c r="G36" s="50">
        <f>D36/SUM($D$32:$D$36)</f>
        <v>7.8914919852034526E-2</v>
      </c>
      <c r="H36" s="51">
        <f t="shared" si="2"/>
        <v>8.8384710234278671E-2</v>
      </c>
      <c r="I36" s="51">
        <f>SUM(H32:H36)</f>
        <v>1.0597287299630087</v>
      </c>
      <c r="J36" s="51">
        <f>I36*SUM(D32:D36)</f>
        <v>4297.2000000000007</v>
      </c>
      <c r="K36" s="51">
        <f>J36-SUM(E32:E36)</f>
        <v>0</v>
      </c>
    </row>
    <row r="37" spans="1:13" x14ac:dyDescent="0.25">
      <c r="A37" s="14">
        <f t="shared" si="0"/>
        <v>6.6580918514034951E-3</v>
      </c>
      <c r="B37" s="41" t="s">
        <v>57</v>
      </c>
      <c r="C37" s="16">
        <v>1.1499999999999999</v>
      </c>
      <c r="D37" s="17">
        <v>440</v>
      </c>
      <c r="E37" s="16">
        <v>506</v>
      </c>
      <c r="G37" s="53">
        <f>D37/SUM($D$37:$D$43)</f>
        <v>4.540763673890609E-2</v>
      </c>
      <c r="H37" s="54">
        <f t="shared" si="2"/>
        <v>5.2218782249742003E-2</v>
      </c>
      <c r="I37" s="55"/>
      <c r="J37" s="55"/>
      <c r="K37" s="55"/>
    </row>
    <row r="38" spans="1:13" x14ac:dyDescent="0.25">
      <c r="A38" s="14">
        <f t="shared" si="0"/>
        <v>4.2369675418022244E-2</v>
      </c>
      <c r="B38" s="41" t="s">
        <v>58</v>
      </c>
      <c r="C38" s="16">
        <v>1.2</v>
      </c>
      <c r="D38" s="17">
        <v>2800</v>
      </c>
      <c r="E38" s="16">
        <v>3360</v>
      </c>
      <c r="G38" s="53">
        <f t="shared" ref="G38:G42" si="14">D38/SUM($D$37:$D$43)</f>
        <v>0.28895768833849328</v>
      </c>
      <c r="H38" s="54">
        <f t="shared" si="2"/>
        <v>0.3467492260061919</v>
      </c>
      <c r="I38" s="55"/>
      <c r="J38" s="55"/>
      <c r="K38" s="55"/>
    </row>
    <row r="39" spans="1:13" x14ac:dyDescent="0.25">
      <c r="A39" s="14">
        <f t="shared" si="0"/>
        <v>3.7830067337519861E-2</v>
      </c>
      <c r="B39" s="41" t="s">
        <v>59</v>
      </c>
      <c r="C39" s="16">
        <v>1.25</v>
      </c>
      <c r="D39" s="17">
        <v>2500</v>
      </c>
      <c r="E39" s="16">
        <v>3125</v>
      </c>
      <c r="G39" s="53">
        <f t="shared" si="14"/>
        <v>0.25799793601651189</v>
      </c>
      <c r="H39" s="54">
        <f t="shared" si="2"/>
        <v>0.32249742002063986</v>
      </c>
      <c r="I39" s="55"/>
      <c r="J39" s="55"/>
      <c r="K39" s="55"/>
    </row>
    <row r="40" spans="1:13" x14ac:dyDescent="0.25">
      <c r="A40" s="14">
        <f t="shared" si="0"/>
        <v>1.8158432322009533E-3</v>
      </c>
      <c r="B40" s="41" t="s">
        <v>60</v>
      </c>
      <c r="C40" s="16">
        <v>1.3</v>
      </c>
      <c r="D40" s="17">
        <v>120</v>
      </c>
      <c r="E40" s="16">
        <v>156</v>
      </c>
      <c r="G40" s="53">
        <f t="shared" si="14"/>
        <v>1.238390092879257E-2</v>
      </c>
      <c r="H40" s="54">
        <f t="shared" si="2"/>
        <v>1.6099071207430343E-2</v>
      </c>
      <c r="I40" s="55"/>
      <c r="J40" s="55"/>
      <c r="K40" s="55"/>
    </row>
    <row r="41" spans="1:13" x14ac:dyDescent="0.25">
      <c r="A41" s="14">
        <f t="shared" si="0"/>
        <v>1.7401830975259135E-3</v>
      </c>
      <c r="B41" s="41" t="s">
        <v>61</v>
      </c>
      <c r="C41" s="16">
        <v>1.32</v>
      </c>
      <c r="D41" s="17">
        <v>115</v>
      </c>
      <c r="E41" s="16">
        <v>151.79999999999998</v>
      </c>
      <c r="G41" s="53">
        <f t="shared" si="14"/>
        <v>1.1867905056759546E-2</v>
      </c>
      <c r="H41" s="54">
        <f t="shared" si="2"/>
        <v>1.5665634674922602E-2</v>
      </c>
      <c r="I41" s="55"/>
      <c r="J41" s="55"/>
      <c r="K41" s="55"/>
    </row>
    <row r="42" spans="1:13" x14ac:dyDescent="0.25">
      <c r="A42" s="14">
        <f t="shared" si="0"/>
        <v>1.5888628281758342E-3</v>
      </c>
      <c r="B42" s="41" t="s">
        <v>62</v>
      </c>
      <c r="C42" s="16">
        <v>1.34</v>
      </c>
      <c r="D42" s="17">
        <v>105</v>
      </c>
      <c r="E42" s="16">
        <v>140.69999999999999</v>
      </c>
      <c r="G42" s="53">
        <f t="shared" si="14"/>
        <v>1.0835913312693499E-2</v>
      </c>
      <c r="H42" s="54">
        <f t="shared" si="2"/>
        <v>1.4520123839009288E-2</v>
      </c>
      <c r="I42" s="55"/>
      <c r="J42" s="55"/>
      <c r="K42" s="55"/>
    </row>
    <row r="43" spans="1:13" x14ac:dyDescent="0.25">
      <c r="A43" s="14">
        <f t="shared" si="0"/>
        <v>5.4626617235378677E-2</v>
      </c>
      <c r="B43" s="41" t="s">
        <v>63</v>
      </c>
      <c r="C43" s="16">
        <v>1.39</v>
      </c>
      <c r="D43" s="17">
        <v>3610</v>
      </c>
      <c r="E43" s="16">
        <v>5017.8999999999969</v>
      </c>
      <c r="G43" s="53">
        <f>D43/SUM($D$37:$D$43)</f>
        <v>0.37254901960784315</v>
      </c>
      <c r="H43" s="54">
        <f t="shared" si="2"/>
        <v>0.51784313725490194</v>
      </c>
      <c r="I43" s="54">
        <f>SUM(H37:H43)</f>
        <v>1.285593395252838</v>
      </c>
      <c r="J43" s="54">
        <f>I43*SUM(D37:D43)</f>
        <v>12457.4</v>
      </c>
      <c r="K43" s="54">
        <f>J43-SUM(E37:E43)</f>
        <v>0</v>
      </c>
    </row>
    <row r="44" spans="1:13" x14ac:dyDescent="0.25">
      <c r="A44" s="14">
        <f t="shared" si="0"/>
        <v>6.052810774003178E-3</v>
      </c>
      <c r="B44" s="41" t="s">
        <v>64</v>
      </c>
      <c r="C44" s="16">
        <v>1.41</v>
      </c>
      <c r="D44" s="17">
        <v>400</v>
      </c>
      <c r="E44" s="16">
        <v>564</v>
      </c>
      <c r="G44" s="56">
        <f>D44/SUM($D$44:$D$53)</f>
        <v>2.1569156106767323E-2</v>
      </c>
      <c r="H44" s="57">
        <f t="shared" si="2"/>
        <v>3.0412510110541923E-2</v>
      </c>
      <c r="I44" s="58"/>
      <c r="J44" s="58"/>
      <c r="K44" s="58"/>
    </row>
    <row r="45" spans="1:13" x14ac:dyDescent="0.25">
      <c r="A45" s="14">
        <f t="shared" si="0"/>
        <v>9.0792161610047664E-4</v>
      </c>
      <c r="B45" s="41" t="s">
        <v>65</v>
      </c>
      <c r="C45" s="16">
        <v>1.46</v>
      </c>
      <c r="D45" s="17">
        <v>60</v>
      </c>
      <c r="E45" s="16">
        <v>87.6</v>
      </c>
      <c r="G45" s="56">
        <f t="shared" ref="G45:G52" si="15">D45/SUM($D$44:$D$53)</f>
        <v>3.2353734160150984E-3</v>
      </c>
      <c r="H45" s="57">
        <f t="shared" si="2"/>
        <v>4.7236451873820433E-3</v>
      </c>
      <c r="I45" s="58"/>
      <c r="J45" s="58"/>
      <c r="K45" s="58"/>
    </row>
    <row r="46" spans="1:13" x14ac:dyDescent="0.25">
      <c r="A46" s="14">
        <f t="shared" si="0"/>
        <v>4.4942119996973597E-2</v>
      </c>
      <c r="B46" s="41" t="s">
        <v>66</v>
      </c>
      <c r="C46" s="16">
        <v>1.49</v>
      </c>
      <c r="D46" s="17">
        <v>2970</v>
      </c>
      <c r="E46" s="16">
        <v>4425.3000000000047</v>
      </c>
      <c r="G46" s="56">
        <f t="shared" si="15"/>
        <v>0.16015098409274736</v>
      </c>
      <c r="H46" s="57">
        <f t="shared" si="2"/>
        <v>0.23862496629819357</v>
      </c>
      <c r="I46" s="58"/>
      <c r="J46" s="58"/>
      <c r="K46" s="58"/>
    </row>
    <row r="47" spans="1:13" x14ac:dyDescent="0.25">
      <c r="A47" s="14">
        <f t="shared" si="0"/>
        <v>1.2862222894756753E-3</v>
      </c>
      <c r="B47" s="41" t="s">
        <v>67</v>
      </c>
      <c r="C47" s="16">
        <v>1.55</v>
      </c>
      <c r="D47" s="17">
        <v>85</v>
      </c>
      <c r="E47" s="16">
        <v>131.75</v>
      </c>
      <c r="G47" s="56">
        <f t="shared" si="15"/>
        <v>4.5834456726880557E-3</v>
      </c>
      <c r="H47" s="57">
        <f t="shared" si="2"/>
        <v>7.1043407926664861E-3</v>
      </c>
      <c r="I47" s="58"/>
      <c r="J47" s="58"/>
      <c r="K47" s="58"/>
    </row>
    <row r="48" spans="1:13" x14ac:dyDescent="0.25">
      <c r="A48" s="14">
        <f t="shared" si="0"/>
        <v>4.963304834682606E-2</v>
      </c>
      <c r="B48" s="59" t="s">
        <v>68</v>
      </c>
      <c r="C48" s="16">
        <v>1.58</v>
      </c>
      <c r="D48" s="17">
        <v>3280</v>
      </c>
      <c r="E48" s="16">
        <v>5182.3999999999987</v>
      </c>
      <c r="G48" s="56">
        <f t="shared" si="15"/>
        <v>0.17686708007549204</v>
      </c>
      <c r="H48" s="57">
        <f t="shared" si="2"/>
        <v>0.27944998651927744</v>
      </c>
      <c r="I48" s="58"/>
      <c r="J48" s="58"/>
      <c r="K48" s="58"/>
    </row>
    <row r="49" spans="1:24" x14ac:dyDescent="0.25">
      <c r="A49" s="14">
        <f t="shared" si="0"/>
        <v>2.2698040402511915E-3</v>
      </c>
      <c r="B49" s="59" t="s">
        <v>69</v>
      </c>
      <c r="C49" s="16">
        <v>1.63</v>
      </c>
      <c r="D49" s="17">
        <v>150</v>
      </c>
      <c r="E49" s="16">
        <v>244.5</v>
      </c>
      <c r="G49" s="56">
        <f t="shared" si="15"/>
        <v>8.0884335400377462E-3</v>
      </c>
      <c r="H49" s="57">
        <f t="shared" si="2"/>
        <v>1.3184146670261526E-2</v>
      </c>
      <c r="I49" s="58"/>
      <c r="J49" s="58"/>
      <c r="K49" s="58"/>
    </row>
    <row r="50" spans="1:24" x14ac:dyDescent="0.25">
      <c r="A50" s="14">
        <f t="shared" si="0"/>
        <v>9.9568737232352267E-2</v>
      </c>
      <c r="B50" s="59" t="s">
        <v>70</v>
      </c>
      <c r="C50" s="16">
        <v>1.66</v>
      </c>
      <c r="D50" s="17">
        <v>6580</v>
      </c>
      <c r="E50" s="16">
        <v>10922.800000000007</v>
      </c>
      <c r="G50" s="56">
        <f t="shared" si="15"/>
        <v>0.35481261795632246</v>
      </c>
      <c r="H50" s="57">
        <f t="shared" si="2"/>
        <v>0.58898894580749528</v>
      </c>
      <c r="I50" s="58"/>
      <c r="J50" s="58"/>
      <c r="K50" s="58"/>
    </row>
    <row r="51" spans="1:24" x14ac:dyDescent="0.25">
      <c r="A51" s="14">
        <f t="shared" si="0"/>
        <v>0</v>
      </c>
      <c r="B51" s="26" t="s">
        <v>71</v>
      </c>
      <c r="C51" s="23">
        <v>1.72</v>
      </c>
      <c r="D51" s="24">
        <v>0</v>
      </c>
      <c r="E51" s="23">
        <f>C51*D51</f>
        <v>0</v>
      </c>
      <c r="G51" s="56">
        <f t="shared" si="15"/>
        <v>0</v>
      </c>
      <c r="H51" s="57">
        <f t="shared" si="2"/>
        <v>0</v>
      </c>
      <c r="I51" s="58"/>
      <c r="J51" s="58"/>
      <c r="K51" s="58"/>
    </row>
    <row r="52" spans="1:24" x14ac:dyDescent="0.25">
      <c r="A52" s="14">
        <f t="shared" si="0"/>
        <v>5.9317545585231141E-2</v>
      </c>
      <c r="B52" s="59" t="s">
        <v>72</v>
      </c>
      <c r="C52" s="16">
        <v>1.76</v>
      </c>
      <c r="D52" s="17">
        <v>3920</v>
      </c>
      <c r="E52" s="16">
        <v>6899.2000000000071</v>
      </c>
      <c r="G52" s="56">
        <f t="shared" si="15"/>
        <v>0.21137772984631975</v>
      </c>
      <c r="H52" s="57">
        <f t="shared" si="2"/>
        <v>0.37202480452952275</v>
      </c>
      <c r="I52" s="58"/>
      <c r="J52" s="58"/>
      <c r="K52" s="58"/>
    </row>
    <row r="53" spans="1:24" x14ac:dyDescent="0.25">
      <c r="A53" s="14">
        <f t="shared" si="0"/>
        <v>1.6645229628508739E-2</v>
      </c>
      <c r="B53" s="59" t="s">
        <v>73</v>
      </c>
      <c r="C53" s="16">
        <v>1.78</v>
      </c>
      <c r="D53" s="17">
        <v>1100</v>
      </c>
      <c r="E53" s="16">
        <v>1957.9999999999986</v>
      </c>
      <c r="G53" s="56">
        <f>D53/SUM($D$44:$D$53)</f>
        <v>5.9315179293610139E-2</v>
      </c>
      <c r="H53" s="57">
        <f t="shared" si="2"/>
        <v>0.10558101914262605</v>
      </c>
      <c r="I53" s="57">
        <f>SUM(H44:H53)</f>
        <v>1.6400943650579671</v>
      </c>
      <c r="J53" s="57">
        <f>I53*SUM(D44:D53)</f>
        <v>30415.55</v>
      </c>
      <c r="K53" s="57">
        <f>J53-SUM(E44:E53)</f>
        <v>0</v>
      </c>
    </row>
    <row r="54" spans="1:24" x14ac:dyDescent="0.25">
      <c r="A54" s="14">
        <f t="shared" si="0"/>
        <v>1.5132026935007945E-3</v>
      </c>
      <c r="B54" s="59" t="s">
        <v>74</v>
      </c>
      <c r="C54" s="16">
        <v>1.81</v>
      </c>
      <c r="D54" s="17">
        <v>100</v>
      </c>
      <c r="E54" s="16">
        <v>181</v>
      </c>
      <c r="F54" s="14"/>
      <c r="G54" s="60">
        <f>D54/SUM($D$54:$D$63)</f>
        <v>3.279226102639777E-3</v>
      </c>
      <c r="H54" s="61">
        <f>C54*G54</f>
        <v>5.9353992457779961E-3</v>
      </c>
      <c r="I54" s="62"/>
      <c r="J54" s="60"/>
      <c r="K54" s="60"/>
      <c r="L54" s="14"/>
      <c r="V54" s="14"/>
      <c r="W54" s="14"/>
    </row>
    <row r="55" spans="1:24" x14ac:dyDescent="0.25">
      <c r="A55" s="14">
        <f t="shared" si="0"/>
        <v>1.891503366875993E-3</v>
      </c>
      <c r="B55" s="59" t="s">
        <v>75</v>
      </c>
      <c r="C55" s="16">
        <v>1.82</v>
      </c>
      <c r="D55" s="17">
        <v>125</v>
      </c>
      <c r="E55" s="16">
        <v>227.5</v>
      </c>
      <c r="F55" s="14"/>
      <c r="G55" s="60">
        <f t="shared" ref="G55:G63" si="16">D55/SUM($D$54:$D$63)</f>
        <v>4.0990326282997211E-3</v>
      </c>
      <c r="H55" s="61">
        <f t="shared" ref="H55:H63" si="17">C55*G55</f>
        <v>7.4602393835054926E-3</v>
      </c>
      <c r="I55" s="62"/>
      <c r="J55" s="60"/>
      <c r="K55" s="60"/>
      <c r="L55" s="14"/>
      <c r="V55" s="14"/>
      <c r="W55" s="14"/>
    </row>
    <row r="56" spans="1:24" x14ac:dyDescent="0.25">
      <c r="A56" s="14">
        <f t="shared" si="0"/>
        <v>0.12960581069834304</v>
      </c>
      <c r="B56" s="59" t="s">
        <v>76</v>
      </c>
      <c r="C56" s="16">
        <v>1.83</v>
      </c>
      <c r="D56" s="17">
        <v>8565</v>
      </c>
      <c r="E56" s="16">
        <v>15673.950000000059</v>
      </c>
      <c r="F56" s="14"/>
      <c r="G56" s="60">
        <f t="shared" si="16"/>
        <v>0.28086571569109692</v>
      </c>
      <c r="H56" s="61">
        <f t="shared" si="17"/>
        <v>0.5139842597147074</v>
      </c>
      <c r="I56" s="62"/>
      <c r="J56" s="60"/>
      <c r="K56" s="60"/>
      <c r="L56" s="14"/>
      <c r="V56" s="14"/>
      <c r="W56" s="14"/>
      <c r="X56" s="63"/>
    </row>
    <row r="57" spans="1:24" x14ac:dyDescent="0.25">
      <c r="A57" s="14">
        <f t="shared" si="0"/>
        <v>0.16365287130211092</v>
      </c>
      <c r="B57" s="59" t="s">
        <v>77</v>
      </c>
      <c r="C57" s="16">
        <v>1.84</v>
      </c>
      <c r="D57" s="17">
        <v>10815</v>
      </c>
      <c r="E57" s="16">
        <v>19899.600000000013</v>
      </c>
      <c r="F57" s="14"/>
      <c r="G57" s="60">
        <f t="shared" si="16"/>
        <v>0.35464830300049188</v>
      </c>
      <c r="H57" s="61">
        <f t="shared" si="17"/>
        <v>0.65255287752090507</v>
      </c>
      <c r="I57" s="62"/>
      <c r="J57" s="60"/>
      <c r="K57" s="60"/>
      <c r="L57" s="14"/>
      <c r="V57" s="14"/>
      <c r="W57" s="14"/>
    </row>
    <row r="58" spans="1:24" x14ac:dyDescent="0.25">
      <c r="A58" s="14">
        <f t="shared" si="0"/>
        <v>7.7173337368540516E-3</v>
      </c>
      <c r="B58" s="59" t="s">
        <v>78</v>
      </c>
      <c r="C58" s="16">
        <v>1.85</v>
      </c>
      <c r="D58" s="17">
        <v>510</v>
      </c>
      <c r="E58" s="16">
        <v>943.5</v>
      </c>
      <c r="F58" s="14"/>
      <c r="G58" s="60">
        <f t="shared" si="16"/>
        <v>1.6724053123462864E-2</v>
      </c>
      <c r="H58" s="61">
        <f t="shared" si="17"/>
        <v>3.0939498278406301E-2</v>
      </c>
      <c r="I58" s="62"/>
      <c r="J58" s="60"/>
      <c r="K58" s="60"/>
      <c r="L58" s="14"/>
      <c r="V58" s="14"/>
      <c r="W58" s="14"/>
    </row>
    <row r="59" spans="1:24" x14ac:dyDescent="0.25">
      <c r="A59" s="14">
        <f t="shared" si="0"/>
        <v>0</v>
      </c>
      <c r="B59" s="26" t="s">
        <v>79</v>
      </c>
      <c r="C59" s="23">
        <v>1.86</v>
      </c>
      <c r="D59" s="24">
        <v>0</v>
      </c>
      <c r="E59" s="23">
        <f>C59*D59</f>
        <v>0</v>
      </c>
      <c r="F59" s="14"/>
      <c r="G59" s="60">
        <f t="shared" si="16"/>
        <v>0</v>
      </c>
      <c r="H59" s="61">
        <f t="shared" si="17"/>
        <v>0</v>
      </c>
      <c r="I59" s="62"/>
      <c r="J59" s="60"/>
      <c r="K59" s="60"/>
      <c r="L59" s="14"/>
      <c r="V59" s="14"/>
      <c r="W59" s="14"/>
    </row>
    <row r="60" spans="1:24" x14ac:dyDescent="0.25">
      <c r="A60" s="14">
        <f t="shared" si="0"/>
        <v>0.12135885601876371</v>
      </c>
      <c r="B60" s="59" t="s">
        <v>80</v>
      </c>
      <c r="C60" s="16">
        <v>1.87</v>
      </c>
      <c r="D60" s="17">
        <v>8020</v>
      </c>
      <c r="E60" s="16">
        <v>14997.399999999901</v>
      </c>
      <c r="F60" s="14"/>
      <c r="G60" s="60">
        <f t="shared" si="16"/>
        <v>0.26299393343171013</v>
      </c>
      <c r="H60" s="61">
        <f t="shared" si="17"/>
        <v>0.49179865551729796</v>
      </c>
      <c r="I60" s="62"/>
      <c r="J60" s="60"/>
      <c r="K60" s="60"/>
      <c r="L60" s="14"/>
      <c r="V60" s="14"/>
      <c r="W60" s="14"/>
    </row>
    <row r="61" spans="1:24" x14ac:dyDescent="0.25">
      <c r="A61" s="14">
        <f t="shared" si="0"/>
        <v>0</v>
      </c>
      <c r="B61" s="64" t="s">
        <v>81</v>
      </c>
      <c r="C61" s="23">
        <v>2.0299999999999998</v>
      </c>
      <c r="D61" s="24">
        <v>0</v>
      </c>
      <c r="E61" s="23">
        <f>C61*D61</f>
        <v>0</v>
      </c>
      <c r="F61" s="14"/>
      <c r="G61" s="60">
        <f t="shared" si="16"/>
        <v>0</v>
      </c>
      <c r="H61" s="61">
        <f t="shared" si="17"/>
        <v>0</v>
      </c>
      <c r="I61" s="62"/>
      <c r="J61" s="60"/>
      <c r="K61" s="60"/>
      <c r="L61" s="14"/>
      <c r="V61" s="14"/>
      <c r="W61" s="14"/>
    </row>
    <row r="62" spans="1:24" x14ac:dyDescent="0.25">
      <c r="A62" s="14">
        <f t="shared" si="0"/>
        <v>3.571158356661875E-2</v>
      </c>
      <c r="B62" s="65" t="s">
        <v>82</v>
      </c>
      <c r="C62" s="16">
        <v>2.2599999999999998</v>
      </c>
      <c r="D62" s="17">
        <v>2360</v>
      </c>
      <c r="E62" s="16">
        <v>5333.6000000000085</v>
      </c>
      <c r="F62" s="14"/>
      <c r="G62" s="60">
        <f t="shared" si="16"/>
        <v>7.7389736022298733E-2</v>
      </c>
      <c r="H62" s="61">
        <f t="shared" si="17"/>
        <v>0.17490080341039513</v>
      </c>
      <c r="I62" s="62"/>
      <c r="J62" s="60"/>
      <c r="K62" s="60"/>
      <c r="L62" s="14"/>
      <c r="V62" s="14"/>
      <c r="W62" s="14"/>
    </row>
    <row r="63" spans="1:24" x14ac:dyDescent="0.25">
      <c r="A63" s="14">
        <f t="shared" si="0"/>
        <v>0</v>
      </c>
      <c r="B63" s="66" t="s">
        <v>83</v>
      </c>
      <c r="C63" s="23">
        <v>4</v>
      </c>
      <c r="D63" s="24">
        <v>0</v>
      </c>
      <c r="E63" s="23">
        <f>C63*D63</f>
        <v>0</v>
      </c>
      <c r="F63" s="67"/>
      <c r="G63" s="60">
        <f t="shared" si="16"/>
        <v>0</v>
      </c>
      <c r="H63" s="61">
        <f t="shared" si="17"/>
        <v>0</v>
      </c>
      <c r="I63" s="61">
        <f>SUM(H54:H63)</f>
        <v>1.8775717330709953</v>
      </c>
      <c r="J63" s="61">
        <f>I63*SUM(D54:D63)</f>
        <v>57256.55</v>
      </c>
      <c r="K63" s="61">
        <f>J63-SUM(E54:E63)</f>
        <v>0</v>
      </c>
      <c r="L63" s="67"/>
      <c r="V63" s="14"/>
      <c r="W63" s="14"/>
    </row>
    <row r="64" spans="1:24" x14ac:dyDescent="0.25">
      <c r="D64" s="2">
        <f>SUM(D8:D63)</f>
        <v>66085</v>
      </c>
      <c r="G64" s="67"/>
      <c r="H64" s="67"/>
    </row>
    <row r="65" spans="4:23" x14ac:dyDescent="0.25">
      <c r="E65" s="38">
        <f>SUM(E8:E64)</f>
        <v>107256.9</v>
      </c>
    </row>
    <row r="66" spans="4:23" x14ac:dyDescent="0.25">
      <c r="D66" s="68" t="s">
        <v>84</v>
      </c>
      <c r="E66" s="3">
        <f>'[19]Murrey''s LOB'!D11</f>
        <v>105841.40000000001</v>
      </c>
    </row>
    <row r="67" spans="4:23" x14ac:dyDescent="0.25">
      <c r="E67" s="3">
        <f>E65-E66</f>
        <v>1415.4999999999854</v>
      </c>
      <c r="F67" s="14"/>
      <c r="G67" s="14">
        <f>E67/E66</f>
        <v>1.3373783793487097E-2</v>
      </c>
      <c r="H67" s="14"/>
      <c r="I67" s="14"/>
      <c r="J67" s="14"/>
      <c r="K67" s="14"/>
      <c r="L67" s="14"/>
      <c r="V67" s="14"/>
      <c r="W67" s="14"/>
    </row>
  </sheetData>
  <mergeCells count="3">
    <mergeCell ref="B6:E6"/>
    <mergeCell ref="G6:K6"/>
    <mergeCell ref="M6:R6"/>
  </mergeCells>
  <pageMargins left="0.7" right="0.7" top="0.75" bottom="0.75" header="0.3" footer="0.3"/>
  <pageSetup scale="76" fitToWidth="2" fitToHeight="2" orientation="landscape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37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2" max="2" width="8.7109375" style="77" bestFit="1" customWidth="1"/>
    <col min="3" max="3" width="7.28515625" style="77" bestFit="1" customWidth="1"/>
    <col min="4" max="4" width="10.5703125" style="92" bestFit="1" customWidth="1"/>
    <col min="7" max="7" width="12.42578125" style="80" customWidth="1"/>
    <col min="8" max="8" width="12.28515625" bestFit="1" customWidth="1"/>
    <col min="9" max="9" width="10.5703125" bestFit="1" customWidth="1"/>
    <col min="10" max="10" width="15.140625" style="94" customWidth="1"/>
    <col min="11" max="12" width="15.140625" customWidth="1"/>
  </cols>
  <sheetData>
    <row r="1" spans="1:19" s="70" customFormat="1" ht="45" x14ac:dyDescent="0.25">
      <c r="A1" s="70" t="s">
        <v>86</v>
      </c>
      <c r="B1" s="71" t="s">
        <v>87</v>
      </c>
      <c r="C1" s="71" t="s">
        <v>88</v>
      </c>
      <c r="D1" s="72" t="s">
        <v>89</v>
      </c>
      <c r="E1" s="70" t="s">
        <v>9</v>
      </c>
      <c r="F1" s="73" t="s">
        <v>90</v>
      </c>
      <c r="G1" s="74" t="s">
        <v>91</v>
      </c>
      <c r="H1" s="70" t="s">
        <v>92</v>
      </c>
      <c r="J1" s="75"/>
    </row>
    <row r="2" spans="1:19" s="70" customFormat="1" x14ac:dyDescent="0.25">
      <c r="A2" s="76" t="s">
        <v>93</v>
      </c>
      <c r="B2" s="77">
        <v>21</v>
      </c>
      <c r="C2" s="78">
        <f t="shared" ref="C2:C17" si="0">+D2/B2</f>
        <v>214</v>
      </c>
      <c r="D2" s="79">
        <f>869+914+552+713+132+1314</f>
        <v>4494</v>
      </c>
      <c r="E2" s="80">
        <v>0.25</v>
      </c>
      <c r="F2" s="80">
        <f t="shared" ref="F2:F17" si="1">16.55%*(D2*E2)</f>
        <v>185.93925000000002</v>
      </c>
      <c r="G2" s="80">
        <f t="shared" ref="G2" si="2">4.196%*(D2*E2)</f>
        <v>47.142059999999994</v>
      </c>
      <c r="H2" s="81">
        <f t="shared" ref="H2:H17" si="3">(D2*E2)+SUM(F2:G2)</f>
        <v>1356.58131</v>
      </c>
      <c r="J2" s="82" t="s">
        <v>94</v>
      </c>
    </row>
    <row r="3" spans="1:19" s="70" customFormat="1" x14ac:dyDescent="0.25">
      <c r="A3" s="76" t="s">
        <v>95</v>
      </c>
      <c r="B3" s="77">
        <v>22</v>
      </c>
      <c r="C3" s="78">
        <f t="shared" si="0"/>
        <v>187.63636363636363</v>
      </c>
      <c r="D3" s="79">
        <f>557+592+326+496+543+692+502+420</f>
        <v>4128</v>
      </c>
      <c r="E3" s="80">
        <v>0.25</v>
      </c>
      <c r="F3" s="80">
        <f t="shared" si="1"/>
        <v>170.79600000000002</v>
      </c>
      <c r="G3" s="80">
        <f>4.1995%*(D3*E3)+0.03</f>
        <v>43.368839999999999</v>
      </c>
      <c r="H3" s="81">
        <f t="shared" si="3"/>
        <v>1246.1648399999999</v>
      </c>
      <c r="J3" s="75"/>
    </row>
    <row r="4" spans="1:19" s="70" customFormat="1" x14ac:dyDescent="0.25">
      <c r="A4" s="76" t="s">
        <v>96</v>
      </c>
      <c r="B4" s="77">
        <v>22</v>
      </c>
      <c r="C4" s="78">
        <f t="shared" si="0"/>
        <v>248.20454545454547</v>
      </c>
      <c r="D4" s="79">
        <f>622+444.5+468+464+726+482+1309+945</f>
        <v>5460.5</v>
      </c>
      <c r="E4" s="80">
        <v>0.3</v>
      </c>
      <c r="F4" s="80">
        <f t="shared" si="1"/>
        <v>271.11382499999996</v>
      </c>
      <c r="G4" s="80">
        <f>4.196%*(D4*E4)-0.05</f>
        <v>68.686774</v>
      </c>
      <c r="H4" s="81">
        <f t="shared" si="3"/>
        <v>1977.9505989999998</v>
      </c>
      <c r="J4" s="75"/>
    </row>
    <row r="5" spans="1:19" s="70" customFormat="1" x14ac:dyDescent="0.25">
      <c r="A5" s="83" t="s">
        <v>97</v>
      </c>
      <c r="B5" s="84">
        <v>21</v>
      </c>
      <c r="C5" s="85">
        <f t="shared" si="0"/>
        <v>337.04761904761904</v>
      </c>
      <c r="D5" s="86">
        <f>1279+1320+962+482+913+396+846+880</f>
        <v>7078</v>
      </c>
      <c r="E5" s="87">
        <v>0.3</v>
      </c>
      <c r="F5" s="87">
        <f t="shared" si="1"/>
        <v>351.42270000000002</v>
      </c>
      <c r="G5" s="87">
        <f>4.1995%*(D5*E5)-0.09</f>
        <v>89.082183000000001</v>
      </c>
      <c r="H5" s="88">
        <f t="shared" si="3"/>
        <v>2563.9048830000002</v>
      </c>
      <c r="I5" s="89"/>
      <c r="J5" s="90" t="s">
        <v>94</v>
      </c>
      <c r="K5" s="89"/>
      <c r="L5" s="89"/>
      <c r="M5" s="89"/>
      <c r="N5" s="89"/>
      <c r="O5" s="89"/>
      <c r="P5" s="89"/>
      <c r="Q5" s="89"/>
      <c r="R5" s="89"/>
      <c r="S5" s="89"/>
    </row>
    <row r="6" spans="1:19" s="70" customFormat="1" x14ac:dyDescent="0.25">
      <c r="A6" s="83" t="s">
        <v>98</v>
      </c>
      <c r="B6" s="84">
        <v>23</v>
      </c>
      <c r="C6" s="85">
        <f t="shared" si="0"/>
        <v>231.95652173913044</v>
      </c>
      <c r="D6" s="86">
        <f>326+219+270+470+792+600+850+570+1060+178</f>
        <v>5335</v>
      </c>
      <c r="E6" s="87">
        <v>0.3</v>
      </c>
      <c r="F6" s="87">
        <f t="shared" si="1"/>
        <v>264.88274999999999</v>
      </c>
      <c r="G6" s="87">
        <f>4.196%*(D6*E6)+0.1</f>
        <v>67.256979999999984</v>
      </c>
      <c r="H6" s="88">
        <f t="shared" si="3"/>
        <v>1932.6397299999999</v>
      </c>
      <c r="I6" s="89"/>
      <c r="J6" s="91"/>
      <c r="K6" s="89"/>
      <c r="L6" s="89"/>
      <c r="M6" s="89"/>
      <c r="N6" s="89"/>
      <c r="O6" s="89"/>
      <c r="P6" s="89"/>
      <c r="Q6" s="89"/>
      <c r="R6" s="89"/>
      <c r="S6" s="89"/>
    </row>
    <row r="7" spans="1:19" s="70" customFormat="1" x14ac:dyDescent="0.25">
      <c r="A7" s="83" t="s">
        <v>99</v>
      </c>
      <c r="B7" s="84">
        <v>20</v>
      </c>
      <c r="C7" s="85">
        <f t="shared" si="0"/>
        <v>298.35000000000002</v>
      </c>
      <c r="D7" s="86">
        <f>1664+944+521+540+681+744+516+357</f>
        <v>5967</v>
      </c>
      <c r="E7" s="87">
        <v>0.3</v>
      </c>
      <c r="F7" s="87">
        <f t="shared" si="1"/>
        <v>296.26155</v>
      </c>
      <c r="G7" s="87">
        <f>4.1995%*(D7*E7)-0.04</f>
        <v>75.135249499999986</v>
      </c>
      <c r="H7" s="88">
        <f t="shared" si="3"/>
        <v>2161.4967994999997</v>
      </c>
      <c r="I7" s="89"/>
      <c r="J7" s="91"/>
      <c r="K7" s="89"/>
      <c r="L7" s="89"/>
      <c r="M7" s="89"/>
      <c r="N7" s="89"/>
      <c r="O7" s="89"/>
      <c r="P7" s="89"/>
      <c r="Q7" s="89"/>
      <c r="R7" s="89"/>
      <c r="S7" s="89"/>
    </row>
    <row r="8" spans="1:19" s="70" customFormat="1" x14ac:dyDescent="0.25">
      <c r="A8" s="83" t="s">
        <v>100</v>
      </c>
      <c r="B8" s="84">
        <v>22</v>
      </c>
      <c r="C8" s="85">
        <f t="shared" si="0"/>
        <v>267.18181818181819</v>
      </c>
      <c r="D8" s="86">
        <f>1119+424+613+346+606+1139+752+879</f>
        <v>5878</v>
      </c>
      <c r="E8" s="87">
        <v>0.3</v>
      </c>
      <c r="F8" s="87">
        <f t="shared" si="1"/>
        <v>291.84269999999998</v>
      </c>
      <c r="G8" s="87">
        <f>4.196%*(D8*E8)+0.08</f>
        <v>74.07226399999999</v>
      </c>
      <c r="H8" s="88">
        <f t="shared" si="3"/>
        <v>2129.3149639999997</v>
      </c>
      <c r="I8" s="89"/>
      <c r="J8" s="91"/>
      <c r="K8" s="89"/>
      <c r="L8" s="89"/>
      <c r="M8" s="89"/>
      <c r="N8" s="89"/>
      <c r="O8" s="89"/>
      <c r="P8" s="89"/>
      <c r="Q8" s="89"/>
      <c r="R8" s="89"/>
      <c r="S8" s="89"/>
    </row>
    <row r="9" spans="1:19" s="70" customFormat="1" x14ac:dyDescent="0.25">
      <c r="A9" s="83" t="s">
        <v>101</v>
      </c>
      <c r="B9" s="84">
        <v>21</v>
      </c>
      <c r="C9" s="85">
        <f t="shared" si="0"/>
        <v>324.57142857142856</v>
      </c>
      <c r="D9" s="86">
        <f>971+844+933+444+943+811+1244+626</f>
        <v>6816</v>
      </c>
      <c r="E9" s="87">
        <v>0.3</v>
      </c>
      <c r="F9" s="87">
        <f t="shared" si="1"/>
        <v>338.4144</v>
      </c>
      <c r="G9" s="87">
        <f>4.1995%*(D9*E9)+0.01</f>
        <v>85.881376000000003</v>
      </c>
      <c r="H9" s="88">
        <f t="shared" si="3"/>
        <v>2469.0957760000001</v>
      </c>
      <c r="I9" s="89"/>
      <c r="J9" s="91"/>
      <c r="K9" s="89"/>
      <c r="L9" s="89"/>
      <c r="M9" s="89"/>
      <c r="N9" s="89"/>
      <c r="O9" s="89"/>
      <c r="P9" s="89"/>
      <c r="Q9" s="89"/>
      <c r="R9" s="89"/>
      <c r="S9" s="89"/>
    </row>
    <row r="10" spans="1:19" s="70" customFormat="1" x14ac:dyDescent="0.25">
      <c r="A10" s="83" t="s">
        <v>102</v>
      </c>
      <c r="B10" s="84">
        <v>23</v>
      </c>
      <c r="C10" s="85">
        <f t="shared" si="0"/>
        <v>344.3478260869565</v>
      </c>
      <c r="D10" s="86">
        <f>631+780+878+585+768+626+1025+926+888+813</f>
        <v>7920</v>
      </c>
      <c r="E10" s="87">
        <v>0.3</v>
      </c>
      <c r="F10" s="87">
        <f t="shared" si="1"/>
        <v>393.22800000000001</v>
      </c>
      <c r="G10" s="87">
        <f>4.196%*(D10*E10)+0.15</f>
        <v>99.846959999999996</v>
      </c>
      <c r="H10" s="88">
        <f t="shared" si="3"/>
        <v>2869.0749599999999</v>
      </c>
      <c r="I10" s="89"/>
      <c r="J10" s="91"/>
      <c r="K10" s="89"/>
      <c r="L10" s="89"/>
      <c r="M10" s="89"/>
      <c r="N10" s="89"/>
      <c r="O10" s="89"/>
      <c r="P10" s="89"/>
      <c r="Q10" s="89"/>
      <c r="R10" s="89"/>
      <c r="S10" s="89"/>
    </row>
    <row r="11" spans="1:19" s="70" customFormat="1" x14ac:dyDescent="0.25">
      <c r="A11" s="83" t="s">
        <v>103</v>
      </c>
      <c r="B11" s="84">
        <v>21</v>
      </c>
      <c r="C11" s="85">
        <f t="shared" si="0"/>
        <v>284.28571428571428</v>
      </c>
      <c r="D11" s="86">
        <f>470+498+1256+252+831+549+1652+462</f>
        <v>5970</v>
      </c>
      <c r="E11" s="87">
        <v>0.3</v>
      </c>
      <c r="F11" s="87">
        <f t="shared" si="1"/>
        <v>296.41050000000001</v>
      </c>
      <c r="G11" s="87">
        <f>4.1995%*(D11*E11)-0.04</f>
        <v>75.173044999999988</v>
      </c>
      <c r="H11" s="88">
        <f t="shared" si="3"/>
        <v>2162.583545</v>
      </c>
      <c r="I11" s="89"/>
      <c r="J11" s="91"/>
      <c r="K11" s="89"/>
      <c r="L11" s="89"/>
      <c r="M11" s="89"/>
      <c r="N11" s="89"/>
      <c r="O11" s="89"/>
      <c r="P11" s="89"/>
      <c r="Q11" s="89"/>
      <c r="R11" s="89"/>
      <c r="S11" s="89"/>
    </row>
    <row r="12" spans="1:19" s="70" customFormat="1" x14ac:dyDescent="0.25">
      <c r="A12" s="83" t="s">
        <v>104</v>
      </c>
      <c r="B12" s="84">
        <v>22</v>
      </c>
      <c r="C12" s="85">
        <f t="shared" si="0"/>
        <v>287.36363636363637</v>
      </c>
      <c r="D12" s="86">
        <f>559+788+652+317+591+375+760+730+832+718</f>
        <v>6322</v>
      </c>
      <c r="E12" s="87">
        <v>0.3</v>
      </c>
      <c r="F12" s="87">
        <f t="shared" si="1"/>
        <v>313.88729999999998</v>
      </c>
      <c r="G12" s="87">
        <f>4.196%*(D12*E12)-0.03</f>
        <v>79.551335999999992</v>
      </c>
      <c r="H12" s="88">
        <f t="shared" si="3"/>
        <v>2290.0386359999998</v>
      </c>
      <c r="I12" s="89"/>
      <c r="J12" s="91"/>
      <c r="K12" s="89"/>
      <c r="L12" s="89"/>
      <c r="M12" s="89"/>
      <c r="N12" s="89"/>
      <c r="O12" s="89"/>
      <c r="P12" s="89"/>
      <c r="Q12" s="89"/>
      <c r="R12" s="89"/>
      <c r="S12" s="89"/>
    </row>
    <row r="13" spans="1:19" s="70" customFormat="1" x14ac:dyDescent="0.25">
      <c r="A13" s="83" t="s">
        <v>105</v>
      </c>
      <c r="B13" s="84">
        <v>23</v>
      </c>
      <c r="C13" s="85">
        <f t="shared" si="0"/>
        <v>264.30434782608694</v>
      </c>
      <c r="D13" s="86">
        <f>1246+390+1047+621+1075+424+513+763</f>
        <v>6079</v>
      </c>
      <c r="E13" s="87">
        <v>0.3</v>
      </c>
      <c r="F13" s="87">
        <f t="shared" si="1"/>
        <v>301.82235000000003</v>
      </c>
      <c r="G13" s="87">
        <f>4.1995%*(D13*E13)-0.11</f>
        <v>76.476281499999999</v>
      </c>
      <c r="H13" s="88">
        <f t="shared" si="3"/>
        <v>2201.9986315000001</v>
      </c>
      <c r="I13" s="89"/>
      <c r="J13" s="91"/>
      <c r="K13" s="89"/>
      <c r="L13" s="89"/>
      <c r="M13" s="89"/>
      <c r="N13" s="89"/>
      <c r="O13" s="89"/>
      <c r="P13" s="89"/>
      <c r="Q13" s="89"/>
      <c r="R13" s="89"/>
      <c r="S13" s="89"/>
    </row>
    <row r="14" spans="1:19" s="70" customFormat="1" x14ac:dyDescent="0.25">
      <c r="A14" s="83" t="s">
        <v>106</v>
      </c>
      <c r="B14" s="84">
        <v>20</v>
      </c>
      <c r="C14" s="85">
        <f t="shared" si="0"/>
        <v>277.75</v>
      </c>
      <c r="D14" s="86">
        <f>1393+739+1418+650+803+552</f>
        <v>5555</v>
      </c>
      <c r="E14" s="87">
        <v>0.3</v>
      </c>
      <c r="F14" s="87">
        <f t="shared" si="1"/>
        <v>275.80574999999999</v>
      </c>
      <c r="G14" s="87">
        <f>4.196%*(D14*E14)-0.23</f>
        <v>69.696339999999992</v>
      </c>
      <c r="H14" s="88">
        <f t="shared" si="3"/>
        <v>2012.00209</v>
      </c>
      <c r="I14" s="89"/>
      <c r="J14" s="91"/>
      <c r="K14" s="89"/>
      <c r="L14" s="89"/>
      <c r="M14" s="89"/>
      <c r="N14" s="89"/>
      <c r="O14" s="89"/>
      <c r="P14" s="89"/>
      <c r="Q14" s="89"/>
      <c r="R14" s="89"/>
      <c r="S14" s="89"/>
    </row>
    <row r="15" spans="1:19" s="70" customFormat="1" x14ac:dyDescent="0.25">
      <c r="A15" s="83" t="s">
        <v>107</v>
      </c>
      <c r="B15" s="84">
        <v>23</v>
      </c>
      <c r="C15" s="85">
        <f t="shared" si="0"/>
        <v>329.73913043478262</v>
      </c>
      <c r="D15" s="86">
        <f>794+712+1274+360+1210+417+768+416+1135+498</f>
        <v>7584</v>
      </c>
      <c r="E15" s="87">
        <v>0.3</v>
      </c>
      <c r="F15" s="87">
        <f t="shared" si="1"/>
        <v>376.54559999999998</v>
      </c>
      <c r="G15" s="87">
        <f>4.1995%*(D15*E15)-0.19</f>
        <v>95.357023999999996</v>
      </c>
      <c r="H15" s="88">
        <f t="shared" si="3"/>
        <v>2747.1026239999997</v>
      </c>
      <c r="I15" s="89"/>
      <c r="J15" s="91"/>
      <c r="K15" s="89"/>
      <c r="L15" s="89"/>
      <c r="M15" s="89"/>
      <c r="N15" s="89"/>
      <c r="O15" s="89"/>
      <c r="P15" s="89"/>
      <c r="Q15" s="89"/>
      <c r="R15" s="89"/>
      <c r="S15" s="89"/>
    </row>
    <row r="16" spans="1:19" s="70" customFormat="1" x14ac:dyDescent="0.25">
      <c r="A16" s="83" t="s">
        <v>108</v>
      </c>
      <c r="B16" s="84">
        <v>22</v>
      </c>
      <c r="C16" s="85">
        <f t="shared" si="0"/>
        <v>261.59090909090907</v>
      </c>
      <c r="D16" s="86">
        <f>1201+352+825+604+1382+589+336+466</f>
        <v>5755</v>
      </c>
      <c r="E16" s="87">
        <v>0.3</v>
      </c>
      <c r="F16" s="87">
        <f t="shared" si="1"/>
        <v>285.73575</v>
      </c>
      <c r="G16" s="87">
        <f>4.196%*(D16*E16)+0.01</f>
        <v>72.453940000000003</v>
      </c>
      <c r="H16" s="88">
        <f t="shared" si="3"/>
        <v>2084.6896900000002</v>
      </c>
      <c r="I16" s="89"/>
      <c r="J16" s="91"/>
      <c r="K16" s="89"/>
      <c r="L16" s="89"/>
      <c r="M16" s="89"/>
      <c r="N16" s="89"/>
      <c r="O16" s="89"/>
      <c r="P16" s="89"/>
      <c r="Q16" s="89"/>
      <c r="R16" s="89"/>
      <c r="S16" s="89"/>
    </row>
    <row r="17" spans="1:19" s="70" customFormat="1" x14ac:dyDescent="0.25">
      <c r="A17" s="83" t="s">
        <v>109</v>
      </c>
      <c r="B17" s="84">
        <v>21</v>
      </c>
      <c r="C17" s="85">
        <f t="shared" si="0"/>
        <v>255.0952380952381</v>
      </c>
      <c r="D17" s="86">
        <f>1136+872+972+467+1350+560</f>
        <v>5357</v>
      </c>
      <c r="E17" s="87">
        <v>0.3</v>
      </c>
      <c r="F17" s="87">
        <f t="shared" si="1"/>
        <v>265.97505000000001</v>
      </c>
      <c r="G17" s="87">
        <f>4.1995%*(D17*E17)-0.21</f>
        <v>67.280164499999998</v>
      </c>
      <c r="H17" s="88">
        <f t="shared" si="3"/>
        <v>1940.3552144999999</v>
      </c>
      <c r="I17" s="89"/>
      <c r="J17" s="91"/>
      <c r="K17" s="89"/>
      <c r="L17" s="89"/>
      <c r="M17" s="89"/>
      <c r="N17" s="89"/>
      <c r="O17" s="89"/>
      <c r="P17" s="89"/>
      <c r="Q17" s="89"/>
      <c r="R17" s="89"/>
      <c r="S17" s="89"/>
    </row>
    <row r="18" spans="1:19" x14ac:dyDescent="0.25">
      <c r="A18" t="s">
        <v>110</v>
      </c>
      <c r="B18" s="77">
        <v>23</v>
      </c>
      <c r="C18" s="78">
        <f>+D18/B18</f>
        <v>266.6521739130435</v>
      </c>
      <c r="D18" s="92">
        <f>1839.9/E18</f>
        <v>6133.0000000000009</v>
      </c>
      <c r="E18" s="80">
        <v>0.3</v>
      </c>
      <c r="F18" s="80">
        <f>16.55%*(D18*E18)</f>
        <v>304.50345000000004</v>
      </c>
      <c r="G18" s="80">
        <f>4.196%*(D18*E18)</f>
        <v>77.202204000000009</v>
      </c>
      <c r="H18" s="81">
        <f>(D18*E18)+SUM(F18:G18)</f>
        <v>2221.6056540000004</v>
      </c>
      <c r="I18" s="81"/>
      <c r="J18" s="93" t="s">
        <v>94</v>
      </c>
    </row>
    <row r="19" spans="1:19" x14ac:dyDescent="0.25">
      <c r="A19" t="s">
        <v>111</v>
      </c>
      <c r="B19" s="77">
        <v>20</v>
      </c>
      <c r="C19" s="78">
        <f t="shared" ref="C19:C22" si="4">+D19/B19</f>
        <v>206.04999999999995</v>
      </c>
      <c r="D19" s="92">
        <f>(1492.83-51.92-204.61)/0.3</f>
        <v>4120.9999999999991</v>
      </c>
      <c r="E19" s="80">
        <v>0.3</v>
      </c>
      <c r="F19" s="80">
        <f t="shared" ref="F19:F24" si="5">16.55%*(D19*E19)</f>
        <v>204.60764999999998</v>
      </c>
      <c r="G19" s="80">
        <f>4.1995%*(D19*E19)</f>
        <v>51.918418499999987</v>
      </c>
      <c r="H19" s="81">
        <f t="shared" ref="H19:H23" si="6">(D19*E19)+SUM(F19:G19)</f>
        <v>1492.8260684999996</v>
      </c>
    </row>
    <row r="20" spans="1:19" x14ac:dyDescent="0.25">
      <c r="A20" t="s">
        <v>112</v>
      </c>
      <c r="B20" s="77">
        <v>21</v>
      </c>
      <c r="C20" s="78">
        <f t="shared" si="4"/>
        <v>312.23809523809524</v>
      </c>
      <c r="D20" s="92">
        <f>935+1222+2181+747+667+805</f>
        <v>6557</v>
      </c>
      <c r="E20" s="80">
        <v>0.3</v>
      </c>
      <c r="F20" s="80">
        <f t="shared" si="5"/>
        <v>325.55504999999999</v>
      </c>
      <c r="G20" s="80">
        <f>4.194%*(D20*E20)</f>
        <v>82.500173999999987</v>
      </c>
      <c r="H20" s="81">
        <f t="shared" si="6"/>
        <v>2375.1552240000001</v>
      </c>
    </row>
    <row r="21" spans="1:19" x14ac:dyDescent="0.25">
      <c r="A21" t="s">
        <v>113</v>
      </c>
      <c r="B21" s="77">
        <v>22</v>
      </c>
      <c r="C21" s="78">
        <f t="shared" si="4"/>
        <v>329.04545454545456</v>
      </c>
      <c r="D21" s="92">
        <f>1018+1007+669+429+629+1220+717+448+574+528</f>
        <v>7239</v>
      </c>
      <c r="E21" s="80">
        <v>0.3</v>
      </c>
      <c r="F21" s="80">
        <f t="shared" si="5"/>
        <v>359.41634999999997</v>
      </c>
      <c r="G21" s="80">
        <f>4.1877%*(D21*E21)</f>
        <v>90.944280899999995</v>
      </c>
      <c r="H21" s="81">
        <f t="shared" si="6"/>
        <v>2622.0606308999995</v>
      </c>
    </row>
    <row r="22" spans="1:19" x14ac:dyDescent="0.25">
      <c r="A22" t="s">
        <v>114</v>
      </c>
      <c r="B22" s="77">
        <v>23</v>
      </c>
      <c r="C22" s="78">
        <f t="shared" si="4"/>
        <v>145.60869565217391</v>
      </c>
      <c r="D22" s="92">
        <f>808+358+814+338+588+443</f>
        <v>3349</v>
      </c>
      <c r="E22" s="80">
        <v>0.3</v>
      </c>
      <c r="F22" s="80">
        <f t="shared" si="5"/>
        <v>166.27785</v>
      </c>
      <c r="G22" s="80">
        <f>4.207%*(D22*E22)</f>
        <v>42.267728999999996</v>
      </c>
      <c r="H22" s="81">
        <f t="shared" si="6"/>
        <v>1213.2455789999999</v>
      </c>
    </row>
    <row r="23" spans="1:19" x14ac:dyDescent="0.25">
      <c r="A23" t="s">
        <v>115</v>
      </c>
      <c r="B23" s="77">
        <v>20</v>
      </c>
      <c r="E23" s="80">
        <v>0.3</v>
      </c>
      <c r="F23" s="80">
        <f t="shared" si="5"/>
        <v>0</v>
      </c>
      <c r="G23" s="80">
        <f t="shared" ref="G23" si="7">4.196%*(D23*E23)</f>
        <v>0</v>
      </c>
      <c r="H23" s="81">
        <f t="shared" si="6"/>
        <v>0</v>
      </c>
    </row>
    <row r="24" spans="1:19" x14ac:dyDescent="0.25">
      <c r="A24" t="s">
        <v>116</v>
      </c>
      <c r="B24" s="77">
        <v>23</v>
      </c>
      <c r="E24" s="95">
        <v>0.32</v>
      </c>
      <c r="F24" s="80">
        <f t="shared" si="5"/>
        <v>0</v>
      </c>
    </row>
    <row r="25" spans="1:19" x14ac:dyDescent="0.25">
      <c r="A25" t="s">
        <v>117</v>
      </c>
      <c r="B25" s="77">
        <v>22</v>
      </c>
      <c r="E25" s="95">
        <v>0.32</v>
      </c>
    </row>
    <row r="26" spans="1:19" x14ac:dyDescent="0.25">
      <c r="A26" t="s">
        <v>118</v>
      </c>
      <c r="B26" s="77">
        <v>21</v>
      </c>
      <c r="E26" s="95">
        <v>0.32</v>
      </c>
    </row>
    <row r="27" spans="1:19" x14ac:dyDescent="0.25">
      <c r="A27" t="s">
        <v>119</v>
      </c>
      <c r="B27" s="77">
        <v>23</v>
      </c>
      <c r="E27" s="95">
        <v>0.32</v>
      </c>
    </row>
    <row r="28" spans="1:19" x14ac:dyDescent="0.25">
      <c r="A28" t="s">
        <v>120</v>
      </c>
      <c r="B28" s="77">
        <v>21</v>
      </c>
      <c r="E28" s="95">
        <v>0.32</v>
      </c>
      <c r="I28" s="110" t="s">
        <v>125</v>
      </c>
      <c r="J28" s="97"/>
      <c r="K28" s="96"/>
      <c r="L28" s="96"/>
      <c r="M28" s="96"/>
      <c r="N28" s="96"/>
      <c r="O28" s="96"/>
    </row>
    <row r="29" spans="1:19" x14ac:dyDescent="0.25">
      <c r="A29" t="s">
        <v>121</v>
      </c>
      <c r="B29" s="77">
        <v>22</v>
      </c>
      <c r="E29" s="95">
        <v>0.32</v>
      </c>
      <c r="H29" s="98"/>
      <c r="I29" s="99"/>
      <c r="J29" s="100"/>
      <c r="K29" s="101"/>
      <c r="L29" s="101"/>
      <c r="M29" s="101"/>
      <c r="N29" s="101"/>
      <c r="O29" s="101"/>
    </row>
    <row r="30" spans="1:19" s="102" customFormat="1" ht="30" customHeight="1" x14ac:dyDescent="0.25">
      <c r="B30" s="103"/>
      <c r="C30" s="103"/>
      <c r="D30" s="79"/>
      <c r="G30" s="104"/>
      <c r="I30" s="105"/>
      <c r="J30" s="106" t="s">
        <v>122</v>
      </c>
      <c r="K30" s="107" t="s">
        <v>123</v>
      </c>
      <c r="L30" s="107" t="s">
        <v>124</v>
      </c>
      <c r="M30" s="105"/>
      <c r="N30" s="105"/>
      <c r="O30" s="105"/>
    </row>
    <row r="31" spans="1:19" x14ac:dyDescent="0.25">
      <c r="I31" s="101"/>
      <c r="J31" s="108">
        <f>SUM(D6:D17)</f>
        <v>74538</v>
      </c>
      <c r="K31" s="99">
        <f>E24-E12</f>
        <v>2.0000000000000018E-2</v>
      </c>
      <c r="L31" s="109">
        <f>K31*J31</f>
        <v>1490.7600000000014</v>
      </c>
      <c r="M31" s="101"/>
      <c r="N31" s="101"/>
      <c r="O31" s="101"/>
    </row>
    <row r="32" spans="1:19" x14ac:dyDescent="0.25">
      <c r="I32" s="101"/>
      <c r="J32" s="100"/>
      <c r="K32" s="101"/>
      <c r="L32" s="101"/>
      <c r="M32" s="101"/>
      <c r="N32" s="101"/>
      <c r="O32" s="101"/>
    </row>
    <row r="33" spans="9:15" x14ac:dyDescent="0.25">
      <c r="I33" s="96"/>
      <c r="J33" s="97"/>
      <c r="K33" s="96"/>
      <c r="L33" s="96"/>
      <c r="M33" s="96"/>
      <c r="N33" s="96"/>
      <c r="O33" s="96"/>
    </row>
    <row r="34" spans="9:15" x14ac:dyDescent="0.25">
      <c r="I34" s="96"/>
      <c r="J34" s="97"/>
      <c r="K34" s="96"/>
      <c r="L34" s="96"/>
      <c r="M34" s="96"/>
      <c r="N34" s="96"/>
      <c r="O34" s="96"/>
    </row>
    <row r="35" spans="9:15" x14ac:dyDescent="0.25">
      <c r="I35" s="96"/>
      <c r="J35" s="97"/>
      <c r="K35" s="96"/>
      <c r="L35" s="96"/>
      <c r="M35" s="96"/>
      <c r="N35" s="96"/>
      <c r="O35" s="96"/>
    </row>
    <row r="36" spans="9:15" x14ac:dyDescent="0.25">
      <c r="I36" s="96"/>
      <c r="J36" s="97"/>
      <c r="K36" s="96"/>
      <c r="L36" s="96"/>
      <c r="M36" s="96"/>
      <c r="N36" s="96"/>
      <c r="O36" s="96"/>
    </row>
    <row r="37" spans="9:15" x14ac:dyDescent="0.25">
      <c r="I37" s="96"/>
      <c r="J37" s="97"/>
      <c r="K37" s="96"/>
      <c r="L37" s="96"/>
      <c r="M37" s="96"/>
      <c r="N37" s="96"/>
      <c r="O37" s="96"/>
    </row>
  </sheetData>
  <hyperlinks>
    <hyperlink ref="J5" r:id="rId1"/>
    <hyperlink ref="J2" r:id="rId2"/>
    <hyperlink ref="J18" r:id="rId3"/>
  </hyperlinks>
  <pageMargins left="0.7" right="0.7" top="0.75" bottom="0.75" header="0.3" footer="0.3"/>
  <pageSetup scale="76" orientation="landscape" r:id="rId4"/>
  <colBreaks count="2" manualBreakCount="2">
    <brk id="8" max="1048575" man="1"/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EEEA69AE185443B7C7E7BA6FC78758" ma:contentTypeVersion="52" ma:contentTypeDescription="" ma:contentTypeScope="" ma:versionID="a50976194c6336e3ee48378d1234699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2020-08-13T07:00:00+00:00</OpenedDate>
    <SignificantOrder xmlns="dc463f71-b30c-4ab2-9473-d307f9d35888">false</SignificantOrder>
    <Date1 xmlns="dc463f71-b30c-4ab2-9473-d307f9d35888">2020-08-13T07:00:00+00:00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200744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6F8D17-A57A-4529-8F51-9C24B0F8ADFC}"/>
</file>

<file path=customXml/itemProps2.xml><?xml version="1.0" encoding="utf-8"?>
<ds:datastoreItem xmlns:ds="http://schemas.openxmlformats.org/officeDocument/2006/customXml" ds:itemID="{E9A17118-56D7-4867-BE14-FF5001E35721}"/>
</file>

<file path=customXml/itemProps3.xml><?xml version="1.0" encoding="utf-8"?>
<ds:datastoreItem xmlns:ds="http://schemas.openxmlformats.org/officeDocument/2006/customXml" ds:itemID="{9E10FD40-9E42-4218-AE62-73D26B16590C}"/>
</file>

<file path=customXml/itemProps4.xml><?xml version="1.0" encoding="utf-8"?>
<ds:datastoreItem xmlns:ds="http://schemas.openxmlformats.org/officeDocument/2006/customXml" ds:itemID="{5AF2B3FC-FE31-4D18-AEF8-8B7435D0E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 Waste PI</vt:lpstr>
      <vt:lpstr>Med Waste Disp Log</vt:lpstr>
      <vt:lpstr>'Med Waste Disp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2020-08-12T22:27:35Z</cp:lastPrinted>
  <dcterms:created xsi:type="dcterms:W3CDTF">2020-08-10T20:50:40Z</dcterms:created>
  <dcterms:modified xsi:type="dcterms:W3CDTF">2020-08-12T22:27:50Z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0x0101006E56B4D1795A2E4DB2F0B01679ED314A008DEEEA69AE185443B7C7E7BA6FC78758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