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2020 09-01 Disposal Fee\"/>
    </mc:Choice>
  </mc:AlternateContent>
  <bookViews>
    <workbookView xWindow="360" yWindow="225" windowWidth="15570" windowHeight="9855"/>
  </bookViews>
  <sheets>
    <sheet name="per lb increase" sheetId="6" r:id="rId1"/>
    <sheet name="Calculation" sheetId="13" r:id="rId2"/>
    <sheet name="Sheet1" sheetId="14" r:id="rId3"/>
  </sheets>
  <externalReferences>
    <externalReference r:id="rId4"/>
  </externalReferences>
  <definedNames>
    <definedName name="_xlnm.Print_Area" localSheetId="1">Calculation!$A$1:$S$137</definedName>
    <definedName name="_xlnm.Print_Area" localSheetId="0">'per lb increase'!$A$1:$H$36</definedName>
    <definedName name="_xlnm.Print_Titles" localSheetId="1">Calculation!$1:$10</definedName>
  </definedNames>
  <calcPr calcId="162913"/>
</workbook>
</file>

<file path=xl/calcChain.xml><?xml version="1.0" encoding="utf-8"?>
<calcChain xmlns="http://schemas.openxmlformats.org/spreadsheetml/2006/main">
  <c r="P63" i="13" l="1"/>
  <c r="E63" i="13"/>
  <c r="E43" i="13" l="1"/>
  <c r="E35" i="13"/>
  <c r="P43" i="13"/>
  <c r="P35" i="13"/>
  <c r="G30" i="6" l="1"/>
  <c r="E64" i="13" l="1"/>
  <c r="M10" i="13" l="1"/>
  <c r="D27" i="6" l="1"/>
  <c r="C27" i="6"/>
  <c r="D16" i="6" l="1"/>
  <c r="H29" i="6"/>
  <c r="I7" i="13"/>
  <c r="H18" i="6" l="1"/>
  <c r="B14" i="6" l="1"/>
  <c r="H102" i="13"/>
  <c r="E102" i="13"/>
  <c r="E101" i="13"/>
  <c r="E100" i="13"/>
  <c r="H96" i="13"/>
  <c r="H97" i="13"/>
  <c r="E97" i="13"/>
  <c r="E96" i="13"/>
  <c r="H91" i="13"/>
  <c r="E91" i="13"/>
  <c r="H84" i="13"/>
  <c r="H82" i="13"/>
  <c r="E84" i="13"/>
  <c r="E82" i="13"/>
  <c r="H79" i="13"/>
  <c r="E79" i="13"/>
  <c r="H72" i="13"/>
  <c r="E72" i="13"/>
  <c r="H62" i="13"/>
  <c r="H60" i="13"/>
  <c r="E62" i="13"/>
  <c r="E60" i="13"/>
  <c r="H47" i="13"/>
  <c r="E47" i="13"/>
  <c r="H44" i="13"/>
  <c r="H45" i="13"/>
  <c r="E45" i="13"/>
  <c r="E44" i="13"/>
  <c r="H38" i="13"/>
  <c r="E38" i="13"/>
  <c r="H36" i="13"/>
  <c r="H37" i="13"/>
  <c r="E37" i="13"/>
  <c r="E36" i="13"/>
  <c r="E53" i="13"/>
  <c r="E52" i="13"/>
  <c r="E103" i="13"/>
  <c r="C24" i="6" l="1"/>
  <c r="C23" i="6"/>
  <c r="C21" i="6"/>
  <c r="C20" i="6"/>
  <c r="C19" i="6"/>
  <c r="B23" i="6" l="1"/>
  <c r="B24" i="6"/>
  <c r="H10" i="6" l="1"/>
  <c r="F14" i="6"/>
  <c r="H14" i="6" s="1"/>
  <c r="H16" i="6" l="1"/>
  <c r="D10" i="6" l="1"/>
  <c r="D14" i="6"/>
  <c r="E39" i="13"/>
  <c r="H122" i="13"/>
  <c r="E122" i="13"/>
  <c r="E113" i="13"/>
  <c r="E109" i="13"/>
  <c r="H83" i="13"/>
  <c r="H94" i="13"/>
  <c r="H92" i="13"/>
  <c r="F124" i="13"/>
  <c r="E124" i="13"/>
  <c r="E123" i="13"/>
  <c r="E121" i="13"/>
  <c r="E119" i="13"/>
  <c r="E117" i="13"/>
  <c r="E65" i="13"/>
  <c r="F64" i="13"/>
  <c r="E56" i="13"/>
  <c r="B55" i="13"/>
  <c r="B127" i="13" s="1"/>
  <c r="E115" i="13"/>
  <c r="E111" i="13"/>
  <c r="H53" i="13"/>
  <c r="G52" i="13"/>
  <c r="G43" i="13"/>
  <c r="B107" i="13"/>
  <c r="E107" i="13" s="1"/>
  <c r="E105" i="13"/>
  <c r="E22" i="13"/>
  <c r="E21" i="13"/>
  <c r="E17" i="13"/>
  <c r="E16" i="13"/>
  <c r="E13" i="13"/>
  <c r="E12" i="13"/>
  <c r="H30" i="6" l="1"/>
  <c r="H20" i="6"/>
  <c r="C28" i="6" s="1"/>
  <c r="C29" i="6" s="1"/>
  <c r="H55" i="13"/>
  <c r="E55" i="13"/>
  <c r="C25" i="6"/>
  <c r="H46" i="13"/>
  <c r="E23" i="13"/>
  <c r="H52" i="13"/>
  <c r="H35" i="13"/>
  <c r="H124" i="13"/>
  <c r="H43" i="13"/>
  <c r="H64" i="13"/>
  <c r="E20" i="13"/>
  <c r="E19" i="13"/>
  <c r="E15" i="13"/>
  <c r="E73" i="13"/>
  <c r="E86" i="13"/>
  <c r="E104" i="13"/>
  <c r="E106" i="13"/>
  <c r="E108" i="13"/>
  <c r="E110" i="13"/>
  <c r="E112" i="13"/>
  <c r="E114" i="13"/>
  <c r="E116" i="13"/>
  <c r="E118" i="13"/>
  <c r="E120" i="13"/>
  <c r="H81" i="13"/>
  <c r="E18" i="13"/>
  <c r="E14" i="13"/>
  <c r="E48" i="13"/>
  <c r="E31" i="13"/>
  <c r="H148" i="13" l="1"/>
  <c r="A148" i="13"/>
  <c r="F123" i="13"/>
  <c r="H123" i="13" s="1"/>
  <c r="F119" i="13"/>
  <c r="H119" i="13" s="1"/>
  <c r="F116" i="13"/>
  <c r="F117" i="13" s="1"/>
  <c r="H117" i="13" s="1"/>
  <c r="F113" i="13"/>
  <c r="H113" i="13" s="1"/>
  <c r="F110" i="13"/>
  <c r="H110" i="13" s="1"/>
  <c r="F107" i="13"/>
  <c r="H107" i="13" s="1"/>
  <c r="F99" i="13"/>
  <c r="H99" i="13" s="1"/>
  <c r="E99" i="13"/>
  <c r="G98" i="13"/>
  <c r="H98" i="13" s="1"/>
  <c r="E98" i="13"/>
  <c r="G95" i="13"/>
  <c r="H95" i="13" s="1"/>
  <c r="E95" i="13"/>
  <c r="E94" i="13"/>
  <c r="F93" i="13"/>
  <c r="H93" i="13" s="1"/>
  <c r="E93" i="13"/>
  <c r="G90" i="13"/>
  <c r="H90" i="13" s="1"/>
  <c r="G89" i="13"/>
  <c r="H89" i="13" s="1"/>
  <c r="G88" i="13"/>
  <c r="H88" i="13" s="1"/>
  <c r="G87" i="13"/>
  <c r="H87" i="13" s="1"/>
  <c r="G86" i="13"/>
  <c r="H86" i="13" s="1"/>
  <c r="G85" i="13"/>
  <c r="H85" i="13" s="1"/>
  <c r="E85" i="13"/>
  <c r="E83" i="13"/>
  <c r="E81" i="13"/>
  <c r="E80" i="13"/>
  <c r="G78" i="13"/>
  <c r="H78" i="13" s="1"/>
  <c r="G77" i="13"/>
  <c r="H77" i="13" s="1"/>
  <c r="G75" i="13"/>
  <c r="H75" i="13" s="1"/>
  <c r="G74" i="13"/>
  <c r="H74" i="13" s="1"/>
  <c r="G73" i="13"/>
  <c r="H73" i="13" s="1"/>
  <c r="G71" i="13"/>
  <c r="H71" i="13" s="1"/>
  <c r="G70" i="13"/>
  <c r="H70" i="13" s="1"/>
  <c r="G69" i="13"/>
  <c r="H69" i="13" s="1"/>
  <c r="G67" i="13"/>
  <c r="H67" i="13" s="1"/>
  <c r="G66" i="13"/>
  <c r="H66" i="13" s="1"/>
  <c r="G65" i="13"/>
  <c r="H65" i="13" s="1"/>
  <c r="G61" i="13"/>
  <c r="H61" i="13" s="1"/>
  <c r="G58" i="13"/>
  <c r="H58" i="13" s="1"/>
  <c r="G57" i="13"/>
  <c r="H57" i="13" s="1"/>
  <c r="G56" i="13"/>
  <c r="H56" i="13" s="1"/>
  <c r="G54" i="13"/>
  <c r="H54" i="13" s="1"/>
  <c r="G50" i="13"/>
  <c r="H50" i="13" s="1"/>
  <c r="G49" i="13"/>
  <c r="H49" i="13" s="1"/>
  <c r="G48" i="13"/>
  <c r="H48" i="13" s="1"/>
  <c r="E46" i="13"/>
  <c r="G41" i="13"/>
  <c r="H41" i="13" s="1"/>
  <c r="G40" i="13"/>
  <c r="H40" i="13" s="1"/>
  <c r="G39" i="13"/>
  <c r="H39" i="13" s="1"/>
  <c r="G34" i="13"/>
  <c r="H33" i="13"/>
  <c r="H32" i="13"/>
  <c r="F23" i="13"/>
  <c r="H23" i="13" s="1"/>
  <c r="G22" i="13"/>
  <c r="G21" i="13"/>
  <c r="F21" i="13"/>
  <c r="G20" i="13"/>
  <c r="H20" i="13" s="1"/>
  <c r="G19" i="13"/>
  <c r="G18" i="13"/>
  <c r="F18" i="13"/>
  <c r="G17" i="13"/>
  <c r="H17" i="13" s="1"/>
  <c r="G16" i="13"/>
  <c r="G15" i="13"/>
  <c r="F15" i="13"/>
  <c r="F80" i="13" s="1"/>
  <c r="H80" i="13" s="1"/>
  <c r="G14" i="13"/>
  <c r="H14" i="13" s="1"/>
  <c r="F12" i="13"/>
  <c r="H12" i="13" l="1"/>
  <c r="F100" i="13"/>
  <c r="H100" i="13" s="1"/>
  <c r="G51" i="13"/>
  <c r="H51" i="13" s="1"/>
  <c r="H34" i="13"/>
  <c r="E54" i="13"/>
  <c r="H18" i="13"/>
  <c r="H15" i="13"/>
  <c r="E32" i="13"/>
  <c r="E61" i="13"/>
  <c r="E66" i="13"/>
  <c r="E69" i="13"/>
  <c r="F13" i="13"/>
  <c r="G42" i="13"/>
  <c r="H42" i="13" s="1"/>
  <c r="F104" i="13"/>
  <c r="H104" i="13" s="1"/>
  <c r="H31" i="13"/>
  <c r="H21" i="13"/>
  <c r="E57" i="13"/>
  <c r="G59" i="13"/>
  <c r="H59" i="13" s="1"/>
  <c r="E67" i="13"/>
  <c r="E70" i="13"/>
  <c r="E74" i="13"/>
  <c r="E75" i="13"/>
  <c r="E78" i="13"/>
  <c r="E88" i="13"/>
  <c r="E42" i="13"/>
  <c r="E89" i="13"/>
  <c r="E33" i="13"/>
  <c r="E40" i="13"/>
  <c r="E49" i="13"/>
  <c r="F111" i="13"/>
  <c r="H111" i="13" s="1"/>
  <c r="E59" i="13"/>
  <c r="E77" i="13"/>
  <c r="E87" i="13"/>
  <c r="E92" i="13"/>
  <c r="E50" i="13"/>
  <c r="G68" i="13"/>
  <c r="H68" i="13" s="1"/>
  <c r="G76" i="13"/>
  <c r="H76" i="13" s="1"/>
  <c r="E41" i="13"/>
  <c r="E51" i="13"/>
  <c r="E58" i="13"/>
  <c r="E68" i="13"/>
  <c r="E71" i="13"/>
  <c r="E76" i="13"/>
  <c r="E90" i="13"/>
  <c r="F118" i="13"/>
  <c r="H118" i="13" s="1"/>
  <c r="H116" i="13"/>
  <c r="F16" i="13"/>
  <c r="H16" i="13" s="1"/>
  <c r="F19" i="13"/>
  <c r="H19" i="13" s="1"/>
  <c r="F22" i="13"/>
  <c r="H22" i="13" s="1"/>
  <c r="F114" i="13"/>
  <c r="H114" i="13" s="1"/>
  <c r="F120" i="13"/>
  <c r="H120" i="13" s="1"/>
  <c r="F103" i="13"/>
  <c r="H103" i="13" s="1"/>
  <c r="F108" i="13"/>
  <c r="H108" i="13" s="1"/>
  <c r="F63" i="13" l="1"/>
  <c r="H63" i="13" s="1"/>
  <c r="F101" i="13"/>
  <c r="H101" i="13" s="1"/>
  <c r="F112" i="13"/>
  <c r="H112" i="13" s="1"/>
  <c r="F106" i="13"/>
  <c r="H106" i="13" s="1"/>
  <c r="F105" i="13"/>
  <c r="H105" i="13" s="1"/>
  <c r="H13" i="13"/>
  <c r="E34" i="13"/>
  <c r="E127" i="13" s="1"/>
  <c r="E135" i="13" s="1"/>
  <c r="F109" i="13"/>
  <c r="H109" i="13" s="1"/>
  <c r="F121" i="13"/>
  <c r="H121" i="13" s="1"/>
  <c r="F115" i="13"/>
  <c r="H115" i="13" s="1"/>
  <c r="H127" i="13" l="1"/>
  <c r="D135" i="13" l="1"/>
  <c r="E136" i="13"/>
  <c r="I30" i="6" s="1"/>
  <c r="F135" i="13" l="1"/>
  <c r="G135" i="13" s="1"/>
  <c r="H135" i="13" s="1"/>
  <c r="H22" i="6"/>
  <c r="K10" i="13" l="1"/>
  <c r="B25" i="13" l="1"/>
  <c r="E11" i="13"/>
  <c r="E25" i="13" s="1"/>
  <c r="D134" i="13" s="1"/>
  <c r="D136" i="13" s="1"/>
  <c r="F136" i="13" s="1"/>
  <c r="G136" i="13" s="1"/>
  <c r="H136" i="13" s="1"/>
  <c r="H11" i="13"/>
  <c r="H25" i="13" s="1"/>
  <c r="H131" i="13" s="1"/>
  <c r="H7" i="13" s="1"/>
  <c r="I8" i="13" s="1"/>
  <c r="I102" i="13" l="1"/>
  <c r="K102" i="13" s="1"/>
  <c r="I31" i="13"/>
  <c r="I38" i="13"/>
  <c r="I124" i="13"/>
  <c r="J124" i="13" s="1"/>
  <c r="I103" i="13"/>
  <c r="J103" i="13" s="1"/>
  <c r="F134" i="13"/>
  <c r="G134" i="13" s="1"/>
  <c r="H134" i="13" s="1"/>
  <c r="J31" i="13" l="1"/>
  <c r="K31" i="13"/>
  <c r="I11" i="13"/>
  <c r="I16" i="13"/>
  <c r="J16" i="13" s="1"/>
  <c r="I66" i="13"/>
  <c r="J66" i="13" s="1"/>
  <c r="I69" i="13"/>
  <c r="K69" i="13" s="1"/>
  <c r="M69" i="13" s="1"/>
  <c r="I90" i="13"/>
  <c r="K90" i="13" s="1"/>
  <c r="M90" i="13" s="1"/>
  <c r="I87" i="13"/>
  <c r="J87" i="13" s="1"/>
  <c r="I99" i="13"/>
  <c r="J99" i="13" s="1"/>
  <c r="I64" i="13"/>
  <c r="K64" i="13" s="1"/>
  <c r="M64" i="13" s="1"/>
  <c r="I46" i="13"/>
  <c r="K46" i="13" s="1"/>
  <c r="M46" i="13" s="1"/>
  <c r="I49" i="13"/>
  <c r="J49" i="13" s="1"/>
  <c r="I59" i="13"/>
  <c r="J59" i="13" s="1"/>
  <c r="I120" i="13"/>
  <c r="J120" i="13" s="1"/>
  <c r="I98" i="13"/>
  <c r="K98" i="13" s="1"/>
  <c r="M98" i="13" s="1"/>
  <c r="I96" i="13"/>
  <c r="J96" i="13" s="1"/>
  <c r="I57" i="13"/>
  <c r="J57" i="13" s="1"/>
  <c r="I84" i="13"/>
  <c r="K84" i="13" s="1"/>
  <c r="M84" i="13" s="1"/>
  <c r="N84" i="13" s="1"/>
  <c r="I108" i="13"/>
  <c r="K108" i="13" s="1"/>
  <c r="M108" i="13" s="1"/>
  <c r="N108" i="13" s="1"/>
  <c r="S108" i="13" s="1"/>
  <c r="I79" i="13"/>
  <c r="I68" i="13"/>
  <c r="J68" i="13" s="1"/>
  <c r="I37" i="13"/>
  <c r="K37" i="13" s="1"/>
  <c r="M37" i="13" s="1"/>
  <c r="I17" i="13"/>
  <c r="J17" i="13" s="1"/>
  <c r="I14" i="13"/>
  <c r="K14" i="13" s="1"/>
  <c r="L14" i="13" s="1"/>
  <c r="M14" i="13" s="1"/>
  <c r="N14" i="13" s="1"/>
  <c r="S14" i="13" s="1"/>
  <c r="I85" i="13"/>
  <c r="J85" i="13" s="1"/>
  <c r="I62" i="13"/>
  <c r="J62" i="13" s="1"/>
  <c r="I22" i="13"/>
  <c r="J22" i="13" s="1"/>
  <c r="I107" i="13"/>
  <c r="K107" i="13" s="1"/>
  <c r="M107" i="13" s="1"/>
  <c r="N107" i="13" s="1"/>
  <c r="S107" i="13" s="1"/>
  <c r="I50" i="13"/>
  <c r="K50" i="13" s="1"/>
  <c r="M50" i="13" s="1"/>
  <c r="I39" i="13"/>
  <c r="K39" i="13" s="1"/>
  <c r="M39" i="13" s="1"/>
  <c r="I56" i="13"/>
  <c r="K56" i="13" s="1"/>
  <c r="M56" i="13" s="1"/>
  <c r="I95" i="13"/>
  <c r="J95" i="13" s="1"/>
  <c r="I81" i="13"/>
  <c r="K81" i="13" s="1"/>
  <c r="M81" i="13" s="1"/>
  <c r="I41" i="13"/>
  <c r="K41" i="13" s="1"/>
  <c r="M41" i="13" s="1"/>
  <c r="I45" i="13"/>
  <c r="K45" i="13" s="1"/>
  <c r="M45" i="13" s="1"/>
  <c r="I67" i="13"/>
  <c r="J67" i="13" s="1"/>
  <c r="I113" i="13"/>
  <c r="K113" i="13" s="1"/>
  <c r="M113" i="13" s="1"/>
  <c r="N113" i="13" s="1"/>
  <c r="S113" i="13" s="1"/>
  <c r="J38" i="13"/>
  <c r="I73" i="13"/>
  <c r="J73" i="13" s="1"/>
  <c r="I55" i="13"/>
  <c r="J55" i="13" s="1"/>
  <c r="I121" i="13"/>
  <c r="K103" i="13"/>
  <c r="M103" i="13" s="1"/>
  <c r="N103" i="13" s="1"/>
  <c r="I23" i="13"/>
  <c r="J23" i="13" s="1"/>
  <c r="I34" i="13"/>
  <c r="J34" i="13" s="1"/>
  <c r="I21" i="13"/>
  <c r="K21" i="13" s="1"/>
  <c r="L21" i="13" s="1"/>
  <c r="M21" i="13" s="1"/>
  <c r="N21" i="13" s="1"/>
  <c r="S21" i="13" s="1"/>
  <c r="I48" i="13"/>
  <c r="J48" i="13" s="1"/>
  <c r="I36" i="13"/>
  <c r="J36" i="13" s="1"/>
  <c r="I74" i="13"/>
  <c r="J74" i="13" s="1"/>
  <c r="M102" i="13"/>
  <c r="N102" i="13" s="1"/>
  <c r="I72" i="13"/>
  <c r="J72" i="13" s="1"/>
  <c r="J6" i="13"/>
  <c r="I106" i="13"/>
  <c r="K106" i="13" s="1"/>
  <c r="M106" i="13" s="1"/>
  <c r="N106" i="13" s="1"/>
  <c r="S106" i="13" s="1"/>
  <c r="I117" i="13"/>
  <c r="I77" i="13"/>
  <c r="K77" i="13" s="1"/>
  <c r="M77" i="13" s="1"/>
  <c r="I92" i="13"/>
  <c r="J92" i="13" s="1"/>
  <c r="I78" i="13"/>
  <c r="J78" i="13" s="1"/>
  <c r="I35" i="13"/>
  <c r="K35" i="13" s="1"/>
  <c r="M35" i="13" s="1"/>
  <c r="N35" i="13" s="1"/>
  <c r="I97" i="13"/>
  <c r="J97" i="13" s="1"/>
  <c r="I76" i="13"/>
  <c r="K76" i="13" s="1"/>
  <c r="M76" i="13" s="1"/>
  <c r="I109" i="13"/>
  <c r="K109" i="13" s="1"/>
  <c r="M109" i="13" s="1"/>
  <c r="N109" i="13" s="1"/>
  <c r="S109" i="13" s="1"/>
  <c r="I105" i="13"/>
  <c r="J105" i="13" s="1"/>
  <c r="I119" i="13"/>
  <c r="J119" i="13" s="1"/>
  <c r="I111" i="13"/>
  <c r="K111" i="13" s="1"/>
  <c r="M111" i="13" s="1"/>
  <c r="N111" i="13" s="1"/>
  <c r="S111" i="13" s="1"/>
  <c r="I148" i="13"/>
  <c r="J148" i="13" s="1"/>
  <c r="K148" i="13" s="1"/>
  <c r="L148" i="13" s="1"/>
  <c r="M148" i="13" s="1"/>
  <c r="I19" i="13"/>
  <c r="J19" i="13" s="1"/>
  <c r="I83" i="13"/>
  <c r="K83" i="13" s="1"/>
  <c r="M83" i="13" s="1"/>
  <c r="I12" i="13"/>
  <c r="K12" i="13" s="1"/>
  <c r="L12" i="13" s="1"/>
  <c r="M12" i="13" s="1"/>
  <c r="N12" i="13" s="1"/>
  <c r="S12" i="13" s="1"/>
  <c r="I75" i="13"/>
  <c r="J75" i="13" s="1"/>
  <c r="I110" i="13"/>
  <c r="J110" i="13" s="1"/>
  <c r="I93" i="13"/>
  <c r="K93" i="13" s="1"/>
  <c r="M93" i="13" s="1"/>
  <c r="I101" i="13"/>
  <c r="K101" i="13" s="1"/>
  <c r="M101" i="13" s="1"/>
  <c r="I47" i="13"/>
  <c r="J47" i="13" s="1"/>
  <c r="I20" i="13"/>
  <c r="K20" i="13" s="1"/>
  <c r="L20" i="13" s="1"/>
  <c r="M20" i="13" s="1"/>
  <c r="N20" i="13" s="1"/>
  <c r="S20" i="13" s="1"/>
  <c r="I15" i="13"/>
  <c r="J15" i="13" s="1"/>
  <c r="I86" i="13"/>
  <c r="K86" i="13" s="1"/>
  <c r="M86" i="13" s="1"/>
  <c r="I63" i="13"/>
  <c r="K63" i="13" s="1"/>
  <c r="M63" i="13" s="1"/>
  <c r="N63" i="13" s="1"/>
  <c r="I71" i="13"/>
  <c r="K71" i="13" s="1"/>
  <c r="M71" i="13" s="1"/>
  <c r="I51" i="13"/>
  <c r="J51" i="13" s="1"/>
  <c r="I43" i="13"/>
  <c r="J43" i="13" s="1"/>
  <c r="I70" i="13"/>
  <c r="K70" i="13" s="1"/>
  <c r="M70" i="13" s="1"/>
  <c r="I114" i="13"/>
  <c r="J114" i="13" s="1"/>
  <c r="I32" i="13"/>
  <c r="I122" i="13"/>
  <c r="K122" i="13" s="1"/>
  <c r="M122" i="13" s="1"/>
  <c r="N122" i="13" s="1"/>
  <c r="S122" i="13" s="1"/>
  <c r="I65" i="13"/>
  <c r="J65" i="13" s="1"/>
  <c r="I33" i="13"/>
  <c r="J33" i="13" s="1"/>
  <c r="I52" i="13"/>
  <c r="K52" i="13" s="1"/>
  <c r="M52" i="13" s="1"/>
  <c r="I118" i="13"/>
  <c r="J118" i="13" s="1"/>
  <c r="I94" i="13"/>
  <c r="K94" i="13" s="1"/>
  <c r="M94" i="13" s="1"/>
  <c r="I89" i="13"/>
  <c r="J89" i="13" s="1"/>
  <c r="I115" i="13"/>
  <c r="J115" i="13" s="1"/>
  <c r="I61" i="13"/>
  <c r="K61" i="13" s="1"/>
  <c r="M61" i="13" s="1"/>
  <c r="I104" i="13"/>
  <c r="J104" i="13" s="1"/>
  <c r="I40" i="13"/>
  <c r="J40" i="13" s="1"/>
  <c r="I88" i="13"/>
  <c r="J88" i="13" s="1"/>
  <c r="I100" i="13"/>
  <c r="K100" i="13" s="1"/>
  <c r="M100" i="13" s="1"/>
  <c r="I60" i="13"/>
  <c r="J60" i="13" s="1"/>
  <c r="I116" i="13"/>
  <c r="J116" i="13" s="1"/>
  <c r="I18" i="13"/>
  <c r="K18" i="13" s="1"/>
  <c r="L18" i="13" s="1"/>
  <c r="M18" i="13" s="1"/>
  <c r="N18" i="13" s="1"/>
  <c r="S18" i="13" s="1"/>
  <c r="I58" i="13"/>
  <c r="K58" i="13" s="1"/>
  <c r="M58" i="13" s="1"/>
  <c r="I80" i="13"/>
  <c r="K80" i="13" s="1"/>
  <c r="M80" i="13" s="1"/>
  <c r="I13" i="13"/>
  <c r="J13" i="13" s="1"/>
  <c r="I53" i="13"/>
  <c r="K53" i="13" s="1"/>
  <c r="M53" i="13" s="1"/>
  <c r="I44" i="13"/>
  <c r="J44" i="13" s="1"/>
  <c r="I54" i="13"/>
  <c r="K54" i="13" s="1"/>
  <c r="M54" i="13" s="1"/>
  <c r="I42" i="13"/>
  <c r="J42" i="13" s="1"/>
  <c r="I91" i="13"/>
  <c r="J91" i="13" s="1"/>
  <c r="I123" i="13"/>
  <c r="I82" i="13"/>
  <c r="J82" i="13" s="1"/>
  <c r="I112" i="13"/>
  <c r="K112" i="13" s="1"/>
  <c r="M112" i="13" s="1"/>
  <c r="N112" i="13" s="1"/>
  <c r="S112" i="13" s="1"/>
  <c r="K96" i="13"/>
  <c r="M96" i="13" s="1"/>
  <c r="J90" i="13"/>
  <c r="J107" i="13"/>
  <c r="J69" i="13"/>
  <c r="J39" i="13" l="1"/>
  <c r="J83" i="13"/>
  <c r="K66" i="13"/>
  <c r="M66" i="13" s="1"/>
  <c r="S103" i="13"/>
  <c r="P103" i="13"/>
  <c r="J94" i="13"/>
  <c r="J123" i="13"/>
  <c r="K123" i="13"/>
  <c r="M123" i="13" s="1"/>
  <c r="N123" i="13" s="1"/>
  <c r="P123" i="13" s="1"/>
  <c r="Q123" i="13" s="1"/>
  <c r="K11" i="13"/>
  <c r="L11" i="13" s="1"/>
  <c r="M11" i="13" s="1"/>
  <c r="I25" i="13"/>
  <c r="J98" i="13"/>
  <c r="K117" i="13"/>
  <c r="M117" i="13" s="1"/>
  <c r="N117" i="13" s="1"/>
  <c r="S117" i="13" s="1"/>
  <c r="J117" i="13"/>
  <c r="J121" i="13"/>
  <c r="K121" i="13"/>
  <c r="M121" i="13" s="1"/>
  <c r="N121" i="13" s="1"/>
  <c r="S121" i="13" s="1"/>
  <c r="J86" i="13"/>
  <c r="K32" i="13"/>
  <c r="M32" i="13" s="1"/>
  <c r="N32" i="13" s="1"/>
  <c r="J32" i="13"/>
  <c r="M31" i="13"/>
  <c r="N31" i="13" s="1"/>
  <c r="J80" i="13"/>
  <c r="J50" i="13"/>
  <c r="K118" i="13"/>
  <c r="M118" i="13" s="1"/>
  <c r="N118" i="13" s="1"/>
  <c r="S118" i="13" s="1"/>
  <c r="J111" i="13"/>
  <c r="J18" i="13"/>
  <c r="K73" i="13"/>
  <c r="M73" i="13" s="1"/>
  <c r="N73" i="13" s="1"/>
  <c r="S73" i="13" s="1"/>
  <c r="K16" i="13"/>
  <c r="L16" i="13" s="1"/>
  <c r="M16" i="13" s="1"/>
  <c r="N16" i="13" s="1"/>
  <c r="S16" i="13" s="1"/>
  <c r="K22" i="13"/>
  <c r="L22" i="13" s="1"/>
  <c r="M22" i="13" s="1"/>
  <c r="N22" i="13" s="1"/>
  <c r="S22" i="13" s="1"/>
  <c r="J56" i="13"/>
  <c r="K87" i="13"/>
  <c r="M87" i="13" s="1"/>
  <c r="O87" i="13" s="1"/>
  <c r="J108" i="13"/>
  <c r="K19" i="13"/>
  <c r="L19" i="13" s="1"/>
  <c r="M19" i="13" s="1"/>
  <c r="N19" i="13" s="1"/>
  <c r="S19" i="13" s="1"/>
  <c r="K68" i="13"/>
  <c r="M68" i="13" s="1"/>
  <c r="O68" i="13" s="1"/>
  <c r="O84" i="13"/>
  <c r="P84" i="13" s="1"/>
  <c r="Q84" i="13" s="1"/>
  <c r="K89" i="13"/>
  <c r="M89" i="13" s="1"/>
  <c r="O89" i="13" s="1"/>
  <c r="J71" i="13"/>
  <c r="K51" i="13"/>
  <c r="M51" i="13" s="1"/>
  <c r="O51" i="13" s="1"/>
  <c r="K13" i="13"/>
  <c r="L13" i="13" s="1"/>
  <c r="M13" i="13" s="1"/>
  <c r="N13" i="13" s="1"/>
  <c r="S13" i="13" s="1"/>
  <c r="J106" i="13"/>
  <c r="K115" i="13"/>
  <c r="M115" i="13" s="1"/>
  <c r="N115" i="13" s="1"/>
  <c r="S115" i="13" s="1"/>
  <c r="K38" i="13"/>
  <c r="M38" i="13" s="1"/>
  <c r="N38" i="13" s="1"/>
  <c r="S38" i="13" s="1"/>
  <c r="K72" i="13"/>
  <c r="M72" i="13" s="1"/>
  <c r="N72" i="13" s="1"/>
  <c r="J52" i="13"/>
  <c r="K124" i="13"/>
  <c r="M124" i="13" s="1"/>
  <c r="N124" i="13" s="1"/>
  <c r="S124" i="13" s="1"/>
  <c r="J112" i="13"/>
  <c r="J12" i="13"/>
  <c r="J64" i="13"/>
  <c r="K92" i="13"/>
  <c r="M92" i="13" s="1"/>
  <c r="O92" i="13" s="1"/>
  <c r="J63" i="13"/>
  <c r="K57" i="13"/>
  <c r="M57" i="13" s="1"/>
  <c r="O57" i="13" s="1"/>
  <c r="J21" i="13"/>
  <c r="K23" i="13"/>
  <c r="L23" i="13" s="1"/>
  <c r="M23" i="13" s="1"/>
  <c r="N23" i="13" s="1"/>
  <c r="S23" i="13" s="1"/>
  <c r="K55" i="13"/>
  <c r="M55" i="13" s="1"/>
  <c r="N55" i="13" s="1"/>
  <c r="J41" i="13"/>
  <c r="J35" i="13"/>
  <c r="K48" i="13"/>
  <c r="M48" i="13" s="1"/>
  <c r="N48" i="13" s="1"/>
  <c r="S48" i="13" s="1"/>
  <c r="K78" i="13"/>
  <c r="M78" i="13" s="1"/>
  <c r="N78" i="13" s="1"/>
  <c r="S78" i="13" s="1"/>
  <c r="I127" i="13"/>
  <c r="J81" i="13"/>
  <c r="J37" i="13"/>
  <c r="J58" i="13"/>
  <c r="J53" i="13"/>
  <c r="K104" i="13"/>
  <c r="M104" i="13" s="1"/>
  <c r="N104" i="13" s="1"/>
  <c r="S104" i="13" s="1"/>
  <c r="K114" i="13"/>
  <c r="M114" i="13" s="1"/>
  <c r="N114" i="13" s="1"/>
  <c r="S114" i="13" s="1"/>
  <c r="J70" i="13"/>
  <c r="J93" i="13"/>
  <c r="K43" i="13"/>
  <c r="M43" i="13" s="1"/>
  <c r="O43" i="13" s="1"/>
  <c r="J61" i="13"/>
  <c r="J54" i="13"/>
  <c r="K110" i="13"/>
  <c r="M110" i="13" s="1"/>
  <c r="N110" i="13" s="1"/>
  <c r="S110" i="13" s="1"/>
  <c r="J77" i="13"/>
  <c r="J84" i="13"/>
  <c r="K99" i="13"/>
  <c r="M99" i="13" s="1"/>
  <c r="O99" i="13" s="1"/>
  <c r="K95" i="13"/>
  <c r="M95" i="13" s="1"/>
  <c r="N95" i="13" s="1"/>
  <c r="S95" i="13" s="1"/>
  <c r="K15" i="13"/>
  <c r="L15" i="13" s="1"/>
  <c r="M15" i="13" s="1"/>
  <c r="N15" i="13" s="1"/>
  <c r="S15" i="13" s="1"/>
  <c r="K75" i="13"/>
  <c r="M75" i="13" s="1"/>
  <c r="O75" i="13" s="1"/>
  <c r="J76" i="13"/>
  <c r="K97" i="13"/>
  <c r="M97" i="13" s="1"/>
  <c r="N97" i="13" s="1"/>
  <c r="J11" i="13"/>
  <c r="K119" i="13"/>
  <c r="M119" i="13" s="1"/>
  <c r="N119" i="13" s="1"/>
  <c r="S119" i="13" s="1"/>
  <c r="K62" i="13"/>
  <c r="M62" i="13" s="1"/>
  <c r="N62" i="13" s="1"/>
  <c r="J46" i="13"/>
  <c r="K74" i="13"/>
  <c r="M74" i="13" s="1"/>
  <c r="O74" i="13" s="1"/>
  <c r="K49" i="13"/>
  <c r="M49" i="13" s="1"/>
  <c r="N49" i="13" s="1"/>
  <c r="S49" i="13" s="1"/>
  <c r="K105" i="13"/>
  <c r="M105" i="13" s="1"/>
  <c r="N105" i="13" s="1"/>
  <c r="S105" i="13" s="1"/>
  <c r="J20" i="13"/>
  <c r="K82" i="13"/>
  <c r="M82" i="13" s="1"/>
  <c r="O82" i="13" s="1"/>
  <c r="K116" i="13"/>
  <c r="M116" i="13" s="1"/>
  <c r="N116" i="13" s="1"/>
  <c r="S116" i="13" s="1"/>
  <c r="J109" i="13"/>
  <c r="K85" i="13"/>
  <c r="M85" i="13" s="1"/>
  <c r="O85" i="13" s="1"/>
  <c r="J102" i="13"/>
  <c r="J79" i="13"/>
  <c r="K79" i="13"/>
  <c r="M79" i="13" s="1"/>
  <c r="J113" i="13"/>
  <c r="K17" i="13"/>
  <c r="L17" i="13" s="1"/>
  <c r="M17" i="13" s="1"/>
  <c r="N17" i="13" s="1"/>
  <c r="S17" i="13" s="1"/>
  <c r="J45" i="13"/>
  <c r="K65" i="13"/>
  <c r="M65" i="13" s="1"/>
  <c r="N65" i="13" s="1"/>
  <c r="S65" i="13" s="1"/>
  <c r="J122" i="13"/>
  <c r="K40" i="13"/>
  <c r="M40" i="13" s="1"/>
  <c r="N40" i="13" s="1"/>
  <c r="S40" i="13" s="1"/>
  <c r="J101" i="13"/>
  <c r="K33" i="13"/>
  <c r="M33" i="13" s="1"/>
  <c r="N33" i="13" s="1"/>
  <c r="S33" i="13" s="1"/>
  <c r="K67" i="13"/>
  <c r="M67" i="13" s="1"/>
  <c r="O67" i="13" s="1"/>
  <c r="K120" i="13"/>
  <c r="M120" i="13" s="1"/>
  <c r="N120" i="13" s="1"/>
  <c r="S120" i="13" s="1"/>
  <c r="K44" i="13"/>
  <c r="M44" i="13" s="1"/>
  <c r="O44" i="13" s="1"/>
  <c r="K47" i="13"/>
  <c r="M47" i="13" s="1"/>
  <c r="N47" i="13" s="1"/>
  <c r="S47" i="13" s="1"/>
  <c r="K91" i="13"/>
  <c r="M91" i="13" s="1"/>
  <c r="O91" i="13" s="1"/>
  <c r="J100" i="13"/>
  <c r="K88" i="13"/>
  <c r="M88" i="13" s="1"/>
  <c r="N88" i="13" s="1"/>
  <c r="S88" i="13" s="1"/>
  <c r="J14" i="13"/>
  <c r="K42" i="13"/>
  <c r="M42" i="13" s="1"/>
  <c r="O42" i="13" s="1"/>
  <c r="K59" i="13"/>
  <c r="M59" i="13" s="1"/>
  <c r="N59" i="13" s="1"/>
  <c r="S59" i="13" s="1"/>
  <c r="K34" i="13"/>
  <c r="M34" i="13" s="1"/>
  <c r="O34" i="13" s="1"/>
  <c r="K36" i="13"/>
  <c r="M36" i="13" s="1"/>
  <c r="N36" i="13" s="1"/>
  <c r="K60" i="13"/>
  <c r="M60" i="13" s="1"/>
  <c r="O60" i="13" s="1"/>
  <c r="O102" i="13"/>
  <c r="O101" i="13"/>
  <c r="N101" i="13"/>
  <c r="O100" i="13"/>
  <c r="N100" i="13"/>
  <c r="N96" i="13"/>
  <c r="O96" i="13"/>
  <c r="S84" i="13"/>
  <c r="O45" i="13"/>
  <c r="N45" i="13"/>
  <c r="N37" i="13"/>
  <c r="O37" i="13"/>
  <c r="N11" i="13"/>
  <c r="S11" i="13" s="1"/>
  <c r="Q103" i="13"/>
  <c r="O54" i="13"/>
  <c r="N54" i="13"/>
  <c r="S54" i="13" s="1"/>
  <c r="O90" i="13"/>
  <c r="N90" i="13"/>
  <c r="S90" i="13" s="1"/>
  <c r="P21" i="13"/>
  <c r="Q21" i="13" s="1"/>
  <c r="O50" i="13"/>
  <c r="N50" i="13"/>
  <c r="S50" i="13" s="1"/>
  <c r="O77" i="13"/>
  <c r="N77" i="13"/>
  <c r="S77" i="13" s="1"/>
  <c r="O35" i="13"/>
  <c r="S35" i="13"/>
  <c r="O76" i="13"/>
  <c r="N76" i="13"/>
  <c r="S76" i="13" s="1"/>
  <c r="P113" i="13"/>
  <c r="Q113" i="13" s="1"/>
  <c r="P14" i="13"/>
  <c r="Q14" i="13" s="1"/>
  <c r="P109" i="13"/>
  <c r="Q109" i="13" s="1"/>
  <c r="O52" i="13"/>
  <c r="N52" i="13"/>
  <c r="O98" i="13"/>
  <c r="N98" i="13"/>
  <c r="S98" i="13" s="1"/>
  <c r="N80" i="13"/>
  <c r="S80" i="13" s="1"/>
  <c r="O80" i="13"/>
  <c r="P108" i="13"/>
  <c r="Q108" i="13" s="1"/>
  <c r="P112" i="13"/>
  <c r="Q112" i="13" s="1"/>
  <c r="O69" i="13"/>
  <c r="N69" i="13"/>
  <c r="S69" i="13" s="1"/>
  <c r="O93" i="13"/>
  <c r="N93" i="13"/>
  <c r="S93" i="13" s="1"/>
  <c r="O81" i="13"/>
  <c r="N81" i="13"/>
  <c r="S81" i="13" s="1"/>
  <c r="O39" i="13"/>
  <c r="N39" i="13"/>
  <c r="S39" i="13" s="1"/>
  <c r="O61" i="13"/>
  <c r="N61" i="13"/>
  <c r="S61" i="13" s="1"/>
  <c r="O71" i="13"/>
  <c r="N71" i="13"/>
  <c r="S71" i="13" s="1"/>
  <c r="P106" i="13"/>
  <c r="Q106" i="13" s="1"/>
  <c r="P12" i="13"/>
  <c r="Q12" i="13" s="1"/>
  <c r="O56" i="13"/>
  <c r="N56" i="13"/>
  <c r="S56" i="13" s="1"/>
  <c r="O53" i="13"/>
  <c r="N53" i="13"/>
  <c r="O46" i="13"/>
  <c r="N46" i="13"/>
  <c r="S46" i="13" s="1"/>
  <c r="P20" i="13"/>
  <c r="Q20" i="13" s="1"/>
  <c r="P18" i="13"/>
  <c r="Q18" i="13" s="1"/>
  <c r="O58" i="13"/>
  <c r="N58" i="13"/>
  <c r="S58" i="13" s="1"/>
  <c r="P122" i="13"/>
  <c r="Q122" i="13" s="1"/>
  <c r="N83" i="13"/>
  <c r="S83" i="13" s="1"/>
  <c r="O83" i="13"/>
  <c r="O41" i="13"/>
  <c r="N41" i="13"/>
  <c r="S41" i="13" s="1"/>
  <c r="O86" i="13"/>
  <c r="N86" i="13"/>
  <c r="S86" i="13" s="1"/>
  <c r="O64" i="13"/>
  <c r="N64" i="13"/>
  <c r="O94" i="13"/>
  <c r="N94" i="13"/>
  <c r="S94" i="13" s="1"/>
  <c r="P107" i="13"/>
  <c r="Q107" i="13" s="1"/>
  <c r="O66" i="13"/>
  <c r="N66" i="13"/>
  <c r="S66" i="13" s="1"/>
  <c r="P111" i="13"/>
  <c r="Q111" i="13" s="1"/>
  <c r="N70" i="13"/>
  <c r="S70" i="13" s="1"/>
  <c r="O70" i="13"/>
  <c r="S123" i="13" l="1"/>
  <c r="P117" i="13"/>
  <c r="Q117" i="13" s="1"/>
  <c r="S53" i="13"/>
  <c r="P53" i="13"/>
  <c r="S52" i="13"/>
  <c r="P52" i="13"/>
  <c r="S31" i="13"/>
  <c r="P31" i="13"/>
  <c r="Q31" i="13" s="1"/>
  <c r="S64" i="13"/>
  <c r="P64" i="13"/>
  <c r="Q64" i="13" s="1"/>
  <c r="S32" i="13"/>
  <c r="O32" i="13"/>
  <c r="P32" i="13" s="1"/>
  <c r="Q32" i="13" s="1"/>
  <c r="P121" i="13"/>
  <c r="Q121" i="13" s="1"/>
  <c r="O55" i="13"/>
  <c r="P55" i="13" s="1"/>
  <c r="Q55" i="13" s="1"/>
  <c r="O31" i="13"/>
  <c r="P22" i="13"/>
  <c r="Q22" i="13" s="1"/>
  <c r="J127" i="13"/>
  <c r="O73" i="13"/>
  <c r="P73" i="13" s="1"/>
  <c r="Q73" i="13" s="1"/>
  <c r="N87" i="13"/>
  <c r="S87" i="13" s="1"/>
  <c r="P19" i="13"/>
  <c r="Q19" i="13" s="1"/>
  <c r="N89" i="13"/>
  <c r="S89" i="13" s="1"/>
  <c r="P16" i="13"/>
  <c r="Q16" i="13" s="1"/>
  <c r="P118" i="13"/>
  <c r="Q118" i="13" s="1"/>
  <c r="N51" i="13"/>
  <c r="S51" i="13" s="1"/>
  <c r="N57" i="13"/>
  <c r="S57" i="13" s="1"/>
  <c r="N68" i="13"/>
  <c r="S68" i="13" s="1"/>
  <c r="P13" i="13"/>
  <c r="Q13" i="13" s="1"/>
  <c r="P115" i="13"/>
  <c r="Q115" i="13" s="1"/>
  <c r="P23" i="13"/>
  <c r="Q23" i="13" s="1"/>
  <c r="O38" i="13"/>
  <c r="P38" i="13" s="1"/>
  <c r="Q38" i="13" s="1"/>
  <c r="P124" i="13"/>
  <c r="Q124" i="13" s="1"/>
  <c r="O72" i="13"/>
  <c r="P72" i="13" s="1"/>
  <c r="Q72" i="13" s="1"/>
  <c r="N92" i="13"/>
  <c r="S92" i="13" s="1"/>
  <c r="N99" i="13"/>
  <c r="S99" i="13" s="1"/>
  <c r="O65" i="13"/>
  <c r="P65" i="13" s="1"/>
  <c r="Q65" i="13" s="1"/>
  <c r="P100" i="13"/>
  <c r="Q100" i="13" s="1"/>
  <c r="P105" i="13"/>
  <c r="Q105" i="13" s="1"/>
  <c r="N43" i="13"/>
  <c r="S43" i="13" s="1"/>
  <c r="N42" i="13"/>
  <c r="S42" i="13" s="1"/>
  <c r="O48" i="13"/>
  <c r="P48" i="13" s="1"/>
  <c r="Q48" i="13" s="1"/>
  <c r="J25" i="13"/>
  <c r="J131" i="13" s="1"/>
  <c r="O78" i="13"/>
  <c r="P78" i="13" s="1"/>
  <c r="Q78" i="13" s="1"/>
  <c r="P104" i="13"/>
  <c r="Q104" i="13" s="1"/>
  <c r="P17" i="13"/>
  <c r="Q17" i="13" s="1"/>
  <c r="O95" i="13"/>
  <c r="P95" i="13" s="1"/>
  <c r="Q95" i="13" s="1"/>
  <c r="I131" i="13"/>
  <c r="P114" i="13"/>
  <c r="Q114" i="13" s="1"/>
  <c r="P110" i="13"/>
  <c r="Q110" i="13" s="1"/>
  <c r="N74" i="13"/>
  <c r="S74" i="13" s="1"/>
  <c r="N44" i="13"/>
  <c r="S44" i="13" s="1"/>
  <c r="N75" i="13"/>
  <c r="S75" i="13" s="1"/>
  <c r="O40" i="13"/>
  <c r="P40" i="13" s="1"/>
  <c r="Q40" i="13" s="1"/>
  <c r="P116" i="13"/>
  <c r="Q116" i="13" s="1"/>
  <c r="N91" i="13"/>
  <c r="P91" i="13" s="1"/>
  <c r="Q91" i="13" s="1"/>
  <c r="O88" i="13"/>
  <c r="P88" i="13" s="1"/>
  <c r="Q88" i="13" s="1"/>
  <c r="P15" i="13"/>
  <c r="Q15" i="13" s="1"/>
  <c r="O97" i="13"/>
  <c r="P97" i="13" s="1"/>
  <c r="Q97" i="13" s="1"/>
  <c r="O59" i="13"/>
  <c r="P59" i="13" s="1"/>
  <c r="Q59" i="13" s="1"/>
  <c r="N82" i="13"/>
  <c r="S82" i="13" s="1"/>
  <c r="O47" i="13"/>
  <c r="P47" i="13" s="1"/>
  <c r="Q47" i="13" s="1"/>
  <c r="S63" i="13"/>
  <c r="Q63" i="13"/>
  <c r="N60" i="13"/>
  <c r="P60" i="13" s="1"/>
  <c r="Q60" i="13" s="1"/>
  <c r="S62" i="13"/>
  <c r="P119" i="13"/>
  <c r="Q119" i="13" s="1"/>
  <c r="O49" i="13"/>
  <c r="P49" i="13" s="1"/>
  <c r="Q49" i="13" s="1"/>
  <c r="O62" i="13"/>
  <c r="P62" i="13" s="1"/>
  <c r="Q62" i="13" s="1"/>
  <c r="P101" i="13"/>
  <c r="Q101" i="13" s="1"/>
  <c r="O33" i="13"/>
  <c r="P33" i="13" s="1"/>
  <c r="Q33" i="13" s="1"/>
  <c r="N34" i="13"/>
  <c r="S34" i="13" s="1"/>
  <c r="N79" i="13"/>
  <c r="O79" i="13"/>
  <c r="O36" i="13"/>
  <c r="P36" i="13" s="1"/>
  <c r="Q36" i="13" s="1"/>
  <c r="N67" i="13"/>
  <c r="S67" i="13" s="1"/>
  <c r="P120" i="13"/>
  <c r="Q120" i="13" s="1"/>
  <c r="N85" i="13"/>
  <c r="S85" i="13" s="1"/>
  <c r="P102" i="13"/>
  <c r="Q102" i="13" s="1"/>
  <c r="S100" i="13"/>
  <c r="S101" i="13"/>
  <c r="S102" i="13"/>
  <c r="P96" i="13"/>
  <c r="Q96" i="13" s="1"/>
  <c r="S96" i="13"/>
  <c r="S97" i="13"/>
  <c r="P45" i="13"/>
  <c r="Q45" i="13" s="1"/>
  <c r="S72" i="13"/>
  <c r="S45" i="13"/>
  <c r="P37" i="13"/>
  <c r="Q37" i="13" s="1"/>
  <c r="S37" i="13"/>
  <c r="S36" i="13"/>
  <c r="S55" i="13"/>
  <c r="P11" i="13"/>
  <c r="Q11" i="13" s="1"/>
  <c r="P80" i="13"/>
  <c r="Q80" i="13" s="1"/>
  <c r="Q35" i="13"/>
  <c r="P50" i="13"/>
  <c r="Q50" i="13" s="1"/>
  <c r="P66" i="13"/>
  <c r="Q66" i="13" s="1"/>
  <c r="P94" i="13"/>
  <c r="Q94" i="13" s="1"/>
  <c r="P41" i="13"/>
  <c r="Q41" i="13" s="1"/>
  <c r="P46" i="13"/>
  <c r="Q46" i="13" s="1"/>
  <c r="P61" i="13"/>
  <c r="Q61" i="13" s="1"/>
  <c r="P81" i="13"/>
  <c r="Q81" i="13" s="1"/>
  <c r="P98" i="13"/>
  <c r="Q98" i="13" s="1"/>
  <c r="Q52" i="13"/>
  <c r="P87" i="13"/>
  <c r="Q87" i="13" s="1"/>
  <c r="P76" i="13"/>
  <c r="Q76" i="13" s="1"/>
  <c r="P77" i="13"/>
  <c r="Q77" i="13" s="1"/>
  <c r="P90" i="13"/>
  <c r="Q90" i="13" s="1"/>
  <c r="P54" i="13"/>
  <c r="Q54" i="13" s="1"/>
  <c r="P83" i="13"/>
  <c r="Q83" i="13" s="1"/>
  <c r="P70" i="13"/>
  <c r="Q70" i="13" s="1"/>
  <c r="P86" i="13"/>
  <c r="Q86" i="13" s="1"/>
  <c r="P58" i="13"/>
  <c r="Q58" i="13" s="1"/>
  <c r="Q53" i="13"/>
  <c r="P56" i="13"/>
  <c r="Q56" i="13" s="1"/>
  <c r="P71" i="13"/>
  <c r="Q71" i="13" s="1"/>
  <c r="P39" i="13"/>
  <c r="Q39" i="13" s="1"/>
  <c r="P93" i="13"/>
  <c r="Q93" i="13" s="1"/>
  <c r="P69" i="13"/>
  <c r="Q69" i="13" s="1"/>
  <c r="P68" i="13" l="1"/>
  <c r="Q68" i="13" s="1"/>
  <c r="Q43" i="13"/>
  <c r="P42" i="13"/>
  <c r="Q42" i="13" s="1"/>
  <c r="P89" i="13"/>
  <c r="Q89" i="13" s="1"/>
  <c r="P57" i="13"/>
  <c r="Q57" i="13" s="1"/>
  <c r="P51" i="13"/>
  <c r="Q51" i="13" s="1"/>
  <c r="P92" i="13"/>
  <c r="Q92" i="13" s="1"/>
  <c r="P99" i="13"/>
  <c r="Q99" i="13" s="1"/>
  <c r="P75" i="13"/>
  <c r="Q75" i="13" s="1"/>
  <c r="P44" i="13"/>
  <c r="Q44" i="13" s="1"/>
  <c r="P74" i="13"/>
  <c r="Q74" i="13" s="1"/>
  <c r="Q27" i="13"/>
  <c r="S91" i="13"/>
  <c r="P82" i="13"/>
  <c r="Q82" i="13" s="1"/>
  <c r="P34" i="13"/>
  <c r="Q34" i="13" s="1"/>
  <c r="S60" i="13"/>
  <c r="P67" i="13"/>
  <c r="Q67" i="13" s="1"/>
  <c r="P79" i="13"/>
  <c r="Q79" i="13" s="1"/>
  <c r="S79" i="13"/>
  <c r="P85" i="13"/>
  <c r="Q85" i="13" s="1"/>
  <c r="P25" i="13"/>
  <c r="Q127" i="13" l="1"/>
  <c r="Q7" i="13" s="1"/>
  <c r="P27" i="13"/>
  <c r="P127" i="13"/>
  <c r="Q128" i="13" s="1"/>
  <c r="H32" i="6" l="1"/>
  <c r="H34" i="6" s="1"/>
  <c r="H35" i="6" s="1"/>
  <c r="P7" i="13"/>
</calcChain>
</file>

<file path=xl/comments1.xml><?xml version="1.0" encoding="utf-8"?>
<comments xmlns="http://schemas.openxmlformats.org/spreadsheetml/2006/main">
  <authors>
    <author>Sara Campbell</author>
    <author>Amber Jones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Last disposal fee filing eff.8/1/19 TG-190492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last disposal fee filing eff.8/1/19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Effective 8/1/2020
(was 108.47 with last disposal fee filing)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TG-102202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TG-141101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Last disposal fee filing eff.8/1/19 TG-190492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B&amp;O Increased
 from .015 to .0175.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based on Meeks weights calculation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SAC added since we have one customer with this service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weight from Meeks Weights document - 3 yds. Pckr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SAC added since we have 1 customer with this service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weight from Meeks Weights document - 6 yds. Pckr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A10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Residential customers are not impacted by this increase.
</t>
        </r>
      </text>
    </comment>
  </commentList>
</comments>
</file>

<file path=xl/sharedStrings.xml><?xml version="1.0" encoding="utf-8"?>
<sst xmlns="http://schemas.openxmlformats.org/spreadsheetml/2006/main" count="232" uniqueCount="187">
  <si>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</si>
  <si>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</si>
  <si>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</si>
  <si>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</si>
  <si>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</si>
  <si>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</si>
  <si>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</si>
  <si>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</si>
  <si>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</si>
  <si>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</si>
  <si>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</si>
  <si>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</si>
  <si>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</si>
  <si>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</si>
  <si>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</si>
  <si>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</si>
  <si>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</si>
  <si>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</si>
  <si>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</si>
  <si>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</si>
  <si>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</si>
  <si>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</si>
  <si>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</si>
  <si>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</si>
  <si>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</si>
  <si>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</si>
  <si>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</si>
  <si>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</si>
  <si>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</si>
  <si>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</si>
  <si>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</si>
  <si>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</si>
  <si>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</si>
  <si>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</si>
  <si>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</si>
  <si>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</si>
  <si>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</si>
  <si>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</si>
  <si>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</si>
  <si>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</si>
  <si>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</si>
  <si>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</si>
  <si>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</si>
  <si>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</si>
  <si>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</si>
  <si>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</si>
  <si>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</si>
  <si>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</si>
  <si>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</si>
  <si>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</si>
  <si>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</si>
  <si>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</si>
  <si>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</si>
  <si>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</si>
  <si>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</si>
  <si>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</si>
  <si>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</si>
  <si>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</si>
  <si>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</si>
  <si>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</si>
  <si>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</si>
  <si>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</si>
  <si>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</si>
  <si>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</si>
  <si>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</si>
  <si>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</si>
  <si>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</si>
  <si>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</si>
  <si>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</si>
  <si>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</si>
  <si>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</si>
  <si>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</si>
  <si>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</si>
  <si>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</si>
  <si>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</si>
  <si>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</si>
  <si>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</si>
  <si>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</si>
  <si>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</si>
  <si>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</si>
  <si>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</si>
  <si>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</si>
  <si>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</si>
  <si>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</si>
  <si>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</si>
  <si>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</si>
  <si>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</si>
  <si>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</si>
  <si>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</si>
  <si>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</si>
  <si>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</si>
  <si>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</si>
  <si>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Difference</t>
  </si>
  <si>
    <t>Extra Can</t>
  </si>
  <si>
    <t xml:space="preserve">Extra Can 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</si>
  <si>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</si>
  <si>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</si>
  <si>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</si>
  <si>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</si>
  <si>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</si>
  <si>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</si>
  <si>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</si>
  <si>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</si>
  <si>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</si>
  <si>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</si>
  <si>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</si>
  <si>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</si>
  <si>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</si>
  <si>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</si>
  <si>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</si>
  <si>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</si>
  <si>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</si>
  <si>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</si>
  <si>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</si>
  <si>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</si>
  <si>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</si>
  <si>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</si>
  <si>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</si>
  <si>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</si>
  <si>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</si>
  <si>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</si>
  <si>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</si>
  <si>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Commercial revenue at proforma</t>
  </si>
  <si>
    <t xml:space="preserve">Residential revenue at proforma </t>
  </si>
  <si>
    <t>At Pro forma</t>
  </si>
  <si>
    <t>Proposed</t>
  </si>
  <si>
    <t xml:space="preserve">Per </t>
  </si>
  <si>
    <t>Priceout</t>
  </si>
  <si>
    <t>%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</si>
  <si>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</si>
  <si>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</si>
  <si>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</si>
  <si>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</si>
  <si>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</si>
  <si>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</si>
  <si>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</si>
  <si>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</si>
  <si>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</si>
  <si>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</si>
  <si>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</si>
  <si>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TG-102022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</si>
  <si>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</si>
  <si>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</si>
  <si>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</si>
  <si>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</si>
  <si>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</si>
  <si>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</si>
  <si>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</si>
  <si>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</si>
  <si>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</si>
  <si>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</si>
  <si>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</si>
  <si>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</si>
  <si>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</si>
  <si>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</si>
  <si>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Proforma Tons From TG-102202, Rate from TG-143879</t>
  </si>
  <si>
    <t>Recomp - Packer</t>
  </si>
  <si>
    <t>TG-180948</t>
  </si>
  <si>
    <t>Republic Services/Recomp Disposal Fee Increase - All Commercial Customers</t>
  </si>
  <si>
    <t>Republic Services/Recomp Tons reported in TG-102022</t>
  </si>
  <si>
    <t>Range of Percentage increases</t>
  </si>
  <si>
    <t>Effective 9-1-2019</t>
  </si>
  <si>
    <t>Republic Services/Recomp  Rates Reported in TG-190492</t>
  </si>
  <si>
    <t>TG-102202/TG-190492</t>
  </si>
  <si>
    <t>Proforma Tons From TG-102202, Rate from TG-190492</t>
  </si>
  <si>
    <t>TG-190492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</si>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</sst>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175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43" fontId="6" fillId="3" borderId="14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43" fontId="5" fillId="0" borderId="0" xfId="0" applyNumberFormat="1" applyFont="1" applyBorder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6" xfId="1" applyNumberFormat="1" applyFont="1" applyBorder="1"/>
    <xf numFmtId="165" fontId="5" fillId="0" borderId="0" xfId="0" applyNumberFormat="1" applyFont="1"/>
    <xf numFmtId="3" fontId="6" fillId="3" borderId="13" xfId="3" applyNumberFormat="1" applyFont="1" applyFill="1" applyBorder="1">
      <alignment vertical="top"/>
    </xf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165" fontId="11" fillId="0" borderId="16" xfId="0" applyNumberFormat="1" applyFont="1" applyBorder="1"/>
    <xf numFmtId="0" fontId="6" fillId="0" borderId="0" xfId="3" applyFont="1">
      <alignment vertical="top"/>
    </xf>
    <xf numFmtId="165" fontId="5" fillId="0" borderId="0" xfId="0" applyNumberFormat="1" applyFont="1" applyBorder="1"/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1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5" xfId="2" applyNumberFormat="1" applyFont="1" applyFill="1" applyBorder="1"/>
    <xf numFmtId="43" fontId="5" fillId="0" borderId="15" xfId="0" applyNumberFormat="1" applyFont="1" applyFill="1" applyBorder="1"/>
    <xf numFmtId="0" fontId="5" fillId="0" borderId="15" xfId="0" applyFont="1" applyFill="1" applyBorder="1"/>
    <xf numFmtId="164" fontId="11" fillId="0" borderId="16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7" xfId="1" applyFont="1" applyFill="1" applyBorder="1" applyAlignment="1">
      <alignment horizontal="center"/>
    </xf>
    <xf numFmtId="43" fontId="5" fillId="0" borderId="17" xfId="1" applyFont="1" applyFill="1" applyBorder="1"/>
    <xf numFmtId="44" fontId="5" fillId="0" borderId="19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8" xfId="0" applyNumberFormat="1" applyFont="1" applyBorder="1"/>
    <xf numFmtId="0" fontId="5" fillId="0" borderId="20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>
      <alignment vertical="top"/>
    </xf>
    <xf numFmtId="43" fontId="6" fillId="3" borderId="1" xfId="3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2" fillId="11" borderId="1" xfId="1" applyFont="1" applyFill="1" applyBorder="1" applyAlignment="1">
      <alignment horizontal="center"/>
    </xf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13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0" fillId="0" borderId="0" xfId="0" applyFill="1" applyAlignment="1">
      <alignment vertical="top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164" fontId="7" fillId="0" borderId="16" xfId="3" applyNumberFormat="1" applyFont="1" applyFill="1" applyBorder="1">
      <alignment vertical="top"/>
    </xf>
    <xf numFmtId="3" fontId="6" fillId="0" borderId="22" xfId="3" applyNumberFormat="1" applyFont="1" applyBorder="1">
      <alignment vertical="top"/>
    </xf>
    <xf numFmtId="165" fontId="5" fillId="0" borderId="22" xfId="1" applyNumberFormat="1" applyFont="1" applyBorder="1"/>
    <xf numFmtId="0" fontId="5" fillId="0" borderId="12" xfId="0" applyFont="1" applyFill="1" applyBorder="1"/>
    <xf numFmtId="43" fontId="6" fillId="3" borderId="12" xfId="3" applyNumberFormat="1" applyFont="1" applyFill="1" applyBorder="1" applyAlignment="1">
      <alignment horizontal="center" vertical="top"/>
    </xf>
    <xf numFmtId="43" fontId="6" fillId="3" borderId="23" xfId="3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/>
    </xf>
    <xf numFmtId="165" fontId="11" fillId="0" borderId="19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165" fontId="5" fillId="6" borderId="3" xfId="1" applyNumberFormat="1" applyFont="1" applyFill="1" applyBorder="1" applyAlignment="1">
      <alignment horizontal="center"/>
    </xf>
    <xf numFmtId="0" fontId="5" fillId="12" borderId="0" xfId="0" applyFont="1" applyFill="1"/>
    <xf numFmtId="0" fontId="5" fillId="12" borderId="0" xfId="0" applyFont="1" applyFill="1" applyAlignment="1">
      <alignment horizontal="center"/>
    </xf>
    <xf numFmtId="0" fontId="5" fillId="12" borderId="0" xfId="0" applyFont="1" applyFill="1" applyBorder="1"/>
    <xf numFmtId="0" fontId="5" fillId="12" borderId="12" xfId="0" applyFont="1" applyFill="1" applyBorder="1" applyAlignment="1">
      <alignment horizontal="center"/>
    </xf>
    <xf numFmtId="43" fontId="5" fillId="12" borderId="0" xfId="1" applyFont="1" applyFill="1"/>
    <xf numFmtId="10" fontId="5" fillId="12" borderId="0" xfId="0" applyNumberFormat="1" applyFont="1" applyFill="1"/>
    <xf numFmtId="43" fontId="5" fillId="12" borderId="12" xfId="1" applyFont="1" applyFill="1" applyBorder="1"/>
    <xf numFmtId="5" fontId="5" fillId="12" borderId="0" xfId="0" applyNumberFormat="1" applyFont="1" applyFill="1"/>
    <xf numFmtId="43" fontId="7" fillId="0" borderId="22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5"/>
    <cellStyle name="Percent" xfId="4" builtinId="5"/>
  </cellStyles>
  <dxfs count="0"/>
  <tableStyles count="0" defaultTableStyle="TableStyleMedium9" defaultPivotStyle="PivotStyleLight16"/>
  <colors>
    <mruColors>
      <color rgb="FFFFFF99"/>
      <color rgb="FFF8F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G-143879%20(Disposal)\Prior%20Cases\TG-102022\STAFFRate%20Case%20File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urito - Total Regulated"/>
      <sheetName val="Lurito - Garbage Total"/>
      <sheetName val="Lurito - Recycling Total"/>
      <sheetName val="Lurito - Yard Total"/>
      <sheetName val="Lurito - Multi"/>
      <sheetName val="Cost of Debt"/>
      <sheetName val="Inc Stmt as reported combined "/>
      <sheetName val="Restating Adjustments"/>
      <sheetName val="Restating Tax"/>
      <sheetName val="Restating Bad Debt"/>
      <sheetName val="Restating Advertising"/>
      <sheetName val="Restating Depreciation"/>
      <sheetName val="Commodity Adjustment"/>
      <sheetName val="MF Commodity Adjustment"/>
      <sheetName val="Restating Legal and Accounting"/>
      <sheetName val="Restating Traffic &amp; Solicit"/>
      <sheetName val="Directors Restatement"/>
      <sheetName val="Communications Restatement"/>
      <sheetName val="Yard Waste Expense Adj"/>
      <sheetName val="Executive Payroll"/>
      <sheetName val="Proforma Statement"/>
      <sheetName val="Office Lease"/>
      <sheetName val="Office Improvements"/>
      <sheetName val="Wage Increase"/>
      <sheetName val="Fuel"/>
      <sheetName val="Income Statement"/>
      <sheetName val="SSC Average Investment"/>
      <sheetName val="SSC Average Investment for RSI"/>
      <sheetName val="RSI Average Investment"/>
      <sheetName val="BBR Average Investment"/>
      <sheetName val="Balance Sheet Standard"/>
      <sheetName val="Residential rates final"/>
      <sheetName val="Commercial Final"/>
      <sheetName val="Drop Box Price out"/>
      <sheetName val="Recycling Rates"/>
      <sheetName val="Multi Family Proposed"/>
      <sheetName val="Yard Waste Rate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Q12">
            <v>3876593.0900000003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">
          <cell r="C8">
            <v>381</v>
          </cell>
        </row>
      </sheetData>
      <sheetData sheetId="33">
        <row r="7">
          <cell r="D7">
            <v>1</v>
          </cell>
        </row>
        <row r="50">
          <cell r="D50">
            <v>1</v>
          </cell>
        </row>
      </sheetData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5"/>
  <sheetViews>
    <sheetView tabSelected="1" zoomScale="85" zoomScaleNormal="85" workbookViewId="0">
      <selection activeCell="M25" sqref="M25"/>
    </sheetView>
  </sheetViews>
  <sheetFormatPr defaultColWidth="8.85546875" defaultRowHeight="15" x14ac:dyDescent="0.25"/>
  <cols>
    <col min="1" max="1" width="2.85546875" style="2" customWidth="1"/>
    <col min="2" max="2" width="27.5703125" style="19" customWidth="1"/>
    <col min="3" max="3" width="23.5703125" style="19" customWidth="1"/>
    <col min="4" max="4" width="16.85546875" style="19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4" customWidth="1"/>
    <col min="19" max="16384" width="8.85546875" style="2"/>
  </cols>
  <sheetData>
    <row r="1" spans="1:18" x14ac:dyDescent="0.25">
      <c r="A1" s="125" t="s">
        <v>154</v>
      </c>
    </row>
    <row r="2" spans="1:18" x14ac:dyDescent="0.25">
      <c r="A2" s="125" t="s">
        <v>158</v>
      </c>
    </row>
    <row r="3" spans="1:18" x14ac:dyDescent="0.25">
      <c r="A3" s="125" t="s">
        <v>159</v>
      </c>
    </row>
    <row r="4" spans="1:18" x14ac:dyDescent="0.25">
      <c r="A4" s="125" t="s">
        <v>162</v>
      </c>
    </row>
    <row r="5" spans="1:18" x14ac:dyDescent="0.25">
      <c r="A5" s="125" t="s">
        <v>161</v>
      </c>
      <c r="K5" s="166"/>
      <c r="L5" s="166"/>
      <c r="M5" s="166"/>
      <c r="N5" s="166"/>
    </row>
    <row r="6" spans="1:18" s="19" customFormat="1" x14ac:dyDescent="0.25">
      <c r="C6" s="121"/>
      <c r="E6" s="5"/>
      <c r="G6" s="121"/>
      <c r="K6" s="25"/>
      <c r="L6" s="25"/>
      <c r="M6" s="25"/>
      <c r="N6" s="25"/>
      <c r="O6" s="25"/>
      <c r="R6" s="25"/>
    </row>
    <row r="7" spans="1:18" x14ac:dyDescent="0.25">
      <c r="B7" s="171" t="s">
        <v>164</v>
      </c>
      <c r="C7" s="171"/>
      <c r="D7" s="171"/>
      <c r="F7" s="171" t="s">
        <v>155</v>
      </c>
      <c r="G7" s="171"/>
      <c r="H7" s="171"/>
      <c r="K7" s="32"/>
      <c r="L7" s="32"/>
      <c r="M7" s="31"/>
      <c r="N7" s="29"/>
      <c r="O7" s="24"/>
    </row>
    <row r="8" spans="1:18" x14ac:dyDescent="0.25">
      <c r="B8" s="168" t="s">
        <v>156</v>
      </c>
      <c r="C8" s="168"/>
      <c r="D8" s="168"/>
      <c r="E8" s="6"/>
      <c r="F8" s="168" t="s">
        <v>3</v>
      </c>
      <c r="G8" s="168"/>
      <c r="H8" s="168"/>
      <c r="K8" s="32"/>
      <c r="L8" s="32"/>
      <c r="M8" s="32"/>
      <c r="N8" s="29"/>
      <c r="O8" s="24"/>
    </row>
    <row r="9" spans="1:18" x14ac:dyDescent="0.25">
      <c r="B9" s="122" t="s">
        <v>0</v>
      </c>
      <c r="C9" s="122" t="s">
        <v>1</v>
      </c>
      <c r="D9" s="122" t="s">
        <v>2</v>
      </c>
      <c r="E9" s="6"/>
      <c r="F9" s="122" t="s">
        <v>0</v>
      </c>
      <c r="G9" s="122" t="s">
        <v>1</v>
      </c>
      <c r="H9" s="122" t="s">
        <v>2</v>
      </c>
      <c r="K9" s="32"/>
      <c r="L9" s="33"/>
      <c r="M9" s="33"/>
      <c r="N9" s="29"/>
      <c r="O9" s="24"/>
    </row>
    <row r="10" spans="1:18" x14ac:dyDescent="0.25">
      <c r="B10" s="9">
        <v>21823.89</v>
      </c>
      <c r="C10" s="126">
        <v>108.47</v>
      </c>
      <c r="D10" s="11">
        <f>B10*C10</f>
        <v>2367237.3482999997</v>
      </c>
      <c r="E10" s="2"/>
      <c r="F10" s="9">
        <v>0</v>
      </c>
      <c r="G10" s="10">
        <v>0</v>
      </c>
      <c r="H10" s="11">
        <f>F10*G10</f>
        <v>0</v>
      </c>
      <c r="I10" s="1"/>
      <c r="J10" s="1"/>
    </row>
    <row r="11" spans="1:18" x14ac:dyDescent="0.25">
      <c r="B11" s="86"/>
      <c r="C11" s="90"/>
      <c r="D11" s="12"/>
      <c r="E11" s="19"/>
      <c r="F11" s="86"/>
      <c r="G11" s="90"/>
      <c r="H11" s="12"/>
      <c r="I11" s="1"/>
      <c r="J11" s="1"/>
    </row>
    <row r="12" spans="1:18" x14ac:dyDescent="0.25">
      <c r="B12" s="172" t="s">
        <v>125</v>
      </c>
      <c r="C12" s="172"/>
      <c r="D12" s="172"/>
      <c r="E12" s="2"/>
      <c r="F12" s="172" t="s">
        <v>125</v>
      </c>
      <c r="G12" s="172"/>
      <c r="H12" s="172"/>
      <c r="I12" s="1"/>
      <c r="J12" s="1"/>
    </row>
    <row r="13" spans="1:18" x14ac:dyDescent="0.25">
      <c r="B13" s="122" t="s">
        <v>0</v>
      </c>
      <c r="C13" s="122" t="s">
        <v>1</v>
      </c>
      <c r="D13" s="122" t="s">
        <v>2</v>
      </c>
      <c r="E13" s="6"/>
      <c r="F13" s="122" t="s">
        <v>0</v>
      </c>
      <c r="G13" s="122" t="s">
        <v>1</v>
      </c>
      <c r="H13" s="122" t="s">
        <v>2</v>
      </c>
      <c r="K13" s="32"/>
      <c r="L13" s="33"/>
      <c r="M13" s="33"/>
      <c r="N13" s="29"/>
      <c r="O13" s="24"/>
    </row>
    <row r="14" spans="1:18" x14ac:dyDescent="0.25">
      <c r="B14" s="9">
        <f>B10</f>
        <v>21823.89</v>
      </c>
      <c r="C14" s="126">
        <v>111.93</v>
      </c>
      <c r="D14" s="11">
        <f>B14*C14</f>
        <v>2442748.0077</v>
      </c>
      <c r="E14" s="2"/>
      <c r="F14" s="9">
        <f>F10</f>
        <v>0</v>
      </c>
      <c r="G14" s="10">
        <v>0</v>
      </c>
      <c r="H14" s="11">
        <f>F14*G14</f>
        <v>0</v>
      </c>
      <c r="I14" s="1"/>
      <c r="J14" s="1"/>
    </row>
    <row r="15" spans="1:18" x14ac:dyDescent="0.25">
      <c r="B15" s="92"/>
      <c r="C15" s="92"/>
      <c r="D15" s="12"/>
      <c r="E15" s="7"/>
      <c r="F15" s="92"/>
      <c r="G15" s="92"/>
      <c r="H15" s="12"/>
      <c r="I15" s="1"/>
      <c r="J15" s="124"/>
    </row>
    <row r="16" spans="1:18" x14ac:dyDescent="0.25">
      <c r="B16" s="14"/>
      <c r="C16" s="91" t="s">
        <v>5</v>
      </c>
      <c r="D16" s="93">
        <f>D14-D10</f>
        <v>75510.659400000237</v>
      </c>
      <c r="E16" s="7"/>
      <c r="F16" s="1"/>
      <c r="G16" s="94" t="s">
        <v>5</v>
      </c>
      <c r="H16" s="95">
        <f>H14-H10</f>
        <v>0</v>
      </c>
      <c r="I16" s="1"/>
      <c r="J16" s="1"/>
    </row>
    <row r="17" spans="2:11" ht="15.75" thickBot="1" x14ac:dyDescent="0.3">
      <c r="B17" s="14"/>
      <c r="C17" s="14"/>
      <c r="D17" s="14"/>
      <c r="E17" s="7"/>
      <c r="F17" s="167"/>
      <c r="G17" s="167"/>
      <c r="H17" s="86"/>
      <c r="I17" s="1"/>
      <c r="J17" s="1"/>
    </row>
    <row r="18" spans="2:11" ht="15.75" thickBot="1" x14ac:dyDescent="0.3">
      <c r="B18" s="103" t="s">
        <v>69</v>
      </c>
      <c r="C18" s="108" t="s">
        <v>163</v>
      </c>
      <c r="D18" s="7"/>
      <c r="E18" s="7"/>
      <c r="G18" s="91" t="s">
        <v>6</v>
      </c>
      <c r="H18" s="95">
        <f>D16+H16</f>
        <v>75510.659400000237</v>
      </c>
      <c r="I18" s="1"/>
      <c r="J18" s="1"/>
    </row>
    <row r="19" spans="2:11" x14ac:dyDescent="0.25">
      <c r="B19" s="104" t="s">
        <v>67</v>
      </c>
      <c r="C19" s="109">
        <f>B10+F10</f>
        <v>21823.89</v>
      </c>
      <c r="D19" s="107"/>
      <c r="E19" s="7"/>
      <c r="F19" s="96"/>
      <c r="G19" s="97"/>
      <c r="H19" s="98"/>
      <c r="I19" s="1"/>
      <c r="J19" s="1"/>
    </row>
    <row r="20" spans="2:11" x14ac:dyDescent="0.25">
      <c r="B20" s="104" t="s">
        <v>68</v>
      </c>
      <c r="C20" s="99">
        <f>D10+H10</f>
        <v>2367237.3482999997</v>
      </c>
      <c r="D20" s="20"/>
      <c r="G20" s="94" t="s">
        <v>129</v>
      </c>
      <c r="H20" s="111">
        <f>G30</f>
        <v>0.97989999999999999</v>
      </c>
    </row>
    <row r="21" spans="2:11" x14ac:dyDescent="0.25">
      <c r="B21" s="104" t="s">
        <v>70</v>
      </c>
      <c r="C21" s="100">
        <f>C20/C19</f>
        <v>108.46999999999998</v>
      </c>
      <c r="D21" s="21"/>
      <c r="F21" s="96"/>
      <c r="G21" s="92"/>
      <c r="H21" s="112"/>
      <c r="I21" s="36"/>
      <c r="J21" s="36"/>
    </row>
    <row r="22" spans="2:11" x14ac:dyDescent="0.25">
      <c r="B22" s="105" t="s">
        <v>73</v>
      </c>
      <c r="C22" s="101"/>
      <c r="D22" s="20"/>
      <c r="F22" s="30"/>
      <c r="G22" s="94" t="s">
        <v>4</v>
      </c>
      <c r="H22" s="95">
        <f>H18/G30</f>
        <v>77059.55648535589</v>
      </c>
      <c r="I22" s="30"/>
      <c r="J22" s="34"/>
    </row>
    <row r="23" spans="2:11" x14ac:dyDescent="0.25">
      <c r="B23" s="106" t="str">
        <f>+B19</f>
        <v>Total Tons</v>
      </c>
      <c r="C23" s="100">
        <f>C19</f>
        <v>21823.89</v>
      </c>
      <c r="D23" s="21"/>
      <c r="E23" s="2"/>
      <c r="G23" s="3"/>
      <c r="H23" s="8"/>
    </row>
    <row r="24" spans="2:11" x14ac:dyDescent="0.25">
      <c r="B24" s="106" t="str">
        <f>+B20</f>
        <v>Total Cost</v>
      </c>
      <c r="C24" s="99">
        <f>D14+H14</f>
        <v>2442748.0077</v>
      </c>
      <c r="D24" s="20"/>
      <c r="H24" s="4"/>
    </row>
    <row r="25" spans="2:11" x14ac:dyDescent="0.25">
      <c r="B25" s="104" t="s">
        <v>70</v>
      </c>
      <c r="C25" s="100">
        <f>C24/C23</f>
        <v>111.93</v>
      </c>
      <c r="D25" s="21"/>
      <c r="E25" s="2"/>
      <c r="F25" s="5"/>
      <c r="G25" s="5"/>
      <c r="H25" s="89"/>
    </row>
    <row r="26" spans="2:11" x14ac:dyDescent="0.25">
      <c r="B26" s="87"/>
      <c r="C26" s="101"/>
      <c r="D26" s="5"/>
      <c r="F26" s="5"/>
      <c r="G26" s="5"/>
      <c r="H26" s="5"/>
    </row>
    <row r="27" spans="2:11" ht="15.75" thickBot="1" x14ac:dyDescent="0.3">
      <c r="B27" s="87" t="s">
        <v>71</v>
      </c>
      <c r="C27" s="110">
        <f>C25-C21</f>
        <v>3.4600000000000222</v>
      </c>
      <c r="D27" s="165">
        <f>C27/C10</f>
        <v>3.1898220706186246E-2</v>
      </c>
      <c r="F27" s="5"/>
      <c r="G27" s="5"/>
      <c r="H27" s="5"/>
    </row>
    <row r="28" spans="2:11" ht="15.75" thickBot="1" x14ac:dyDescent="0.3">
      <c r="B28" s="87" t="s">
        <v>185</v>
      </c>
      <c r="C28" s="110">
        <f>C27/H20</f>
        <v>3.5309725482192289</v>
      </c>
      <c r="D28" s="22"/>
      <c r="F28" s="5"/>
      <c r="G28" s="5"/>
      <c r="H28" s="5"/>
    </row>
    <row r="29" spans="2:11" ht="15.75" thickBot="1" x14ac:dyDescent="0.3">
      <c r="B29" s="88" t="s">
        <v>72</v>
      </c>
      <c r="C29" s="102">
        <f>C28/2000</f>
        <v>1.7654862741096145E-3</v>
      </c>
      <c r="D29" s="23"/>
      <c r="F29" s="113" t="s">
        <v>6</v>
      </c>
      <c r="G29" s="114"/>
      <c r="H29" s="129">
        <f>H18</f>
        <v>75510.659400000237</v>
      </c>
    </row>
    <row r="30" spans="2:11" x14ac:dyDescent="0.25">
      <c r="F30" s="115" t="s">
        <v>87</v>
      </c>
      <c r="G30" s="78">
        <f>Calculation!M10</f>
        <v>0.97989999999999999</v>
      </c>
      <c r="H30" s="130">
        <f>+H29/G30</f>
        <v>77059.55648535589</v>
      </c>
      <c r="I30" s="4">
        <f>H30/Calculation!E136</f>
        <v>8.3092374030911895E-3</v>
      </c>
      <c r="K30" s="127"/>
    </row>
    <row r="31" spans="2:11" x14ac:dyDescent="0.25">
      <c r="C31" s="14"/>
      <c r="F31" s="115"/>
      <c r="G31" s="35"/>
      <c r="H31" s="130"/>
    </row>
    <row r="32" spans="2:11" x14ac:dyDescent="0.25">
      <c r="F32" s="169" t="s">
        <v>91</v>
      </c>
      <c r="G32" s="170"/>
      <c r="H32" s="130">
        <f>Calculation!Q7</f>
        <v>79229.064000000246</v>
      </c>
      <c r="J32" s="127"/>
    </row>
    <row r="33" spans="6:8" x14ac:dyDescent="0.25">
      <c r="F33" s="115"/>
      <c r="G33" s="35"/>
      <c r="H33" s="130"/>
    </row>
    <row r="34" spans="6:8" x14ac:dyDescent="0.25">
      <c r="F34" s="115" t="s">
        <v>186</v>
      </c>
      <c r="G34" s="35"/>
      <c r="H34" s="163">
        <f>H32-H30</f>
        <v>2169.507514644356</v>
      </c>
    </row>
    <row r="35" spans="6:8" ht="15.75" thickBot="1" x14ac:dyDescent="0.3">
      <c r="F35" s="116" t="s">
        <v>153</v>
      </c>
      <c r="G35" s="117"/>
      <c r="H35" s="164">
        <f>H34/H32</f>
        <v>2.7382723019981018E-2</v>
      </c>
    </row>
  </sheetData>
  <mergeCells count="9">
    <mergeCell ref="K5:N5"/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65"/>
  <sheetViews>
    <sheetView zoomScale="80" zoomScaleNormal="80" workbookViewId="0">
      <pane xSplit="1" ySplit="10" topLeftCell="B28" activePane="bottomRight" state="frozen"/>
      <selection activeCell="C14" sqref="C14"/>
      <selection pane="topRight" activeCell="C14" sqref="C14"/>
      <selection pane="bottomLeft" activeCell="C14" sqref="C14"/>
      <selection pane="bottomRight" activeCell="L49" sqref="L49"/>
    </sheetView>
  </sheetViews>
  <sheetFormatPr defaultRowHeight="15" outlineLevelRow="1" outlineLevelCol="1" x14ac:dyDescent="0.25"/>
  <cols>
    <col min="1" max="1" width="30.28515625" style="15" customWidth="1"/>
    <col min="2" max="2" width="17.85546875" style="15" bestFit="1" customWidth="1"/>
    <col min="3" max="3" width="13.140625" style="15" customWidth="1"/>
    <col min="4" max="4" width="13.85546875" style="15" bestFit="1" customWidth="1"/>
    <col min="5" max="5" width="16.28515625" style="15" customWidth="1"/>
    <col min="6" max="6" width="15.140625" style="15" customWidth="1"/>
    <col min="7" max="7" width="9.42578125" style="15" bestFit="1" customWidth="1"/>
    <col min="8" max="8" width="15.5703125" style="15" customWidth="1"/>
    <col min="9" max="10" width="12.28515625" style="15" customWidth="1"/>
    <col min="11" max="11" width="12.7109375" style="15" customWidth="1"/>
    <col min="12" max="12" width="9.5703125" style="15" bestFit="1" customWidth="1"/>
    <col min="13" max="13" width="10.85546875" style="15" customWidth="1"/>
    <col min="14" max="14" width="11.85546875" style="35" customWidth="1"/>
    <col min="15" max="15" width="11.28515625" style="35" bestFit="1" customWidth="1"/>
    <col min="16" max="16" width="17" style="15" customWidth="1" outlineLevel="1"/>
    <col min="17" max="17" width="14.85546875" style="15" customWidth="1" outlineLevel="1"/>
    <col min="18" max="18" width="4.28515625" style="39" customWidth="1"/>
    <col min="19" max="19" width="11.28515625" style="42" bestFit="1" customWidth="1"/>
    <col min="20" max="20" width="3.42578125" style="42" customWidth="1"/>
    <col min="21" max="16384" width="9.140625" style="15"/>
  </cols>
  <sheetData>
    <row r="1" spans="1:19" x14ac:dyDescent="0.25">
      <c r="A1" s="38" t="s">
        <v>154</v>
      </c>
      <c r="B1" s="38"/>
      <c r="D1" s="76"/>
      <c r="E1" s="76"/>
      <c r="F1" s="38"/>
      <c r="G1" s="38"/>
      <c r="H1" s="35"/>
      <c r="I1" s="35"/>
      <c r="J1" s="35"/>
      <c r="K1" s="35"/>
      <c r="L1" s="35"/>
    </row>
    <row r="2" spans="1:19" ht="17.25" customHeight="1" x14ac:dyDescent="0.25">
      <c r="A2" s="125" t="s">
        <v>158</v>
      </c>
      <c r="B2" s="123"/>
      <c r="D2" s="76"/>
      <c r="E2" s="76"/>
      <c r="F2" s="40"/>
      <c r="H2" s="35"/>
      <c r="I2" s="77"/>
      <c r="J2" s="77"/>
      <c r="K2" s="77"/>
      <c r="L2" s="35"/>
    </row>
    <row r="3" spans="1:19" ht="17.25" customHeight="1" x14ac:dyDescent="0.25">
      <c r="A3" s="125" t="s">
        <v>159</v>
      </c>
      <c r="B3" s="123"/>
      <c r="D3" s="76"/>
      <c r="E3" s="76"/>
      <c r="F3" s="40"/>
      <c r="H3" s="35"/>
      <c r="I3" s="77"/>
      <c r="J3" s="77"/>
      <c r="K3" s="77"/>
      <c r="L3" s="35"/>
    </row>
    <row r="4" spans="1:19" ht="17.25" customHeight="1" x14ac:dyDescent="0.25">
      <c r="A4" s="125" t="s">
        <v>162</v>
      </c>
      <c r="B4" s="131"/>
      <c r="D4" s="76"/>
      <c r="E4" s="76"/>
      <c r="F4" s="40"/>
      <c r="H4" s="35"/>
      <c r="I4" s="77"/>
      <c r="J4" s="77"/>
      <c r="K4" s="77"/>
      <c r="L4" s="35"/>
    </row>
    <row r="5" spans="1:19" x14ac:dyDescent="0.25">
      <c r="A5" s="125" t="s">
        <v>161</v>
      </c>
      <c r="B5" s="38"/>
      <c r="D5" s="76"/>
      <c r="E5" s="76"/>
      <c r="F5" s="41"/>
      <c r="H5" s="35"/>
      <c r="I5" s="77"/>
      <c r="J5" s="77"/>
      <c r="K5" s="77"/>
      <c r="L5" s="35"/>
    </row>
    <row r="6" spans="1:19" ht="30" x14ac:dyDescent="0.25">
      <c r="D6" s="128"/>
      <c r="E6" s="128"/>
      <c r="H6" s="138" t="s">
        <v>81</v>
      </c>
      <c r="I6" s="139" t="s">
        <v>80</v>
      </c>
      <c r="J6" s="78">
        <f>1-I8</f>
        <v>0.57133893735596897</v>
      </c>
      <c r="K6" s="35"/>
      <c r="L6" s="35"/>
      <c r="N6" s="152" t="s">
        <v>133</v>
      </c>
      <c r="O6" s="152" t="s">
        <v>133</v>
      </c>
      <c r="P6" s="43" t="s">
        <v>117</v>
      </c>
      <c r="Q6" s="43" t="s">
        <v>118</v>
      </c>
      <c r="R6" s="44"/>
    </row>
    <row r="7" spans="1:19" x14ac:dyDescent="0.25">
      <c r="D7" s="128"/>
      <c r="E7" s="128"/>
      <c r="H7" s="13">
        <f>+H131</f>
        <v>50911.762000000002</v>
      </c>
      <c r="I7" s="13">
        <f>'per lb increase'!C19</f>
        <v>21823.89</v>
      </c>
      <c r="J7" s="13"/>
      <c r="K7" s="45" t="s">
        <v>82</v>
      </c>
      <c r="M7" s="15" t="s">
        <v>87</v>
      </c>
      <c r="N7" s="173" t="s">
        <v>89</v>
      </c>
      <c r="O7" s="174"/>
      <c r="P7" s="153">
        <f>+P25+P127</f>
        <v>9353191.6128000021</v>
      </c>
      <c r="Q7" s="153">
        <f>+Q27+Q127</f>
        <v>79229.064000000246</v>
      </c>
      <c r="R7" s="46"/>
    </row>
    <row r="8" spans="1:19" x14ac:dyDescent="0.25">
      <c r="B8" s="15" t="s">
        <v>156</v>
      </c>
      <c r="F8" s="45"/>
      <c r="G8" s="45"/>
      <c r="H8" s="47" t="s">
        <v>147</v>
      </c>
      <c r="I8" s="48">
        <f>+I7/H7</f>
        <v>0.42866106264403103</v>
      </c>
      <c r="J8" s="49" t="s">
        <v>147</v>
      </c>
      <c r="K8" s="45" t="s">
        <v>83</v>
      </c>
      <c r="L8" s="45" t="s">
        <v>84</v>
      </c>
      <c r="M8" s="15" t="s">
        <v>85</v>
      </c>
      <c r="N8" s="50" t="s">
        <v>114</v>
      </c>
      <c r="O8" s="50"/>
      <c r="R8" s="51"/>
      <c r="S8" s="42" t="s">
        <v>115</v>
      </c>
    </row>
    <row r="9" spans="1:19" ht="15.75" thickBot="1" x14ac:dyDescent="0.3">
      <c r="B9" s="82" t="s">
        <v>140</v>
      </c>
      <c r="C9" s="82" t="s">
        <v>157</v>
      </c>
      <c r="D9" s="82" t="s">
        <v>157</v>
      </c>
      <c r="E9" s="47"/>
      <c r="F9" s="85" t="s">
        <v>74</v>
      </c>
      <c r="G9" s="85" t="s">
        <v>77</v>
      </c>
      <c r="H9" s="85" t="s">
        <v>76</v>
      </c>
      <c r="I9" s="85" t="s">
        <v>79</v>
      </c>
      <c r="J9" s="85" t="s">
        <v>79</v>
      </c>
      <c r="L9" s="45" t="s">
        <v>63</v>
      </c>
      <c r="M9" s="45" t="s">
        <v>86</v>
      </c>
      <c r="N9" s="50" t="s">
        <v>115</v>
      </c>
      <c r="O9" s="52" t="s">
        <v>116</v>
      </c>
      <c r="P9" s="47" t="s">
        <v>147</v>
      </c>
      <c r="Q9" s="53" t="s">
        <v>90</v>
      </c>
      <c r="R9" s="51"/>
      <c r="S9" s="42" t="s">
        <v>135</v>
      </c>
    </row>
    <row r="10" spans="1:19" ht="15.75" thickBot="1" x14ac:dyDescent="0.3">
      <c r="A10" s="16" t="s">
        <v>62</v>
      </c>
      <c r="B10" s="16" t="s">
        <v>134</v>
      </c>
      <c r="C10" s="16" t="s">
        <v>1</v>
      </c>
      <c r="D10" s="16"/>
      <c r="E10" s="17" t="s">
        <v>66</v>
      </c>
      <c r="F10" s="84" t="s">
        <v>75</v>
      </c>
      <c r="G10" s="84" t="s">
        <v>78</v>
      </c>
      <c r="H10" s="84" t="s">
        <v>0</v>
      </c>
      <c r="I10" s="84" t="s">
        <v>75</v>
      </c>
      <c r="J10" s="84" t="s">
        <v>0</v>
      </c>
      <c r="K10" s="83">
        <f>'per lb increase'!C29</f>
        <v>1.7654862741096145E-3</v>
      </c>
      <c r="M10" s="140">
        <f>1-0.015-0.0051</f>
        <v>0.97989999999999999</v>
      </c>
      <c r="P10" s="54" t="s">
        <v>66</v>
      </c>
      <c r="Q10" s="53" t="s">
        <v>63</v>
      </c>
      <c r="R10" s="51"/>
      <c r="S10" s="42" t="s">
        <v>132</v>
      </c>
    </row>
    <row r="11" spans="1:19" x14ac:dyDescent="0.25">
      <c r="A11" s="55" t="s">
        <v>149</v>
      </c>
      <c r="B11" s="56">
        <v>0</v>
      </c>
      <c r="C11" s="60">
        <v>7.67</v>
      </c>
      <c r="E11" s="56">
        <f t="shared" ref="E11:E22" si="0">B11*C11*12</f>
        <v>0</v>
      </c>
      <c r="F11" s="15">
        <v>34</v>
      </c>
      <c r="G11" s="15">
        <v>26</v>
      </c>
      <c r="H11" s="57">
        <f t="shared" ref="H11:H23" si="1">+G11*F11*B11/2000</f>
        <v>0</v>
      </c>
      <c r="I11" s="57">
        <f>+F11*$I$8</f>
        <v>14.574476129897056</v>
      </c>
      <c r="J11" s="57">
        <f t="shared" ref="J11:J23" si="2">+G11*I11*B11/2000</f>
        <v>0</v>
      </c>
      <c r="K11" s="13">
        <f>+I11*$K$10</f>
        <v>2.5731037559671467E-2</v>
      </c>
      <c r="L11" s="57">
        <f>+K11*4.33/2</f>
        <v>5.5707696316688725E-2</v>
      </c>
      <c r="M11" s="57">
        <f>+L11/$M$10</f>
        <v>5.6850389138369962E-2</v>
      </c>
      <c r="N11" s="58">
        <f>ROUND(C11+M11,2)</f>
        <v>7.73</v>
      </c>
      <c r="P11" s="57">
        <f t="shared" ref="P11:P22" si="3">+N11*B11*12</f>
        <v>0</v>
      </c>
      <c r="Q11" s="57">
        <f t="shared" ref="Q11:Q22" si="4">+P11-E11</f>
        <v>0</v>
      </c>
      <c r="R11" s="51"/>
      <c r="S11" s="48">
        <f>(N11-C11)/C11</f>
        <v>7.8226857887875485E-3</v>
      </c>
    </row>
    <row r="12" spans="1:19" x14ac:dyDescent="0.25">
      <c r="A12" s="55" t="s">
        <v>150</v>
      </c>
      <c r="B12" s="56">
        <v>0</v>
      </c>
      <c r="C12" s="60">
        <v>4.38</v>
      </c>
      <c r="E12" s="56">
        <f t="shared" si="0"/>
        <v>0</v>
      </c>
      <c r="F12" s="15">
        <f>+F11</f>
        <v>34</v>
      </c>
      <c r="G12" s="15">
        <v>12</v>
      </c>
      <c r="H12" s="57">
        <f t="shared" si="1"/>
        <v>0</v>
      </c>
      <c r="I12" s="57">
        <f>+F12*$I$8</f>
        <v>14.574476129897056</v>
      </c>
      <c r="J12" s="57">
        <f t="shared" si="2"/>
        <v>0</v>
      </c>
      <c r="K12" s="13">
        <f t="shared" ref="K12:K23" si="5">+I12*$K$10</f>
        <v>2.5731037559671467E-2</v>
      </c>
      <c r="L12" s="57">
        <f>+K12</f>
        <v>2.5731037559671467E-2</v>
      </c>
      <c r="M12" s="57">
        <f t="shared" ref="M12:M22" si="6">+L12/$M$10</f>
        <v>2.6258840248669729E-2</v>
      </c>
      <c r="N12" s="58">
        <f t="shared" ref="N12:N23" si="7">ROUND(C12+M12,2)</f>
        <v>4.41</v>
      </c>
      <c r="P12" s="57">
        <f t="shared" si="3"/>
        <v>0</v>
      </c>
      <c r="Q12" s="57">
        <f t="shared" si="4"/>
        <v>0</v>
      </c>
      <c r="R12" s="51"/>
      <c r="S12" s="48">
        <f t="shared" ref="S12:S23" si="8">(N12-C12)/C12</f>
        <v>6.8493150684932076E-3</v>
      </c>
    </row>
    <row r="13" spans="1:19" x14ac:dyDescent="0.25">
      <c r="A13" s="55" t="s">
        <v>151</v>
      </c>
      <c r="B13" s="56">
        <v>0</v>
      </c>
      <c r="C13" s="60">
        <v>12.11</v>
      </c>
      <c r="E13" s="56">
        <f t="shared" si="0"/>
        <v>0</v>
      </c>
      <c r="F13" s="15">
        <f>+F12</f>
        <v>34</v>
      </c>
      <c r="G13" s="15">
        <v>52</v>
      </c>
      <c r="H13" s="57">
        <f t="shared" si="1"/>
        <v>0</v>
      </c>
      <c r="I13" s="57">
        <f t="shared" ref="I13:I99" si="9">+F13*$I$8</f>
        <v>14.574476129897056</v>
      </c>
      <c r="J13" s="57">
        <f t="shared" si="2"/>
        <v>0</v>
      </c>
      <c r="K13" s="13">
        <f t="shared" si="5"/>
        <v>2.5731037559671467E-2</v>
      </c>
      <c r="L13" s="57">
        <f t="shared" ref="L13:L22" si="10">+K13*4.33</f>
        <v>0.11141539263337745</v>
      </c>
      <c r="M13" s="57">
        <f t="shared" si="6"/>
        <v>0.11370077827673992</v>
      </c>
      <c r="N13" s="58">
        <f t="shared" si="7"/>
        <v>12.22</v>
      </c>
      <c r="P13" s="57">
        <f t="shared" si="3"/>
        <v>0</v>
      </c>
      <c r="Q13" s="57">
        <f t="shared" si="4"/>
        <v>0</v>
      </c>
      <c r="R13" s="51"/>
      <c r="S13" s="48">
        <f t="shared" si="8"/>
        <v>9.083402146986063E-3</v>
      </c>
    </row>
    <row r="14" spans="1:19" x14ac:dyDescent="0.25">
      <c r="A14" s="55" t="s">
        <v>61</v>
      </c>
      <c r="B14" s="56">
        <v>0</v>
      </c>
      <c r="C14" s="60">
        <v>10.029999999999999</v>
      </c>
      <c r="E14" s="56">
        <f t="shared" si="0"/>
        <v>0</v>
      </c>
      <c r="F14" s="15">
        <v>47</v>
      </c>
      <c r="G14" s="15">
        <f>+G11</f>
        <v>26</v>
      </c>
      <c r="H14" s="57">
        <f t="shared" si="1"/>
        <v>0</v>
      </c>
      <c r="I14" s="57">
        <f t="shared" si="9"/>
        <v>20.147069944269457</v>
      </c>
      <c r="J14" s="57">
        <f t="shared" si="2"/>
        <v>0</v>
      </c>
      <c r="K14" s="13">
        <f t="shared" si="5"/>
        <v>3.5569375450134083E-2</v>
      </c>
      <c r="L14" s="57">
        <f>+K14*4.33/2</f>
        <v>7.7007697849540285E-2</v>
      </c>
      <c r="M14" s="57">
        <f t="shared" si="6"/>
        <v>7.8587302632452588E-2</v>
      </c>
      <c r="N14" s="58">
        <f t="shared" si="7"/>
        <v>10.11</v>
      </c>
      <c r="P14" s="57">
        <f t="shared" si="3"/>
        <v>0</v>
      </c>
      <c r="Q14" s="57">
        <f t="shared" si="4"/>
        <v>0</v>
      </c>
      <c r="R14" s="51"/>
      <c r="S14" s="48">
        <f t="shared" si="8"/>
        <v>7.9760717846460698E-3</v>
      </c>
    </row>
    <row r="15" spans="1:19" x14ac:dyDescent="0.25">
      <c r="A15" s="55" t="s">
        <v>60</v>
      </c>
      <c r="B15" s="56">
        <v>0</v>
      </c>
      <c r="C15" s="60">
        <v>6.29</v>
      </c>
      <c r="E15" s="56">
        <f t="shared" si="0"/>
        <v>0</v>
      </c>
      <c r="F15" s="15">
        <f>+F14</f>
        <v>47</v>
      </c>
      <c r="G15" s="15">
        <f>+G12</f>
        <v>12</v>
      </c>
      <c r="H15" s="57">
        <f t="shared" si="1"/>
        <v>0</v>
      </c>
      <c r="I15" s="57">
        <f t="shared" si="9"/>
        <v>20.147069944269457</v>
      </c>
      <c r="J15" s="57">
        <f t="shared" si="2"/>
        <v>0</v>
      </c>
      <c r="K15" s="13">
        <f t="shared" si="5"/>
        <v>3.5569375450134083E-2</v>
      </c>
      <c r="L15" s="57">
        <f>+K15</f>
        <v>3.5569375450134083E-2</v>
      </c>
      <c r="M15" s="57">
        <f t="shared" si="6"/>
        <v>3.629898504963168E-2</v>
      </c>
      <c r="N15" s="58">
        <f t="shared" si="7"/>
        <v>6.33</v>
      </c>
      <c r="P15" s="57">
        <f t="shared" si="3"/>
        <v>0</v>
      </c>
      <c r="Q15" s="57">
        <f t="shared" si="4"/>
        <v>0</v>
      </c>
      <c r="R15" s="51"/>
      <c r="S15" s="48">
        <f t="shared" si="8"/>
        <v>6.3593004769475414E-3</v>
      </c>
    </row>
    <row r="16" spans="1:19" x14ac:dyDescent="0.25">
      <c r="A16" s="55" t="s">
        <v>59</v>
      </c>
      <c r="B16" s="56">
        <v>0</v>
      </c>
      <c r="C16" s="60">
        <v>17.190000000000001</v>
      </c>
      <c r="E16" s="56">
        <f t="shared" si="0"/>
        <v>0</v>
      </c>
      <c r="F16" s="15">
        <f>+F15</f>
        <v>47</v>
      </c>
      <c r="G16" s="15">
        <f>+G13</f>
        <v>52</v>
      </c>
      <c r="H16" s="57">
        <f t="shared" si="1"/>
        <v>0</v>
      </c>
      <c r="I16" s="57">
        <f t="shared" si="9"/>
        <v>20.147069944269457</v>
      </c>
      <c r="J16" s="57">
        <f t="shared" si="2"/>
        <v>0</v>
      </c>
      <c r="K16" s="13">
        <f t="shared" si="5"/>
        <v>3.5569375450134083E-2</v>
      </c>
      <c r="L16" s="57">
        <f t="shared" si="10"/>
        <v>0.15401539569908057</v>
      </c>
      <c r="M16" s="57">
        <f t="shared" si="6"/>
        <v>0.15717460526490518</v>
      </c>
      <c r="N16" s="58">
        <f t="shared" si="7"/>
        <v>17.350000000000001</v>
      </c>
      <c r="P16" s="57">
        <f t="shared" si="3"/>
        <v>0</v>
      </c>
      <c r="Q16" s="57">
        <f t="shared" si="4"/>
        <v>0</v>
      </c>
      <c r="R16" s="51"/>
      <c r="S16" s="48">
        <f t="shared" si="8"/>
        <v>9.3077370564281642E-3</v>
      </c>
    </row>
    <row r="17" spans="1:20" x14ac:dyDescent="0.25">
      <c r="A17" s="55" t="s">
        <v>58</v>
      </c>
      <c r="B17" s="56">
        <v>0</v>
      </c>
      <c r="C17" s="60">
        <v>15.09</v>
      </c>
      <c r="E17" s="56">
        <f t="shared" si="0"/>
        <v>0</v>
      </c>
      <c r="F17" s="15">
        <v>68</v>
      </c>
      <c r="G17" s="15">
        <f>+G11</f>
        <v>26</v>
      </c>
      <c r="H17" s="57">
        <f t="shared" si="1"/>
        <v>0</v>
      </c>
      <c r="I17" s="57">
        <f t="shared" si="9"/>
        <v>29.148952259794111</v>
      </c>
      <c r="J17" s="57">
        <f t="shared" si="2"/>
        <v>0</v>
      </c>
      <c r="K17" s="13">
        <f t="shared" si="5"/>
        <v>5.1462075119342934E-2</v>
      </c>
      <c r="L17" s="57">
        <f>+K17*4.33/2</f>
        <v>0.11141539263337745</v>
      </c>
      <c r="M17" s="57">
        <f t="shared" si="6"/>
        <v>0.11370077827673992</v>
      </c>
      <c r="N17" s="58">
        <f t="shared" si="7"/>
        <v>15.2</v>
      </c>
      <c r="P17" s="57">
        <f t="shared" si="3"/>
        <v>0</v>
      </c>
      <c r="Q17" s="57">
        <f t="shared" si="4"/>
        <v>0</v>
      </c>
      <c r="R17" s="51"/>
      <c r="S17" s="48">
        <f t="shared" si="8"/>
        <v>7.2895957587806115E-3</v>
      </c>
    </row>
    <row r="18" spans="1:20" x14ac:dyDescent="0.25">
      <c r="A18" s="55" t="s">
        <v>57</v>
      </c>
      <c r="B18" s="56">
        <v>0</v>
      </c>
      <c r="C18" s="60">
        <v>9.1</v>
      </c>
      <c r="E18" s="56">
        <f t="shared" si="0"/>
        <v>0</v>
      </c>
      <c r="F18" s="15">
        <f>+F17</f>
        <v>68</v>
      </c>
      <c r="G18" s="15">
        <f>+G12</f>
        <v>12</v>
      </c>
      <c r="H18" s="57">
        <f t="shared" si="1"/>
        <v>0</v>
      </c>
      <c r="I18" s="57">
        <f t="shared" si="9"/>
        <v>29.148952259794111</v>
      </c>
      <c r="J18" s="57">
        <f t="shared" si="2"/>
        <v>0</v>
      </c>
      <c r="K18" s="13">
        <f t="shared" si="5"/>
        <v>5.1462075119342934E-2</v>
      </c>
      <c r="L18" s="57">
        <f>+K18</f>
        <v>5.1462075119342934E-2</v>
      </c>
      <c r="M18" s="57">
        <f t="shared" si="6"/>
        <v>5.2517680497339458E-2</v>
      </c>
      <c r="N18" s="58">
        <f t="shared" si="7"/>
        <v>9.15</v>
      </c>
      <c r="P18" s="57">
        <f t="shared" si="3"/>
        <v>0</v>
      </c>
      <c r="Q18" s="57">
        <f t="shared" si="4"/>
        <v>0</v>
      </c>
      <c r="R18" s="51"/>
      <c r="S18" s="48">
        <f t="shared" si="8"/>
        <v>5.494505494505573E-3</v>
      </c>
    </row>
    <row r="19" spans="1:20" x14ac:dyDescent="0.25">
      <c r="A19" s="55" t="s">
        <v>56</v>
      </c>
      <c r="B19" s="56">
        <v>0</v>
      </c>
      <c r="C19" s="60">
        <v>27.39</v>
      </c>
      <c r="E19" s="56">
        <f t="shared" si="0"/>
        <v>0</v>
      </c>
      <c r="F19" s="15">
        <f>+F18</f>
        <v>68</v>
      </c>
      <c r="G19" s="15">
        <f>+G13</f>
        <v>52</v>
      </c>
      <c r="H19" s="57">
        <f t="shared" si="1"/>
        <v>0</v>
      </c>
      <c r="I19" s="57">
        <f t="shared" si="9"/>
        <v>29.148952259794111</v>
      </c>
      <c r="J19" s="57">
        <f t="shared" si="2"/>
        <v>0</v>
      </c>
      <c r="K19" s="13">
        <f t="shared" si="5"/>
        <v>5.1462075119342934E-2</v>
      </c>
      <c r="L19" s="57">
        <f t="shared" si="10"/>
        <v>0.2228307852667549</v>
      </c>
      <c r="M19" s="57">
        <f t="shared" si="6"/>
        <v>0.22740155655347985</v>
      </c>
      <c r="N19" s="58">
        <f t="shared" si="7"/>
        <v>27.62</v>
      </c>
      <c r="P19" s="57">
        <f t="shared" si="3"/>
        <v>0</v>
      </c>
      <c r="Q19" s="57">
        <f t="shared" si="4"/>
        <v>0</v>
      </c>
      <c r="R19" s="51"/>
      <c r="S19" s="48">
        <f t="shared" si="8"/>
        <v>8.3972252646951594E-3</v>
      </c>
    </row>
    <row r="20" spans="1:20" x14ac:dyDescent="0.25">
      <c r="A20" s="55" t="s">
        <v>55</v>
      </c>
      <c r="B20" s="56">
        <v>0</v>
      </c>
      <c r="C20" s="60">
        <v>6.37</v>
      </c>
      <c r="E20" s="56">
        <f t="shared" si="0"/>
        <v>0</v>
      </c>
      <c r="F20" s="15">
        <v>20</v>
      </c>
      <c r="G20" s="15">
        <f>+G11</f>
        <v>26</v>
      </c>
      <c r="H20" s="57">
        <f t="shared" si="1"/>
        <v>0</v>
      </c>
      <c r="I20" s="57">
        <f t="shared" si="9"/>
        <v>8.5732212528806215</v>
      </c>
      <c r="J20" s="57">
        <f t="shared" si="2"/>
        <v>0</v>
      </c>
      <c r="K20" s="13">
        <f t="shared" si="5"/>
        <v>1.5135904446865569E-2</v>
      </c>
      <c r="L20" s="57">
        <f>+K20*4.33/2</f>
        <v>3.2769233127463958E-2</v>
      </c>
      <c r="M20" s="57">
        <f t="shared" si="6"/>
        <v>3.3441405375511747E-2</v>
      </c>
      <c r="N20" s="58">
        <f t="shared" si="7"/>
        <v>6.4</v>
      </c>
      <c r="P20" s="57">
        <f t="shared" si="3"/>
        <v>0</v>
      </c>
      <c r="Q20" s="57">
        <f t="shared" si="4"/>
        <v>0</v>
      </c>
      <c r="R20" s="51"/>
      <c r="S20" s="48">
        <f t="shared" si="8"/>
        <v>4.7095761381476054E-3</v>
      </c>
    </row>
    <row r="21" spans="1:20" x14ac:dyDescent="0.25">
      <c r="A21" s="55" t="s">
        <v>54</v>
      </c>
      <c r="B21" s="56">
        <v>0</v>
      </c>
      <c r="C21" s="60">
        <v>4.17</v>
      </c>
      <c r="E21" s="56">
        <f t="shared" si="0"/>
        <v>0</v>
      </c>
      <c r="F21" s="15">
        <f>+F20</f>
        <v>20</v>
      </c>
      <c r="G21" s="15">
        <f>+G12</f>
        <v>12</v>
      </c>
      <c r="H21" s="57">
        <f t="shared" si="1"/>
        <v>0</v>
      </c>
      <c r="I21" s="57">
        <f t="shared" si="9"/>
        <v>8.5732212528806215</v>
      </c>
      <c r="J21" s="57">
        <f t="shared" si="2"/>
        <v>0</v>
      </c>
      <c r="K21" s="13">
        <f t="shared" si="5"/>
        <v>1.5135904446865569E-2</v>
      </c>
      <c r="L21" s="57">
        <f>+K21</f>
        <v>1.5135904446865569E-2</v>
      </c>
      <c r="M21" s="57">
        <f t="shared" si="6"/>
        <v>1.5446376616864547E-2</v>
      </c>
      <c r="N21" s="58">
        <f t="shared" si="7"/>
        <v>4.1900000000000004</v>
      </c>
      <c r="P21" s="57">
        <f t="shared" si="3"/>
        <v>0</v>
      </c>
      <c r="Q21" s="57">
        <f t="shared" si="4"/>
        <v>0</v>
      </c>
      <c r="R21" s="51"/>
      <c r="S21" s="48">
        <f t="shared" si="8"/>
        <v>4.7961630695444752E-3</v>
      </c>
    </row>
    <row r="22" spans="1:20" x14ac:dyDescent="0.25">
      <c r="A22" s="55" t="s">
        <v>53</v>
      </c>
      <c r="B22" s="56">
        <v>0</v>
      </c>
      <c r="C22" s="60">
        <v>9.6199999999999992</v>
      </c>
      <c r="E22" s="56">
        <f t="shared" si="0"/>
        <v>0</v>
      </c>
      <c r="F22" s="15">
        <f>+F21</f>
        <v>20</v>
      </c>
      <c r="G22" s="15">
        <f>+G13</f>
        <v>52</v>
      </c>
      <c r="H22" s="57">
        <f t="shared" si="1"/>
        <v>0</v>
      </c>
      <c r="I22" s="57">
        <f t="shared" si="9"/>
        <v>8.5732212528806215</v>
      </c>
      <c r="J22" s="57">
        <f t="shared" si="2"/>
        <v>0</v>
      </c>
      <c r="K22" s="13">
        <f t="shared" si="5"/>
        <v>1.5135904446865569E-2</v>
      </c>
      <c r="L22" s="57">
        <f t="shared" si="10"/>
        <v>6.5538466254927916E-2</v>
      </c>
      <c r="M22" s="57">
        <f t="shared" si="6"/>
        <v>6.6882810751023494E-2</v>
      </c>
      <c r="N22" s="58">
        <f t="shared" si="7"/>
        <v>9.69</v>
      </c>
      <c r="P22" s="57">
        <f t="shared" si="3"/>
        <v>0</v>
      </c>
      <c r="Q22" s="57">
        <f t="shared" si="4"/>
        <v>0</v>
      </c>
      <c r="R22" s="51"/>
      <c r="S22" s="48">
        <f t="shared" si="8"/>
        <v>7.2765072765073064E-3</v>
      </c>
    </row>
    <row r="23" spans="1:20" s="39" customFormat="1" x14ac:dyDescent="0.25">
      <c r="A23" s="59" t="s">
        <v>93</v>
      </c>
      <c r="B23" s="60">
        <v>0</v>
      </c>
      <c r="C23" s="60">
        <v>4.3499999999999996</v>
      </c>
      <c r="E23" s="60">
        <f>B23*C23</f>
        <v>0</v>
      </c>
      <c r="F23" s="39">
        <f>+F11</f>
        <v>34</v>
      </c>
      <c r="G23" s="39">
        <v>1</v>
      </c>
      <c r="H23" s="51">
        <f t="shared" si="1"/>
        <v>0</v>
      </c>
      <c r="I23" s="51">
        <f>+F23*$I$8</f>
        <v>14.574476129897056</v>
      </c>
      <c r="J23" s="51">
        <f t="shared" si="2"/>
        <v>0</v>
      </c>
      <c r="K23" s="67">
        <f t="shared" si="5"/>
        <v>2.5731037559671467E-2</v>
      </c>
      <c r="L23" s="51">
        <f>+K23</f>
        <v>2.5731037559671467E-2</v>
      </c>
      <c r="M23" s="51">
        <f>+L23/$M$10</f>
        <v>2.6258840248669729E-2</v>
      </c>
      <c r="N23" s="79">
        <f t="shared" si="7"/>
        <v>4.38</v>
      </c>
      <c r="O23" s="37"/>
      <c r="P23" s="51">
        <f>+N23*B23</f>
        <v>0</v>
      </c>
      <c r="Q23" s="51">
        <f>+P23-E23</f>
        <v>0</v>
      </c>
      <c r="R23" s="51"/>
      <c r="S23" s="80">
        <f t="shared" si="8"/>
        <v>6.8965517241379891E-3</v>
      </c>
      <c r="T23" s="81"/>
    </row>
    <row r="24" spans="1:20" x14ac:dyDescent="0.25">
      <c r="A24" s="59"/>
      <c r="B24" s="139"/>
      <c r="C24" s="149"/>
      <c r="D24" s="132"/>
      <c r="E24" s="143"/>
      <c r="F24" s="139"/>
      <c r="G24" s="139"/>
      <c r="H24" s="150"/>
      <c r="I24" s="150"/>
      <c r="J24" s="150"/>
      <c r="K24" s="151"/>
      <c r="L24" s="150"/>
      <c r="M24" s="150"/>
      <c r="N24" s="139"/>
      <c r="O24" s="139"/>
      <c r="P24" s="139"/>
      <c r="Q24" s="139"/>
      <c r="R24" s="51"/>
      <c r="S24" s="48"/>
    </row>
    <row r="25" spans="1:20" ht="15.75" thickBot="1" x14ac:dyDescent="0.3">
      <c r="A25" s="55" t="s">
        <v>120</v>
      </c>
      <c r="B25" s="61">
        <f>SUM(B11:B22)</f>
        <v>0</v>
      </c>
      <c r="C25" s="55"/>
      <c r="D25" s="56"/>
      <c r="E25" s="13">
        <f>SUM(E11:E23)</f>
        <v>0</v>
      </c>
      <c r="H25" s="57">
        <f>SUM(H11:H23)</f>
        <v>0</v>
      </c>
      <c r="I25" s="57">
        <f>SUM(I11:I23)</f>
        <v>231.90563489042074</v>
      </c>
      <c r="J25" s="57">
        <f>SUM(J11:J23)</f>
        <v>0</v>
      </c>
      <c r="K25" s="13"/>
      <c r="L25" s="57"/>
      <c r="M25" s="57"/>
      <c r="P25" s="148">
        <f>SUM(P11:P24)</f>
        <v>0</v>
      </c>
      <c r="R25" s="51"/>
      <c r="S25" s="48"/>
    </row>
    <row r="26" spans="1:20" ht="15.75" thickBot="1" x14ac:dyDescent="0.3">
      <c r="A26" s="55" t="s">
        <v>152</v>
      </c>
      <c r="B26" s="61"/>
      <c r="C26" s="55"/>
      <c r="D26" s="56"/>
      <c r="E26" s="13"/>
      <c r="H26" s="57"/>
      <c r="I26" s="57"/>
      <c r="J26" s="57"/>
      <c r="K26" s="13"/>
      <c r="L26" s="57"/>
      <c r="M26" s="57"/>
      <c r="P26" s="28"/>
      <c r="R26" s="51"/>
      <c r="S26" s="48"/>
    </row>
    <row r="27" spans="1:20" ht="15.75" thickBot="1" x14ac:dyDescent="0.3">
      <c r="A27" s="55" t="s">
        <v>121</v>
      </c>
      <c r="B27" s="55"/>
      <c r="C27" s="55"/>
      <c r="D27" s="56"/>
      <c r="H27" s="57"/>
      <c r="I27" s="57"/>
      <c r="J27" s="57"/>
      <c r="K27" s="13"/>
      <c r="L27" s="57"/>
      <c r="M27" s="57"/>
      <c r="P27" s="63">
        <f>+P25-E25</f>
        <v>0</v>
      </c>
      <c r="Q27" s="62">
        <f>SUM(Q11:Q23)</f>
        <v>0</v>
      </c>
      <c r="R27" s="51"/>
      <c r="S27" s="48"/>
    </row>
    <row r="28" spans="1:20" x14ac:dyDescent="0.25">
      <c r="E28" s="63"/>
      <c r="I28" s="57"/>
      <c r="J28" s="57"/>
      <c r="R28" s="51"/>
      <c r="S28" s="48"/>
    </row>
    <row r="29" spans="1:20" x14ac:dyDescent="0.25">
      <c r="B29" s="82" t="s">
        <v>140</v>
      </c>
      <c r="C29" s="82" t="s">
        <v>165</v>
      </c>
      <c r="D29" s="82" t="s">
        <v>165</v>
      </c>
      <c r="F29" s="39"/>
      <c r="G29" s="39"/>
      <c r="H29" s="39"/>
      <c r="I29" s="51"/>
      <c r="J29" s="51"/>
      <c r="K29" s="146" t="s">
        <v>88</v>
      </c>
      <c r="R29" s="51"/>
      <c r="S29" s="48"/>
    </row>
    <row r="30" spans="1:20" x14ac:dyDescent="0.25">
      <c r="A30" s="64" t="s">
        <v>62</v>
      </c>
      <c r="B30" s="118" t="s">
        <v>134</v>
      </c>
      <c r="C30" s="119" t="s">
        <v>64</v>
      </c>
      <c r="D30" s="119" t="s">
        <v>65</v>
      </c>
      <c r="E30" s="120" t="s">
        <v>66</v>
      </c>
      <c r="F30" s="39"/>
      <c r="G30" s="39"/>
      <c r="H30" s="39"/>
      <c r="I30" s="51"/>
      <c r="J30" s="51"/>
      <c r="K30" s="147" t="s">
        <v>63</v>
      </c>
      <c r="N30" s="144" t="s">
        <v>64</v>
      </c>
      <c r="O30" s="145" t="s">
        <v>65</v>
      </c>
      <c r="P30" s="120" t="s">
        <v>66</v>
      </c>
      <c r="R30" s="51"/>
      <c r="S30" s="48"/>
    </row>
    <row r="31" spans="1:20" x14ac:dyDescent="0.25">
      <c r="A31" s="55" t="s">
        <v>52</v>
      </c>
      <c r="B31" s="135">
        <v>197</v>
      </c>
      <c r="C31" s="135">
        <v>23.4</v>
      </c>
      <c r="D31" s="135">
        <v>14.43</v>
      </c>
      <c r="E31" s="135">
        <f>(B31*C31+B31*D31*1.17)*12</f>
        <v>95229.248399999982</v>
      </c>
      <c r="F31" s="27">
        <v>175</v>
      </c>
      <c r="G31" s="26">
        <v>26</v>
      </c>
      <c r="H31" s="13">
        <f t="shared" ref="H31:H70" si="11">+G31*F31*B31/2000</f>
        <v>448.17500000000001</v>
      </c>
      <c r="I31" s="57">
        <f>+F31*$I$8</f>
        <v>75.015685962705433</v>
      </c>
      <c r="J31" s="57">
        <f>+G31*I31*B31/2000</f>
        <v>192.1151717504886</v>
      </c>
      <c r="K31" s="13">
        <f>+I31*$K$10</f>
        <v>0.13243916391007374</v>
      </c>
      <c r="M31" s="57">
        <f>+K31/$M$10</f>
        <v>0.13515579539756478</v>
      </c>
      <c r="N31" s="60">
        <f>ROUND(C31+M31,2)</f>
        <v>23.54</v>
      </c>
      <c r="O31" s="60">
        <f>ROUND(D31+M31,2)</f>
        <v>14.57</v>
      </c>
      <c r="P31" s="13">
        <f>(B31*N31+B31*O31*1.17)*12</f>
        <v>95947.431600000011</v>
      </c>
      <c r="Q31" s="13">
        <f>+P31-E31</f>
        <v>718.18320000002859</v>
      </c>
      <c r="R31" s="51"/>
      <c r="S31" s="48">
        <f>(N31-C31)/C31</f>
        <v>5.9829059829060076E-3</v>
      </c>
    </row>
    <row r="32" spans="1:20" x14ac:dyDescent="0.25">
      <c r="A32" s="55" t="s">
        <v>51</v>
      </c>
      <c r="B32" s="135">
        <v>320</v>
      </c>
      <c r="C32" s="135">
        <v>23.4</v>
      </c>
      <c r="D32" s="135">
        <v>14.43</v>
      </c>
      <c r="E32" s="135">
        <f>(B32*C32+B32*D32*3.33)*12</f>
        <v>274375.29599999997</v>
      </c>
      <c r="F32" s="27">
        <v>175</v>
      </c>
      <c r="G32" s="26">
        <v>52</v>
      </c>
      <c r="H32" s="13">
        <f t="shared" si="11"/>
        <v>1456</v>
      </c>
      <c r="I32" s="57">
        <f t="shared" si="9"/>
        <v>75.015685962705433</v>
      </c>
      <c r="J32" s="57">
        <f>+G32*I32*B32/2000</f>
        <v>624.13050720970909</v>
      </c>
      <c r="K32" s="13">
        <f t="shared" ref="K32:K119" si="12">+I32*$K$10</f>
        <v>0.13243916391007374</v>
      </c>
      <c r="M32" s="57">
        <f t="shared" ref="M32:M119" si="13">+K32/$M$10</f>
        <v>0.13515579539756478</v>
      </c>
      <c r="N32" s="60">
        <f t="shared" ref="N32:N119" si="14">ROUND(C32+M32,2)</f>
        <v>23.54</v>
      </c>
      <c r="O32" s="60">
        <f t="shared" ref="O32:O99" si="15">ROUND(D32+M32,2)</f>
        <v>14.57</v>
      </c>
      <c r="P32" s="13">
        <f>(B32*N32+B32*O32*3.33)*12</f>
        <v>276703.10399999993</v>
      </c>
      <c r="Q32" s="13">
        <f t="shared" ref="Q32:Q118" si="16">+P32-E32</f>
        <v>2327.8079999999609</v>
      </c>
      <c r="R32" s="51"/>
      <c r="S32" s="48">
        <f t="shared" ref="S32:S113" si="17">(N32-C32)/C32</f>
        <v>5.9829059829060076E-3</v>
      </c>
    </row>
    <row r="33" spans="1:19" x14ac:dyDescent="0.25">
      <c r="A33" s="55" t="s">
        <v>50</v>
      </c>
      <c r="B33" s="135">
        <v>7</v>
      </c>
      <c r="C33" s="135">
        <v>23.4</v>
      </c>
      <c r="D33" s="135">
        <v>14.43</v>
      </c>
      <c r="E33" s="135">
        <f>(B33*C33+B33*D33*7.66)*12</f>
        <v>11250.439199999999</v>
      </c>
      <c r="F33" s="27">
        <v>175</v>
      </c>
      <c r="G33" s="26">
        <v>104</v>
      </c>
      <c r="H33" s="13">
        <f t="shared" si="11"/>
        <v>63.7</v>
      </c>
      <c r="I33" s="57">
        <f t="shared" si="9"/>
        <v>75.015685962705433</v>
      </c>
      <c r="J33" s="57">
        <f>+G33*I33*B33/2000</f>
        <v>27.305709690424777</v>
      </c>
      <c r="K33" s="13">
        <f t="shared" si="12"/>
        <v>0.13243916391007374</v>
      </c>
      <c r="M33" s="57">
        <f t="shared" si="13"/>
        <v>0.13515579539756478</v>
      </c>
      <c r="N33" s="60">
        <f t="shared" si="14"/>
        <v>23.54</v>
      </c>
      <c r="O33" s="60">
        <f t="shared" si="15"/>
        <v>14.57</v>
      </c>
      <c r="P33" s="13">
        <f>(B33*N33+B33*O33*7.66)*12</f>
        <v>11352.2808</v>
      </c>
      <c r="Q33" s="13">
        <f t="shared" si="16"/>
        <v>101.84160000000156</v>
      </c>
      <c r="R33" s="51"/>
      <c r="S33" s="48">
        <f t="shared" si="17"/>
        <v>5.9829059829060076E-3</v>
      </c>
    </row>
    <row r="34" spans="1:19" x14ac:dyDescent="0.25">
      <c r="A34" s="55" t="s">
        <v>49</v>
      </c>
      <c r="B34" s="135">
        <v>6</v>
      </c>
      <c r="C34" s="135">
        <v>23.4</v>
      </c>
      <c r="D34" s="135">
        <v>14.43</v>
      </c>
      <c r="E34" s="135">
        <f>(B34*C34+B34*D34*11.99)*12</f>
        <v>14141.930400000001</v>
      </c>
      <c r="F34" s="27">
        <v>175</v>
      </c>
      <c r="G34" s="136">
        <f>52*3</f>
        <v>156</v>
      </c>
      <c r="H34" s="13">
        <f>+G34*F34*B34/2000</f>
        <v>81.900000000000006</v>
      </c>
      <c r="I34" s="57">
        <f t="shared" si="9"/>
        <v>75.015685962705433</v>
      </c>
      <c r="J34" s="57">
        <f>+G34*I34*B34/2000</f>
        <v>35.107341030546145</v>
      </c>
      <c r="K34" s="13">
        <f t="shared" si="12"/>
        <v>0.13243916391007374</v>
      </c>
      <c r="M34" s="57">
        <f t="shared" si="13"/>
        <v>0.13515579539756478</v>
      </c>
      <c r="N34" s="60">
        <f t="shared" si="14"/>
        <v>23.54</v>
      </c>
      <c r="O34" s="60">
        <f t="shared" si="15"/>
        <v>14.57</v>
      </c>
      <c r="P34" s="13">
        <f>(B34*N34+B34*O34*11.99)*12</f>
        <v>14272.8696</v>
      </c>
      <c r="Q34" s="13">
        <f t="shared" si="16"/>
        <v>130.93919999999889</v>
      </c>
      <c r="R34" s="51"/>
      <c r="S34" s="48">
        <f t="shared" si="17"/>
        <v>5.9829059829060076E-3</v>
      </c>
    </row>
    <row r="35" spans="1:19" x14ac:dyDescent="0.25">
      <c r="A35" s="55" t="s">
        <v>142</v>
      </c>
      <c r="B35" s="135">
        <v>0</v>
      </c>
      <c r="C35" s="135">
        <v>23.4</v>
      </c>
      <c r="D35" s="135">
        <v>14.43</v>
      </c>
      <c r="E35" s="135">
        <f>(B35*C35+B35*D35*16.32)*12</f>
        <v>0</v>
      </c>
      <c r="F35" s="27">
        <v>175</v>
      </c>
      <c r="G35" s="136">
        <v>208</v>
      </c>
      <c r="H35" s="13">
        <f t="shared" si="11"/>
        <v>0</v>
      </c>
      <c r="I35" s="57">
        <f t="shared" ref="I35:I37" si="18">+F35*$I$8</f>
        <v>75.015685962705433</v>
      </c>
      <c r="J35" s="57">
        <f>+G35*I35*B35/2000</f>
        <v>0</v>
      </c>
      <c r="K35" s="13">
        <f>+I35*$K$10</f>
        <v>0.13243916391007374</v>
      </c>
      <c r="M35" s="57">
        <f t="shared" ref="M35:M37" si="19">+K35/$M$10</f>
        <v>0.13515579539756478</v>
      </c>
      <c r="N35" s="60">
        <f>ROUND(C35+M35,2)</f>
        <v>23.54</v>
      </c>
      <c r="O35" s="60">
        <f t="shared" ref="O35" si="20">ROUND(D35+M35,2)</f>
        <v>14.57</v>
      </c>
      <c r="P35" s="13">
        <f>(B35*N35+B35*O35*16.32)*12</f>
        <v>0</v>
      </c>
      <c r="Q35" s="13">
        <f t="shared" ref="Q35" si="21">+P35-E35</f>
        <v>0</v>
      </c>
      <c r="R35" s="51"/>
      <c r="S35" s="48">
        <f t="shared" si="17"/>
        <v>5.9829059829060076E-3</v>
      </c>
    </row>
    <row r="36" spans="1:19" x14ac:dyDescent="0.25">
      <c r="A36" s="59" t="s">
        <v>167</v>
      </c>
      <c r="B36" s="135">
        <v>0</v>
      </c>
      <c r="C36" s="135">
        <v>23.4</v>
      </c>
      <c r="D36" s="135">
        <v>14.43</v>
      </c>
      <c r="E36" s="135">
        <f>(B36*C36+B36*D36*20.65)*12</f>
        <v>0</v>
      </c>
      <c r="F36" s="27">
        <v>175</v>
      </c>
      <c r="G36" s="136">
        <v>260</v>
      </c>
      <c r="H36" s="13">
        <f>+G36*F36*B36/2000</f>
        <v>0</v>
      </c>
      <c r="I36" s="57">
        <f t="shared" si="18"/>
        <v>75.015685962705433</v>
      </c>
      <c r="J36" s="57">
        <f t="shared" ref="J36" si="22">+G36*I36*B36/2000</f>
        <v>0</v>
      </c>
      <c r="K36" s="13">
        <f t="shared" ref="K36" si="23">+I36*$K$10</f>
        <v>0.13243916391007374</v>
      </c>
      <c r="M36" s="57">
        <f t="shared" si="19"/>
        <v>0.13515579539756478</v>
      </c>
      <c r="N36" s="60">
        <f t="shared" ref="N36:N37" si="24">ROUND(C36+M36,2)</f>
        <v>23.54</v>
      </c>
      <c r="O36" s="60">
        <f t="shared" ref="O36:O37" si="25">ROUND(D36+M36,2)</f>
        <v>14.57</v>
      </c>
      <c r="P36" s="13">
        <f>(B36*N36+B36*O36*20.65)*12</f>
        <v>0</v>
      </c>
      <c r="Q36" s="13">
        <f t="shared" ref="Q36:Q37" si="26">+P36-E36</f>
        <v>0</v>
      </c>
      <c r="R36" s="51"/>
      <c r="S36" s="48">
        <f t="shared" ref="S36:S37" si="27">(N36-C36)/C36</f>
        <v>5.9829059829060076E-3</v>
      </c>
    </row>
    <row r="37" spans="1:19" x14ac:dyDescent="0.25">
      <c r="A37" s="59" t="s">
        <v>168</v>
      </c>
      <c r="B37" s="135">
        <v>0</v>
      </c>
      <c r="C37" s="135">
        <v>23.4</v>
      </c>
      <c r="D37" s="135">
        <v>14.43</v>
      </c>
      <c r="E37" s="135">
        <f>(B37*C37+B37*D37*24.98)*12</f>
        <v>0</v>
      </c>
      <c r="F37" s="27">
        <v>175</v>
      </c>
      <c r="G37" s="136">
        <v>312</v>
      </c>
      <c r="H37" s="13">
        <f t="shared" si="11"/>
        <v>0</v>
      </c>
      <c r="I37" s="57">
        <f t="shared" si="18"/>
        <v>75.015685962705433</v>
      </c>
      <c r="J37" s="57">
        <f>+G37*I37*B37/2000</f>
        <v>0</v>
      </c>
      <c r="K37" s="13">
        <f>+I37*$K$10</f>
        <v>0.13243916391007374</v>
      </c>
      <c r="M37" s="57">
        <f t="shared" si="19"/>
        <v>0.13515579539756478</v>
      </c>
      <c r="N37" s="60">
        <f t="shared" si="24"/>
        <v>23.54</v>
      </c>
      <c r="O37" s="60">
        <f t="shared" si="25"/>
        <v>14.57</v>
      </c>
      <c r="P37" s="13">
        <f>(B37*N37+B37*O37*24.98)*12</f>
        <v>0</v>
      </c>
      <c r="Q37" s="13">
        <f t="shared" si="26"/>
        <v>0</v>
      </c>
      <c r="R37" s="51"/>
      <c r="S37" s="48">
        <f t="shared" si="27"/>
        <v>5.9829059829060076E-3</v>
      </c>
    </row>
    <row r="38" spans="1:19" x14ac:dyDescent="0.25">
      <c r="A38" s="137" t="s">
        <v>169</v>
      </c>
      <c r="B38" s="135">
        <v>4</v>
      </c>
      <c r="C38" s="135">
        <v>62.17</v>
      </c>
      <c r="D38" s="135">
        <v>62.17</v>
      </c>
      <c r="E38" s="135">
        <f>(B38*C38+B38*D38*3.33)*12</f>
        <v>12921.4128</v>
      </c>
      <c r="F38" s="136">
        <v>689</v>
      </c>
      <c r="G38" s="136">
        <v>52</v>
      </c>
      <c r="H38" s="13">
        <f t="shared" ref="H38" si="28">+G38*F38*B38/2000</f>
        <v>71.656000000000006</v>
      </c>
      <c r="I38" s="51">
        <f>+F38*$I$8</f>
        <v>295.34747216173736</v>
      </c>
      <c r="J38" s="57">
        <f>+G38*I38*B38/2000</f>
        <v>30.716137104820685</v>
      </c>
      <c r="K38" s="13">
        <f>+I38*$K$10</f>
        <v>0.52143190819451879</v>
      </c>
      <c r="M38" s="57">
        <f>+K38/$M$10</f>
        <v>0.53212767445098352</v>
      </c>
      <c r="N38" s="60">
        <f t="shared" ref="N38" si="29">ROUND(C38+M38,2)</f>
        <v>62.7</v>
      </c>
      <c r="O38" s="60">
        <f t="shared" ref="O38" si="30">ROUND(D38+M38,2)</f>
        <v>62.7</v>
      </c>
      <c r="P38" s="13">
        <f>(B38*N38+B38*O38*3.33)*12</f>
        <v>13031.568000000003</v>
      </c>
      <c r="Q38" s="13">
        <f>+P38-E38</f>
        <v>110.15520000000288</v>
      </c>
      <c r="R38" s="51"/>
      <c r="S38" s="48">
        <f t="shared" ref="S38" si="31">(N38-C38)/C38</f>
        <v>8.5250120636963349E-3</v>
      </c>
    </row>
    <row r="39" spans="1:19" x14ac:dyDescent="0.25">
      <c r="A39" s="55" t="s">
        <v>48</v>
      </c>
      <c r="B39" s="135">
        <v>74</v>
      </c>
      <c r="C39" s="135">
        <v>31</v>
      </c>
      <c r="D39" s="135">
        <v>20.34</v>
      </c>
      <c r="E39" s="135">
        <f>(B39*C39+B39*D39*1.17)*12</f>
        <v>48660.446400000001</v>
      </c>
      <c r="F39" s="27">
        <v>250</v>
      </c>
      <c r="G39" s="136">
        <f>+G31</f>
        <v>26</v>
      </c>
      <c r="H39" s="13">
        <f t="shared" si="11"/>
        <v>240.5</v>
      </c>
      <c r="I39" s="57">
        <f t="shared" si="9"/>
        <v>107.16526566100775</v>
      </c>
      <c r="J39" s="57">
        <f t="shared" ref="J39:J70" si="32">+G39*I39*B39/2000</f>
        <v>103.09298556588946</v>
      </c>
      <c r="K39" s="13">
        <f t="shared" si="12"/>
        <v>0.18919880558581958</v>
      </c>
      <c r="M39" s="57">
        <f t="shared" si="13"/>
        <v>0.19307970771080679</v>
      </c>
      <c r="N39" s="60">
        <f t="shared" si="14"/>
        <v>31.19</v>
      </c>
      <c r="O39" s="60">
        <f t="shared" si="15"/>
        <v>20.53</v>
      </c>
      <c r="P39" s="13">
        <f>(B39*N39+B39*O39*1.17)*12</f>
        <v>49026.568800000001</v>
      </c>
      <c r="Q39" s="13">
        <f t="shared" si="16"/>
        <v>366.1224000000002</v>
      </c>
      <c r="R39" s="51"/>
      <c r="S39" s="48">
        <f t="shared" si="17"/>
        <v>6.1290322580645571E-3</v>
      </c>
    </row>
    <row r="40" spans="1:19" x14ac:dyDescent="0.25">
      <c r="A40" s="55" t="s">
        <v>47</v>
      </c>
      <c r="B40" s="135">
        <v>231</v>
      </c>
      <c r="C40" s="135">
        <v>31</v>
      </c>
      <c r="D40" s="135">
        <v>20.34</v>
      </c>
      <c r="E40" s="135">
        <f>(B40*C40+B40*D40*3.33)*12</f>
        <v>273685.65840000001</v>
      </c>
      <c r="F40" s="27">
        <v>250</v>
      </c>
      <c r="G40" s="26">
        <f>+G32</f>
        <v>52</v>
      </c>
      <c r="H40" s="13">
        <f t="shared" si="11"/>
        <v>1501.5</v>
      </c>
      <c r="I40" s="57">
        <f t="shared" si="9"/>
        <v>107.16526566100775</v>
      </c>
      <c r="J40" s="57">
        <f t="shared" si="32"/>
        <v>643.63458556001262</v>
      </c>
      <c r="K40" s="13">
        <f t="shared" si="12"/>
        <v>0.18919880558581958</v>
      </c>
      <c r="M40" s="57">
        <f t="shared" si="13"/>
        <v>0.19307970771080679</v>
      </c>
      <c r="N40" s="60">
        <f t="shared" si="14"/>
        <v>31.19</v>
      </c>
      <c r="O40" s="60">
        <f t="shared" si="15"/>
        <v>20.53</v>
      </c>
      <c r="P40" s="13">
        <f>(B40*N40+B40*O40*3.33)*12</f>
        <v>275966.18280000007</v>
      </c>
      <c r="Q40" s="13">
        <f t="shared" si="16"/>
        <v>2280.524400000053</v>
      </c>
      <c r="R40" s="51"/>
      <c r="S40" s="48">
        <f t="shared" si="17"/>
        <v>6.1290322580645571E-3</v>
      </c>
    </row>
    <row r="41" spans="1:19" x14ac:dyDescent="0.25">
      <c r="A41" s="55" t="s">
        <v>46</v>
      </c>
      <c r="B41" s="135">
        <v>27</v>
      </c>
      <c r="C41" s="135">
        <v>31</v>
      </c>
      <c r="D41" s="135">
        <v>20.34</v>
      </c>
      <c r="E41" s="135">
        <f>(B41*C41+B41*D41*7.66)*12</f>
        <v>60524.625599999999</v>
      </c>
      <c r="F41" s="27">
        <v>250</v>
      </c>
      <c r="G41" s="26">
        <f>+G33</f>
        <v>104</v>
      </c>
      <c r="H41" s="13">
        <f t="shared" si="11"/>
        <v>351</v>
      </c>
      <c r="I41" s="57">
        <f t="shared" si="9"/>
        <v>107.16526566100775</v>
      </c>
      <c r="J41" s="57">
        <f t="shared" si="32"/>
        <v>150.46003298805488</v>
      </c>
      <c r="K41" s="13">
        <f t="shared" si="12"/>
        <v>0.18919880558581958</v>
      </c>
      <c r="M41" s="57">
        <f t="shared" si="13"/>
        <v>0.19307970771080679</v>
      </c>
      <c r="N41" s="60">
        <f t="shared" si="14"/>
        <v>31.19</v>
      </c>
      <c r="O41" s="60">
        <f t="shared" si="15"/>
        <v>20.53</v>
      </c>
      <c r="P41" s="13">
        <f>(B41*N41+B41*O41*7.66)*12</f>
        <v>61057.73520000001</v>
      </c>
      <c r="Q41" s="13">
        <f t="shared" si="16"/>
        <v>533.10960000001069</v>
      </c>
      <c r="R41" s="51"/>
      <c r="S41" s="48">
        <f t="shared" si="17"/>
        <v>6.1290322580645571E-3</v>
      </c>
    </row>
    <row r="42" spans="1:19" x14ac:dyDescent="0.25">
      <c r="A42" s="55" t="s">
        <v>45</v>
      </c>
      <c r="B42" s="135">
        <v>8</v>
      </c>
      <c r="C42" s="135">
        <v>31</v>
      </c>
      <c r="D42" s="135">
        <v>20.34</v>
      </c>
      <c r="E42" s="135">
        <f>(B42*C42+B42*D42*11.99)*12</f>
        <v>26388.153599999998</v>
      </c>
      <c r="F42" s="27">
        <v>250</v>
      </c>
      <c r="G42" s="136">
        <f>+G34</f>
        <v>156</v>
      </c>
      <c r="H42" s="13">
        <f t="shared" si="11"/>
        <v>156</v>
      </c>
      <c r="I42" s="57">
        <f t="shared" si="9"/>
        <v>107.16526566100775</v>
      </c>
      <c r="J42" s="57">
        <f t="shared" si="32"/>
        <v>66.871125772468829</v>
      </c>
      <c r="K42" s="13">
        <f t="shared" si="12"/>
        <v>0.18919880558581958</v>
      </c>
      <c r="M42" s="57">
        <f t="shared" si="13"/>
        <v>0.19307970771080679</v>
      </c>
      <c r="N42" s="60">
        <f t="shared" si="14"/>
        <v>31.19</v>
      </c>
      <c r="O42" s="60">
        <f t="shared" si="15"/>
        <v>20.53</v>
      </c>
      <c r="P42" s="13">
        <f>(B42*N42+B42*O42*11.99)*12</f>
        <v>26625.091200000003</v>
      </c>
      <c r="Q42" s="13">
        <f t="shared" si="16"/>
        <v>236.93760000000475</v>
      </c>
      <c r="R42" s="51"/>
      <c r="S42" s="48">
        <f t="shared" si="17"/>
        <v>6.1290322580645571E-3</v>
      </c>
    </row>
    <row r="43" spans="1:19" x14ac:dyDescent="0.25">
      <c r="A43" s="55" t="s">
        <v>143</v>
      </c>
      <c r="B43" s="135">
        <v>0</v>
      </c>
      <c r="C43" s="135">
        <v>31</v>
      </c>
      <c r="D43" s="135">
        <v>20.34</v>
      </c>
      <c r="E43" s="135">
        <f>(B43*C43+B43*D43*16.32)*12</f>
        <v>0</v>
      </c>
      <c r="F43" s="27">
        <v>250</v>
      </c>
      <c r="G43" s="136">
        <f>+G35</f>
        <v>208</v>
      </c>
      <c r="H43" s="13">
        <f t="shared" si="11"/>
        <v>0</v>
      </c>
      <c r="I43" s="57">
        <f t="shared" ref="I43" si="33">+F43*$I$8</f>
        <v>107.16526566100775</v>
      </c>
      <c r="J43" s="57">
        <f t="shared" si="32"/>
        <v>0</v>
      </c>
      <c r="K43" s="13">
        <f t="shared" ref="K43" si="34">+I43*$K$10</f>
        <v>0.18919880558581958</v>
      </c>
      <c r="M43" s="57">
        <f t="shared" ref="M43" si="35">+K43/$M$10</f>
        <v>0.19307970771080679</v>
      </c>
      <c r="N43" s="60">
        <f t="shared" ref="N43" si="36">ROUND(C43+M43,2)</f>
        <v>31.19</v>
      </c>
      <c r="O43" s="60">
        <f t="shared" ref="O43" si="37">ROUND(D43+M43,2)</f>
        <v>20.53</v>
      </c>
      <c r="P43" s="13">
        <f>(B43*N43+B43*O43*16.32)*12</f>
        <v>0</v>
      </c>
      <c r="Q43" s="13">
        <f t="shared" ref="Q43" si="38">+P43-E43</f>
        <v>0</v>
      </c>
      <c r="R43" s="51"/>
      <c r="S43" s="48">
        <f t="shared" si="17"/>
        <v>6.1290322580645571E-3</v>
      </c>
    </row>
    <row r="44" spans="1:19" x14ac:dyDescent="0.25">
      <c r="A44" s="59" t="s">
        <v>170</v>
      </c>
      <c r="B44" s="135">
        <v>0</v>
      </c>
      <c r="C44" s="135">
        <v>31</v>
      </c>
      <c r="D44" s="135">
        <v>20.34</v>
      </c>
      <c r="E44" s="135">
        <f>(B44*C44+B44*D44*20.65)*12</f>
        <v>0</v>
      </c>
      <c r="F44" s="27">
        <v>250</v>
      </c>
      <c r="G44" s="136">
        <v>260</v>
      </c>
      <c r="H44" s="13">
        <f t="shared" ref="H44:H45" si="39">+G44*F44*B44/2000</f>
        <v>0</v>
      </c>
      <c r="I44" s="57">
        <f t="shared" ref="I44:I45" si="40">+F44*$I$8</f>
        <v>107.16526566100775</v>
      </c>
      <c r="J44" s="57">
        <f t="shared" ref="J44:J45" si="41">+G44*I44*B44/2000</f>
        <v>0</v>
      </c>
      <c r="K44" s="13">
        <f t="shared" ref="K44:K45" si="42">+I44*$K$10</f>
        <v>0.18919880558581958</v>
      </c>
      <c r="M44" s="57">
        <f t="shared" ref="M44:M45" si="43">+K44/$M$10</f>
        <v>0.19307970771080679</v>
      </c>
      <c r="N44" s="60">
        <f t="shared" ref="N44:N45" si="44">ROUND(C44+M44,2)</f>
        <v>31.19</v>
      </c>
      <c r="O44" s="60">
        <f t="shared" ref="O44:O45" si="45">ROUND(D44+M44,2)</f>
        <v>20.53</v>
      </c>
      <c r="P44" s="13">
        <f>(B44*N44+B44*O44*20.65)*12</f>
        <v>0</v>
      </c>
      <c r="Q44" s="13">
        <f t="shared" ref="Q44:Q45" si="46">+P44-E44</f>
        <v>0</v>
      </c>
      <c r="R44" s="51"/>
      <c r="S44" s="48">
        <f t="shared" ref="S44:S45" si="47">(N44-C44)/C44</f>
        <v>6.1290322580645571E-3</v>
      </c>
    </row>
    <row r="45" spans="1:19" x14ac:dyDescent="0.25">
      <c r="A45" s="59" t="s">
        <v>171</v>
      </c>
      <c r="B45" s="135">
        <v>0</v>
      </c>
      <c r="C45" s="135">
        <v>31</v>
      </c>
      <c r="D45" s="135">
        <v>20.34</v>
      </c>
      <c r="E45" s="135">
        <f>(B45*C45+B45*D45*24.98)*12</f>
        <v>0</v>
      </c>
      <c r="F45" s="27">
        <v>250</v>
      </c>
      <c r="G45" s="136">
        <v>312</v>
      </c>
      <c r="H45" s="13">
        <f t="shared" si="39"/>
        <v>0</v>
      </c>
      <c r="I45" s="57">
        <f t="shared" si="40"/>
        <v>107.16526566100775</v>
      </c>
      <c r="J45" s="57">
        <f t="shared" si="41"/>
        <v>0</v>
      </c>
      <c r="K45" s="13">
        <f t="shared" si="42"/>
        <v>0.18919880558581958</v>
      </c>
      <c r="M45" s="57">
        <f t="shared" si="43"/>
        <v>0.19307970771080679</v>
      </c>
      <c r="N45" s="60">
        <f t="shared" si="44"/>
        <v>31.19</v>
      </c>
      <c r="O45" s="60">
        <f t="shared" si="45"/>
        <v>20.53</v>
      </c>
      <c r="P45" s="13">
        <f>(B45*N45+B45*O45*24.98)*12</f>
        <v>0</v>
      </c>
      <c r="Q45" s="13">
        <f t="shared" si="46"/>
        <v>0</v>
      </c>
      <c r="R45" s="51"/>
      <c r="S45" s="48">
        <f t="shared" si="47"/>
        <v>6.1290322580645571E-3</v>
      </c>
    </row>
    <row r="46" spans="1:19" x14ac:dyDescent="0.25">
      <c r="A46" s="55" t="s">
        <v>44</v>
      </c>
      <c r="B46" s="135">
        <v>3</v>
      </c>
      <c r="C46" s="135">
        <v>78.239999999999995</v>
      </c>
      <c r="D46" s="135">
        <v>78.239999999999995</v>
      </c>
      <c r="E46" s="135">
        <f>(B46*C46+B46*D46*3.33)*12</f>
        <v>12196.051199999998</v>
      </c>
      <c r="F46" s="136">
        <v>892</v>
      </c>
      <c r="G46" s="26">
        <v>52</v>
      </c>
      <c r="H46" s="13">
        <f t="shared" si="11"/>
        <v>69.575999999999993</v>
      </c>
      <c r="I46" s="57">
        <f t="shared" si="9"/>
        <v>382.36566787847568</v>
      </c>
      <c r="J46" s="57">
        <f t="shared" si="32"/>
        <v>29.8245220945211</v>
      </c>
      <c r="K46" s="13">
        <f t="shared" si="12"/>
        <v>0.67506133833020432</v>
      </c>
      <c r="M46" s="57">
        <f t="shared" si="13"/>
        <v>0.68890839711215868</v>
      </c>
      <c r="N46" s="60">
        <f t="shared" si="14"/>
        <v>78.930000000000007</v>
      </c>
      <c r="O46" s="60">
        <f t="shared" si="15"/>
        <v>78.930000000000007</v>
      </c>
      <c r="P46" s="13">
        <f>(B46*N46+B46*O46*3.33)*12</f>
        <v>12303.608400000001</v>
      </c>
      <c r="Q46" s="13">
        <f t="shared" si="16"/>
        <v>107.55720000000292</v>
      </c>
      <c r="R46" s="51"/>
      <c r="S46" s="48">
        <f t="shared" si="17"/>
        <v>8.8190184049081292E-3</v>
      </c>
    </row>
    <row r="47" spans="1:19" x14ac:dyDescent="0.25">
      <c r="A47" s="59" t="s">
        <v>172</v>
      </c>
      <c r="B47" s="135">
        <v>1</v>
      </c>
      <c r="C47" s="135">
        <v>78.239999999999995</v>
      </c>
      <c r="D47" s="135">
        <v>78.239999999999995</v>
      </c>
      <c r="E47" s="135">
        <f>(B47*C47+B47*D47*7.66)*12</f>
        <v>8130.7008000000005</v>
      </c>
      <c r="F47" s="136">
        <v>892</v>
      </c>
      <c r="G47" s="26">
        <v>104</v>
      </c>
      <c r="H47" s="13">
        <f t="shared" ref="H47" si="48">+G47*F47*B47/2000</f>
        <v>46.384</v>
      </c>
      <c r="I47" s="57">
        <f t="shared" ref="I47" si="49">+F47*$I$8</f>
        <v>382.36566787847568</v>
      </c>
      <c r="J47" s="57">
        <f t="shared" ref="J47" si="50">+G47*I47*B47/2000</f>
        <v>19.883014729680735</v>
      </c>
      <c r="K47" s="13">
        <f t="shared" ref="K47" si="51">+I47*$K$10</f>
        <v>0.67506133833020432</v>
      </c>
      <c r="M47" s="57">
        <f t="shared" ref="M47" si="52">+K47/$M$10</f>
        <v>0.68890839711215868</v>
      </c>
      <c r="N47" s="60">
        <f t="shared" ref="N47" si="53">ROUND(C47+M47,2)</f>
        <v>78.930000000000007</v>
      </c>
      <c r="O47" s="60">
        <f t="shared" ref="O47" si="54">ROUND(D47+M47,2)</f>
        <v>78.930000000000007</v>
      </c>
      <c r="P47" s="13">
        <f>(B47*N47+B47*O47*7.66)*12</f>
        <v>8202.4056000000019</v>
      </c>
      <c r="Q47" s="13">
        <f t="shared" ref="Q47" si="55">+P47-E47</f>
        <v>71.704800000001342</v>
      </c>
      <c r="R47" s="51"/>
      <c r="S47" s="48">
        <f t="shared" ref="S47" si="56">(N47-C47)/C47</f>
        <v>8.8190184049081292E-3</v>
      </c>
    </row>
    <row r="48" spans="1:19" x14ac:dyDescent="0.25">
      <c r="A48" s="55" t="s">
        <v>43</v>
      </c>
      <c r="B48" s="135">
        <v>191</v>
      </c>
      <c r="C48" s="135">
        <v>38.479999999999997</v>
      </c>
      <c r="D48" s="135">
        <v>26.4</v>
      </c>
      <c r="E48" s="135">
        <f>(B48*C48+B48*D48*1.17)*12</f>
        <v>158991.45599999998</v>
      </c>
      <c r="F48" s="27">
        <v>324</v>
      </c>
      <c r="G48" s="136">
        <f>+G31</f>
        <v>26</v>
      </c>
      <c r="H48" s="13">
        <f t="shared" si="11"/>
        <v>804.49199999999996</v>
      </c>
      <c r="I48" s="57">
        <f t="shared" si="9"/>
        <v>138.88618429666604</v>
      </c>
      <c r="J48" s="57">
        <f t="shared" si="32"/>
        <v>344.85439560862176</v>
      </c>
      <c r="K48" s="13">
        <f t="shared" si="12"/>
        <v>0.24520165203922217</v>
      </c>
      <c r="M48" s="57">
        <f t="shared" si="13"/>
        <v>0.25023130119320564</v>
      </c>
      <c r="N48" s="60">
        <f t="shared" si="14"/>
        <v>38.729999999999997</v>
      </c>
      <c r="O48" s="60">
        <f t="shared" si="15"/>
        <v>26.65</v>
      </c>
      <c r="P48" s="13">
        <f>(B48*N48+B48*O48*1.17)*12</f>
        <v>160234.86599999998</v>
      </c>
      <c r="Q48" s="13">
        <f t="shared" si="16"/>
        <v>1243.4100000000035</v>
      </c>
      <c r="R48" s="51"/>
      <c r="S48" s="48">
        <f t="shared" si="17"/>
        <v>6.4968814968814972E-3</v>
      </c>
    </row>
    <row r="49" spans="1:19" x14ac:dyDescent="0.25">
      <c r="A49" s="55" t="s">
        <v>42</v>
      </c>
      <c r="B49" s="135">
        <v>502</v>
      </c>
      <c r="C49" s="135">
        <v>38.479999999999997</v>
      </c>
      <c r="D49" s="135">
        <v>26.4</v>
      </c>
      <c r="E49" s="135">
        <f>(B49*C49+B49*D49*3.33)*12</f>
        <v>761385.40800000005</v>
      </c>
      <c r="F49" s="27">
        <v>324</v>
      </c>
      <c r="G49" s="136">
        <f>+G32</f>
        <v>52</v>
      </c>
      <c r="H49" s="13">
        <f t="shared" si="11"/>
        <v>4228.848</v>
      </c>
      <c r="I49" s="57">
        <f t="shared" si="9"/>
        <v>138.88618429666604</v>
      </c>
      <c r="J49" s="57">
        <f t="shared" si="32"/>
        <v>1812.7424774400852</v>
      </c>
      <c r="K49" s="13">
        <f t="shared" si="12"/>
        <v>0.24520165203922217</v>
      </c>
      <c r="M49" s="57">
        <f t="shared" si="13"/>
        <v>0.25023130119320564</v>
      </c>
      <c r="N49" s="60">
        <f t="shared" si="14"/>
        <v>38.729999999999997</v>
      </c>
      <c r="O49" s="60">
        <f t="shared" si="15"/>
        <v>26.65</v>
      </c>
      <c r="P49" s="13">
        <f>(B49*N49+B49*O49*3.33)*12</f>
        <v>767906.38800000004</v>
      </c>
      <c r="Q49" s="13">
        <f t="shared" si="16"/>
        <v>6520.9799999999814</v>
      </c>
      <c r="R49" s="51"/>
      <c r="S49" s="48">
        <f t="shared" si="17"/>
        <v>6.4968814968814972E-3</v>
      </c>
    </row>
    <row r="50" spans="1:19" x14ac:dyDescent="0.25">
      <c r="A50" s="55" t="s">
        <v>41</v>
      </c>
      <c r="B50" s="135">
        <v>85</v>
      </c>
      <c r="C50" s="135">
        <v>38.479999999999997</v>
      </c>
      <c r="D50" s="135">
        <v>26.4</v>
      </c>
      <c r="E50" s="135">
        <f>(B50*C50+B50*D50*7.66)*12</f>
        <v>245518.08000000002</v>
      </c>
      <c r="F50" s="27">
        <v>324</v>
      </c>
      <c r="G50" s="136">
        <f>+G33</f>
        <v>104</v>
      </c>
      <c r="H50" s="13">
        <f t="shared" si="11"/>
        <v>1432.08</v>
      </c>
      <c r="I50" s="57">
        <f t="shared" si="9"/>
        <v>138.88618429666604</v>
      </c>
      <c r="J50" s="57">
        <f t="shared" si="32"/>
        <v>613.87693459126388</v>
      </c>
      <c r="K50" s="13">
        <f t="shared" si="12"/>
        <v>0.24520165203922217</v>
      </c>
      <c r="M50" s="57">
        <f t="shared" si="13"/>
        <v>0.25023130119320564</v>
      </c>
      <c r="N50" s="60">
        <f t="shared" si="14"/>
        <v>38.729999999999997</v>
      </c>
      <c r="O50" s="60">
        <f t="shared" si="15"/>
        <v>26.65</v>
      </c>
      <c r="P50" s="13">
        <f>(B50*N50+B50*O50*7.66)*12</f>
        <v>247726.37999999998</v>
      </c>
      <c r="Q50" s="13">
        <f t="shared" si="16"/>
        <v>2208.2999999999593</v>
      </c>
      <c r="R50" s="51"/>
      <c r="S50" s="48">
        <f t="shared" si="17"/>
        <v>6.4968814968814972E-3</v>
      </c>
    </row>
    <row r="51" spans="1:19" x14ac:dyDescent="0.25">
      <c r="A51" s="55" t="s">
        <v>40</v>
      </c>
      <c r="B51" s="135">
        <v>34</v>
      </c>
      <c r="C51" s="135">
        <v>38.479999999999997</v>
      </c>
      <c r="D51" s="135">
        <v>26.4</v>
      </c>
      <c r="E51" s="135">
        <f>(B51*C51+B51*D51*11.99)*12</f>
        <v>144846.52799999999</v>
      </c>
      <c r="F51" s="27">
        <v>324</v>
      </c>
      <c r="G51" s="136">
        <f>+G34</f>
        <v>156</v>
      </c>
      <c r="H51" s="13">
        <f t="shared" si="11"/>
        <v>859.24800000000005</v>
      </c>
      <c r="I51" s="57">
        <f t="shared" si="9"/>
        <v>138.88618429666604</v>
      </c>
      <c r="J51" s="57">
        <f t="shared" si="32"/>
        <v>368.3261607547584</v>
      </c>
      <c r="K51" s="13">
        <f t="shared" si="12"/>
        <v>0.24520165203922217</v>
      </c>
      <c r="M51" s="57">
        <f t="shared" si="13"/>
        <v>0.25023130119320564</v>
      </c>
      <c r="N51" s="60">
        <f t="shared" si="14"/>
        <v>38.729999999999997</v>
      </c>
      <c r="O51" s="60">
        <f t="shared" si="15"/>
        <v>26.65</v>
      </c>
      <c r="P51" s="13">
        <f>(B51*N51+B51*O51*11.99)*12</f>
        <v>146171.50799999997</v>
      </c>
      <c r="Q51" s="13">
        <f t="shared" si="16"/>
        <v>1324.9799999999814</v>
      </c>
      <c r="R51" s="51"/>
      <c r="S51" s="48">
        <f t="shared" si="17"/>
        <v>6.4968814968814972E-3</v>
      </c>
    </row>
    <row r="52" spans="1:19" x14ac:dyDescent="0.25">
      <c r="A52" s="59" t="s">
        <v>141</v>
      </c>
      <c r="B52" s="135">
        <v>2</v>
      </c>
      <c r="C52" s="135">
        <v>38.479999999999997</v>
      </c>
      <c r="D52" s="135">
        <v>26.4</v>
      </c>
      <c r="E52" s="135">
        <f>(B52*C52+B52*D52*16.32)*12</f>
        <v>11263.871999999999</v>
      </c>
      <c r="F52" s="136">
        <v>324</v>
      </c>
      <c r="G52" s="136">
        <f t="shared" ref="G52" si="57">+G35</f>
        <v>208</v>
      </c>
      <c r="H52" s="67">
        <f t="shared" si="11"/>
        <v>67.391999999999996</v>
      </c>
      <c r="I52" s="51">
        <f t="shared" ref="I52:I53" si="58">+F52*$I$8</f>
        <v>138.88618429666604</v>
      </c>
      <c r="J52" s="51">
        <f t="shared" si="32"/>
        <v>28.888326333706537</v>
      </c>
      <c r="K52" s="67">
        <f t="shared" ref="K52:K53" si="59">+I52*$K$10</f>
        <v>0.24520165203922217</v>
      </c>
      <c r="L52" s="39"/>
      <c r="M52" s="51">
        <f t="shared" ref="M52:M53" si="60">+K52/$M$10</f>
        <v>0.25023130119320564</v>
      </c>
      <c r="N52" s="60">
        <f t="shared" ref="N52:N53" si="61">ROUND(C52+M52,2)</f>
        <v>38.729999999999997</v>
      </c>
      <c r="O52" s="60">
        <f t="shared" ref="O52:O53" si="62">ROUND(D52+M52,2)</f>
        <v>26.65</v>
      </c>
      <c r="P52" s="67">
        <f>(B52*N52+B52*O52*16.32)*12</f>
        <v>11367.792000000001</v>
      </c>
      <c r="Q52" s="67">
        <f t="shared" ref="Q52:Q53" si="63">+P52-E52</f>
        <v>103.92000000000189</v>
      </c>
      <c r="R52" s="51"/>
      <c r="S52" s="48">
        <f t="shared" si="17"/>
        <v>6.4968814968814972E-3</v>
      </c>
    </row>
    <row r="53" spans="1:19" x14ac:dyDescent="0.25">
      <c r="A53" s="59" t="s">
        <v>144</v>
      </c>
      <c r="B53" s="135">
        <v>1</v>
      </c>
      <c r="C53" s="135">
        <v>38.479999999999997</v>
      </c>
      <c r="D53" s="135">
        <v>26.4</v>
      </c>
      <c r="E53" s="135">
        <f>(B53*C53+B53*D53*20.65)*12</f>
        <v>7003.68</v>
      </c>
      <c r="F53" s="136">
        <v>324</v>
      </c>
      <c r="G53" s="136">
        <v>260</v>
      </c>
      <c r="H53" s="67">
        <f t="shared" si="11"/>
        <v>42.12</v>
      </c>
      <c r="I53" s="51">
        <f t="shared" si="58"/>
        <v>138.88618429666604</v>
      </c>
      <c r="J53" s="51">
        <f t="shared" si="32"/>
        <v>18.055203958566583</v>
      </c>
      <c r="K53" s="67">
        <f t="shared" si="59"/>
        <v>0.24520165203922217</v>
      </c>
      <c r="L53" s="39"/>
      <c r="M53" s="51">
        <f t="shared" si="60"/>
        <v>0.25023130119320564</v>
      </c>
      <c r="N53" s="60">
        <f t="shared" si="61"/>
        <v>38.729999999999997</v>
      </c>
      <c r="O53" s="60">
        <f t="shared" si="62"/>
        <v>26.65</v>
      </c>
      <c r="P53" s="67">
        <f>(B53*N53+B53*O53*20.65)*12</f>
        <v>7068.6299999999992</v>
      </c>
      <c r="Q53" s="67">
        <f t="shared" si="63"/>
        <v>64.949999999998909</v>
      </c>
      <c r="R53" s="51"/>
      <c r="S53" s="48">
        <f t="shared" si="17"/>
        <v>6.4968814968814972E-3</v>
      </c>
    </row>
    <row r="54" spans="1:19" x14ac:dyDescent="0.25">
      <c r="A54" s="55" t="s">
        <v>39</v>
      </c>
      <c r="B54" s="135">
        <v>1</v>
      </c>
      <c r="C54" s="135">
        <v>38.479999999999997</v>
      </c>
      <c r="D54" s="135">
        <v>26.4</v>
      </c>
      <c r="E54" s="135">
        <f>(B54*C54+B54*D54*24.98)*12</f>
        <v>8375.4239999999991</v>
      </c>
      <c r="F54" s="27">
        <v>324</v>
      </c>
      <c r="G54" s="136">
        <f>52*6</f>
        <v>312</v>
      </c>
      <c r="H54" s="13">
        <f t="shared" si="11"/>
        <v>50.543999999999997</v>
      </c>
      <c r="I54" s="57">
        <f t="shared" si="9"/>
        <v>138.88618429666604</v>
      </c>
      <c r="J54" s="57">
        <f t="shared" si="32"/>
        <v>21.666244750279905</v>
      </c>
      <c r="K54" s="13">
        <f t="shared" si="12"/>
        <v>0.24520165203922217</v>
      </c>
      <c r="M54" s="57">
        <f t="shared" si="13"/>
        <v>0.25023130119320564</v>
      </c>
      <c r="N54" s="60">
        <f t="shared" si="14"/>
        <v>38.729999999999997</v>
      </c>
      <c r="O54" s="60">
        <f t="shared" si="15"/>
        <v>26.65</v>
      </c>
      <c r="P54" s="13">
        <f>(B54*N54+B54*O54*24.98)*12</f>
        <v>8453.3639999999996</v>
      </c>
      <c r="Q54" s="13">
        <f t="shared" si="16"/>
        <v>77.940000000000509</v>
      </c>
      <c r="R54" s="51"/>
      <c r="S54" s="48">
        <f t="shared" si="17"/>
        <v>6.4968814968814972E-3</v>
      </c>
    </row>
    <row r="55" spans="1:19" x14ac:dyDescent="0.25">
      <c r="A55" s="59" t="s">
        <v>166</v>
      </c>
      <c r="B55" s="135">
        <f>'[1]Commercial Final'!$D$50</f>
        <v>1</v>
      </c>
      <c r="C55" s="135">
        <v>106.51</v>
      </c>
      <c r="D55" s="135">
        <v>106.51</v>
      </c>
      <c r="E55" s="135">
        <f>(B55*C55+B55*D55*3.33)*12</f>
        <v>5534.2596000000003</v>
      </c>
      <c r="F55" s="66">
        <v>1301</v>
      </c>
      <c r="G55" s="26">
        <v>52</v>
      </c>
      <c r="H55" s="67">
        <f>+G55*F55*B55/2000</f>
        <v>33.826000000000001</v>
      </c>
      <c r="I55" s="57">
        <f>+F55*$I$8</f>
        <v>557.68804249988432</v>
      </c>
      <c r="J55" s="57">
        <f t="shared" si="32"/>
        <v>14.499889104996992</v>
      </c>
      <c r="K55" s="13">
        <f t="shared" si="12"/>
        <v>0.98459058426860513</v>
      </c>
      <c r="M55" s="57">
        <f t="shared" si="13"/>
        <v>1.0047867989270387</v>
      </c>
      <c r="N55" s="60">
        <f t="shared" si="14"/>
        <v>107.51</v>
      </c>
      <c r="O55" s="60">
        <f t="shared" si="15"/>
        <v>107.51</v>
      </c>
      <c r="P55" s="13">
        <f>(B55*N55+B55*O55*3.33)*12</f>
        <v>5586.2196000000004</v>
      </c>
      <c r="Q55" s="13">
        <f t="shared" si="16"/>
        <v>51.960000000000036</v>
      </c>
      <c r="R55" s="51"/>
      <c r="S55" s="48">
        <f t="shared" si="17"/>
        <v>9.3887897849967133E-3</v>
      </c>
    </row>
    <row r="56" spans="1:19" x14ac:dyDescent="0.25">
      <c r="A56" s="55" t="s">
        <v>38</v>
      </c>
      <c r="B56" s="135">
        <v>62</v>
      </c>
      <c r="C56" s="135">
        <v>52.09</v>
      </c>
      <c r="D56" s="135">
        <v>38.659999999999997</v>
      </c>
      <c r="E56" s="135">
        <f>(B56*C56+B56*D56*1.17)*12</f>
        <v>72407.716799999995</v>
      </c>
      <c r="F56" s="27">
        <v>473</v>
      </c>
      <c r="G56" s="136">
        <f>+G31</f>
        <v>26</v>
      </c>
      <c r="H56" s="13">
        <f t="shared" si="11"/>
        <v>381.238</v>
      </c>
      <c r="I56" s="57">
        <f t="shared" si="9"/>
        <v>202.75668263062667</v>
      </c>
      <c r="J56" s="57">
        <f t="shared" si="32"/>
        <v>163.42188620028512</v>
      </c>
      <c r="K56" s="13">
        <f t="shared" si="12"/>
        <v>0.35796414016837069</v>
      </c>
      <c r="M56" s="57">
        <f t="shared" si="13"/>
        <v>0.36530680698884649</v>
      </c>
      <c r="N56" s="60">
        <f t="shared" si="14"/>
        <v>52.46</v>
      </c>
      <c r="O56" s="60">
        <f t="shared" si="15"/>
        <v>39.03</v>
      </c>
      <c r="P56" s="13">
        <f>(B56*N56+B56*O56*1.17)*12</f>
        <v>73005.074399999998</v>
      </c>
      <c r="Q56" s="13">
        <f t="shared" si="16"/>
        <v>597.357600000003</v>
      </c>
      <c r="R56" s="51"/>
      <c r="S56" s="48">
        <f t="shared" si="17"/>
        <v>7.1030908043769898E-3</v>
      </c>
    </row>
    <row r="57" spans="1:19" x14ac:dyDescent="0.25">
      <c r="A57" s="55" t="s">
        <v>37</v>
      </c>
      <c r="B57" s="135">
        <v>341</v>
      </c>
      <c r="C57" s="135">
        <v>52.09</v>
      </c>
      <c r="D57" s="135">
        <v>38.659999999999997</v>
      </c>
      <c r="E57" s="135">
        <f>(B57*C57+B57*D57*3.33)*12</f>
        <v>739947.35759999999</v>
      </c>
      <c r="F57" s="27">
        <v>473</v>
      </c>
      <c r="G57" s="136">
        <f>+G32</f>
        <v>52</v>
      </c>
      <c r="H57" s="13">
        <f t="shared" si="11"/>
        <v>4193.6180000000004</v>
      </c>
      <c r="I57" s="57">
        <f t="shared" si="9"/>
        <v>202.75668263062667</v>
      </c>
      <c r="J57" s="57">
        <f t="shared" si="32"/>
        <v>1797.6407482031361</v>
      </c>
      <c r="K57" s="13">
        <f t="shared" si="12"/>
        <v>0.35796414016837069</v>
      </c>
      <c r="M57" s="57">
        <f t="shared" si="13"/>
        <v>0.36530680698884649</v>
      </c>
      <c r="N57" s="60">
        <f t="shared" si="14"/>
        <v>52.46</v>
      </c>
      <c r="O57" s="60">
        <f t="shared" si="15"/>
        <v>39.03</v>
      </c>
      <c r="P57" s="13">
        <f>(B57*N57+B57*O57*3.33)*12</f>
        <v>746503.15079999994</v>
      </c>
      <c r="Q57" s="13">
        <f t="shared" si="16"/>
        <v>6555.7931999999564</v>
      </c>
      <c r="R57" s="51"/>
      <c r="S57" s="48">
        <f t="shared" si="17"/>
        <v>7.1030908043769898E-3</v>
      </c>
    </row>
    <row r="58" spans="1:19" x14ac:dyDescent="0.25">
      <c r="A58" s="55" t="s">
        <v>36</v>
      </c>
      <c r="B58" s="135">
        <v>93</v>
      </c>
      <c r="C58" s="135">
        <v>52.09</v>
      </c>
      <c r="D58" s="135">
        <v>38.659999999999997</v>
      </c>
      <c r="E58" s="135">
        <f>(B58*C58+B58*D58*7.66)*12</f>
        <v>388619.7696</v>
      </c>
      <c r="F58" s="27">
        <v>473</v>
      </c>
      <c r="G58" s="136">
        <f>+G33</f>
        <v>104</v>
      </c>
      <c r="H58" s="13">
        <f t="shared" si="11"/>
        <v>2287.4279999999999</v>
      </c>
      <c r="I58" s="57">
        <f t="shared" si="9"/>
        <v>202.75668263062667</v>
      </c>
      <c r="J58" s="57">
        <f t="shared" si="32"/>
        <v>980.53131720171052</v>
      </c>
      <c r="K58" s="13">
        <f t="shared" si="12"/>
        <v>0.35796414016837069</v>
      </c>
      <c r="M58" s="57">
        <f t="shared" si="13"/>
        <v>0.36530680698884649</v>
      </c>
      <c r="N58" s="60">
        <f t="shared" si="14"/>
        <v>52.46</v>
      </c>
      <c r="O58" s="60">
        <f t="shared" si="15"/>
        <v>39.03</v>
      </c>
      <c r="P58" s="13">
        <f>(B58*N58+B58*O58*7.66)*12</f>
        <v>392195.6568</v>
      </c>
      <c r="Q58" s="13">
        <f t="shared" si="16"/>
        <v>3575.8871999999974</v>
      </c>
      <c r="R58" s="51"/>
      <c r="S58" s="48">
        <f t="shared" si="17"/>
        <v>7.1030908043769898E-3</v>
      </c>
    </row>
    <row r="59" spans="1:19" x14ac:dyDescent="0.25">
      <c r="A59" s="55" t="s">
        <v>35</v>
      </c>
      <c r="B59" s="135">
        <v>25</v>
      </c>
      <c r="C59" s="135">
        <v>52.09</v>
      </c>
      <c r="D59" s="135">
        <v>38.659999999999997</v>
      </c>
      <c r="E59" s="135">
        <f>(B59*C59+B59*D59*11.99)*12</f>
        <v>154687.01999999999</v>
      </c>
      <c r="F59" s="27">
        <v>473</v>
      </c>
      <c r="G59" s="136">
        <f>+G34</f>
        <v>156</v>
      </c>
      <c r="H59" s="13">
        <f t="shared" si="11"/>
        <v>922.35</v>
      </c>
      <c r="I59" s="57">
        <f t="shared" si="9"/>
        <v>202.75668263062667</v>
      </c>
      <c r="J59" s="57">
        <f t="shared" si="32"/>
        <v>395.37553112972199</v>
      </c>
      <c r="K59" s="13">
        <f t="shared" si="12"/>
        <v>0.35796414016837069</v>
      </c>
      <c r="M59" s="57">
        <f t="shared" si="13"/>
        <v>0.36530680698884649</v>
      </c>
      <c r="N59" s="60">
        <f t="shared" si="14"/>
        <v>52.46</v>
      </c>
      <c r="O59" s="60">
        <f t="shared" si="15"/>
        <v>39.03</v>
      </c>
      <c r="P59" s="13">
        <f>(B59*N59+B59*O59*11.99)*12</f>
        <v>156128.91</v>
      </c>
      <c r="Q59" s="13">
        <f t="shared" si="16"/>
        <v>1441.890000000014</v>
      </c>
      <c r="R59" s="51"/>
      <c r="S59" s="48">
        <f t="shared" si="17"/>
        <v>7.1030908043769898E-3</v>
      </c>
    </row>
    <row r="60" spans="1:19" x14ac:dyDescent="0.25">
      <c r="A60" s="59" t="s">
        <v>173</v>
      </c>
      <c r="B60" s="135">
        <v>0</v>
      </c>
      <c r="C60" s="135">
        <v>52.09</v>
      </c>
      <c r="D60" s="135">
        <v>38.659999999999997</v>
      </c>
      <c r="E60" s="135">
        <f>(B60*C60+B60*D60*16.32)*12</f>
        <v>0</v>
      </c>
      <c r="F60" s="27">
        <v>473</v>
      </c>
      <c r="G60" s="136">
        <v>208</v>
      </c>
      <c r="H60" s="13">
        <f t="shared" ref="H60" si="64">+G60*F60*B60/2000</f>
        <v>0</v>
      </c>
      <c r="I60" s="57">
        <f t="shared" ref="I60" si="65">+F60*$I$8</f>
        <v>202.75668263062667</v>
      </c>
      <c r="J60" s="57">
        <f t="shared" ref="J60" si="66">+G60*I60*B60/2000</f>
        <v>0</v>
      </c>
      <c r="K60" s="13">
        <f t="shared" ref="K60" si="67">+I60*$K$10</f>
        <v>0.35796414016837069</v>
      </c>
      <c r="M60" s="57">
        <f t="shared" ref="M60" si="68">+K60/$M$10</f>
        <v>0.36530680698884649</v>
      </c>
      <c r="N60" s="60">
        <f t="shared" ref="N60" si="69">ROUND(C60+M60,2)</f>
        <v>52.46</v>
      </c>
      <c r="O60" s="60">
        <f t="shared" ref="O60" si="70">ROUND(D60+M60,2)</f>
        <v>39.03</v>
      </c>
      <c r="P60" s="13">
        <f>(B60*N60+B60*O60*16.32)*12</f>
        <v>0</v>
      </c>
      <c r="Q60" s="13">
        <f t="shared" ref="Q60" si="71">+P60-E60</f>
        <v>0</v>
      </c>
      <c r="R60" s="51"/>
      <c r="S60" s="48">
        <f t="shared" ref="S60" si="72">(N60-C60)/C60</f>
        <v>7.1030908043769898E-3</v>
      </c>
    </row>
    <row r="61" spans="1:19" x14ac:dyDescent="0.25">
      <c r="A61" s="55" t="s">
        <v>34</v>
      </c>
      <c r="B61" s="135">
        <v>1</v>
      </c>
      <c r="C61" s="135">
        <v>52.09</v>
      </c>
      <c r="D61" s="135">
        <v>38.659999999999997</v>
      </c>
      <c r="E61" s="135">
        <f>(B61*C61+B61*D61*20.65)*12</f>
        <v>10205.027999999998</v>
      </c>
      <c r="F61" s="28">
        <v>473</v>
      </c>
      <c r="G61" s="66">
        <f>52*5</f>
        <v>260</v>
      </c>
      <c r="H61" s="13">
        <f t="shared" si="11"/>
        <v>61.49</v>
      </c>
      <c r="I61" s="57">
        <f t="shared" si="9"/>
        <v>202.75668263062667</v>
      </c>
      <c r="J61" s="57">
        <f t="shared" si="32"/>
        <v>26.358368741981465</v>
      </c>
      <c r="K61" s="13">
        <f t="shared" si="12"/>
        <v>0.35796414016837069</v>
      </c>
      <c r="M61" s="57">
        <f t="shared" si="13"/>
        <v>0.36530680698884649</v>
      </c>
      <c r="N61" s="60">
        <f t="shared" si="14"/>
        <v>52.46</v>
      </c>
      <c r="O61" s="60">
        <f t="shared" si="15"/>
        <v>39.03</v>
      </c>
      <c r="P61" s="13">
        <f>(B61*N61+B61*O61*20.65)*12</f>
        <v>10301.153999999999</v>
      </c>
      <c r="Q61" s="13">
        <f t="shared" si="16"/>
        <v>96.126000000000204</v>
      </c>
      <c r="R61" s="51"/>
      <c r="S61" s="48">
        <f t="shared" si="17"/>
        <v>7.1030908043769898E-3</v>
      </c>
    </row>
    <row r="62" spans="1:19" x14ac:dyDescent="0.25">
      <c r="A62" s="59" t="s">
        <v>174</v>
      </c>
      <c r="B62" s="135">
        <v>0</v>
      </c>
      <c r="C62" s="135">
        <v>52.09</v>
      </c>
      <c r="D62" s="135">
        <v>38.659999999999997</v>
      </c>
      <c r="E62" s="135">
        <f>(B62*C62+B62*D62*24.98)*12</f>
        <v>0</v>
      </c>
      <c r="F62" s="27">
        <v>473</v>
      </c>
      <c r="G62" s="66">
        <v>312</v>
      </c>
      <c r="H62" s="13">
        <f t="shared" ref="H62" si="73">+G62*F62*B62/2000</f>
        <v>0</v>
      </c>
      <c r="I62" s="57">
        <f t="shared" ref="I62" si="74">+F62*$I$8</f>
        <v>202.75668263062667</v>
      </c>
      <c r="J62" s="57">
        <f t="shared" ref="J62" si="75">+G62*I62*B62/2000</f>
        <v>0</v>
      </c>
      <c r="K62" s="13">
        <f t="shared" ref="K62" si="76">+I62*$K$10</f>
        <v>0.35796414016837069</v>
      </c>
      <c r="M62" s="57">
        <f t="shared" ref="M62" si="77">+K62/$M$10</f>
        <v>0.36530680698884649</v>
      </c>
      <c r="N62" s="60">
        <f t="shared" ref="N62" si="78">ROUND(C62+M62,2)</f>
        <v>52.46</v>
      </c>
      <c r="O62" s="60">
        <f t="shared" ref="O62" si="79">ROUND(D62+M62,2)</f>
        <v>39.03</v>
      </c>
      <c r="P62" s="13">
        <f>(B62*N62+B62*O62*24.98)*12</f>
        <v>0</v>
      </c>
      <c r="Q62" s="13">
        <f t="shared" ref="Q62" si="80">+P62-E62</f>
        <v>0</v>
      </c>
      <c r="R62" s="51"/>
      <c r="S62" s="48">
        <f t="shared" ref="S62" si="81">(N62-C62)/C62</f>
        <v>7.1030908043769898E-3</v>
      </c>
    </row>
    <row r="63" spans="1:19" x14ac:dyDescent="0.25">
      <c r="A63" s="59" t="s">
        <v>148</v>
      </c>
      <c r="B63" s="135">
        <v>210</v>
      </c>
      <c r="C63" s="135">
        <v>2.76</v>
      </c>
      <c r="D63" s="135">
        <v>0</v>
      </c>
      <c r="E63" s="135">
        <f>B63*C63*12</f>
        <v>6955.1999999999989</v>
      </c>
      <c r="F63" s="66">
        <f>F13</f>
        <v>34</v>
      </c>
      <c r="G63" s="66">
        <v>52</v>
      </c>
      <c r="H63" s="67">
        <f t="shared" si="11"/>
        <v>185.64</v>
      </c>
      <c r="I63" s="51">
        <f t="shared" ref="I63" si="82">+F63*$I$8</f>
        <v>14.574476129897056</v>
      </c>
      <c r="J63" s="51">
        <f t="shared" si="32"/>
        <v>79.57663966923792</v>
      </c>
      <c r="K63" s="67">
        <f t="shared" ref="K63" si="83">+I63*$K$10</f>
        <v>2.5731037559671467E-2</v>
      </c>
      <c r="L63" s="39"/>
      <c r="M63" s="51">
        <f t="shared" ref="M63" si="84">+K63/$M$10</f>
        <v>2.6258840248669729E-2</v>
      </c>
      <c r="N63" s="60">
        <f>ROUND(C63+M63,2)</f>
        <v>2.79</v>
      </c>
      <c r="O63" s="60">
        <v>0</v>
      </c>
      <c r="P63" s="67">
        <f>B63*N63*12</f>
        <v>7030.7999999999993</v>
      </c>
      <c r="Q63" s="67">
        <f>+P63-E63</f>
        <v>75.600000000000364</v>
      </c>
      <c r="R63" s="51"/>
      <c r="S63" s="48">
        <f t="shared" si="17"/>
        <v>1.0869565217391396E-2</v>
      </c>
    </row>
    <row r="64" spans="1:19" x14ac:dyDescent="0.25">
      <c r="A64" s="55" t="s">
        <v>145</v>
      </c>
      <c r="B64" s="135">
        <v>2</v>
      </c>
      <c r="C64" s="135">
        <v>147.94</v>
      </c>
      <c r="D64" s="135">
        <v>147.94</v>
      </c>
      <c r="E64" s="135">
        <f>(B64*C64+B64*D64*3.33)*12</f>
        <v>15373.924800000001</v>
      </c>
      <c r="F64" s="66">
        <f>F65*3</f>
        <v>1839</v>
      </c>
      <c r="G64" s="66">
        <v>52</v>
      </c>
      <c r="H64" s="67">
        <f t="shared" si="11"/>
        <v>95.628</v>
      </c>
      <c r="I64" s="51">
        <f t="shared" ref="I64" si="85">+F64*$I$8</f>
        <v>788.30769420237311</v>
      </c>
      <c r="J64" s="51">
        <f t="shared" si="32"/>
        <v>40.992000098523398</v>
      </c>
      <c r="K64" s="67">
        <f t="shared" ref="K64" si="86">+I64*$K$10</f>
        <v>1.391746413889289</v>
      </c>
      <c r="L64" s="39"/>
      <c r="M64" s="51">
        <f t="shared" ref="M64" si="87">+K64/$M$10</f>
        <v>1.4202943299206949</v>
      </c>
      <c r="N64" s="60">
        <f t="shared" ref="N64" si="88">ROUND(C64+M64,2)</f>
        <v>149.36000000000001</v>
      </c>
      <c r="O64" s="60">
        <f t="shared" ref="O64" si="89">ROUND(D64+M64,2)</f>
        <v>149.36000000000001</v>
      </c>
      <c r="P64" s="67">
        <f>(B64*N64+B64*O64*3.33)*12</f>
        <v>15521.491200000002</v>
      </c>
      <c r="Q64" s="67">
        <f t="shared" ref="Q64" si="90">+P64-E64</f>
        <v>147.56640000000152</v>
      </c>
      <c r="R64" s="51"/>
      <c r="S64" s="48">
        <f t="shared" si="17"/>
        <v>9.5984858726511826E-3</v>
      </c>
    </row>
    <row r="65" spans="1:19" x14ac:dyDescent="0.25">
      <c r="A65" s="55" t="s">
        <v>33</v>
      </c>
      <c r="B65" s="135">
        <v>62</v>
      </c>
      <c r="C65" s="135">
        <v>69.48</v>
      </c>
      <c r="D65" s="135">
        <v>49.6</v>
      </c>
      <c r="E65" s="135">
        <f>(B65*C65+B65*D65*1.17)*12</f>
        <v>94868.928000000014</v>
      </c>
      <c r="F65" s="28">
        <v>613</v>
      </c>
      <c r="G65" s="66">
        <f>+G31</f>
        <v>26</v>
      </c>
      <c r="H65" s="13">
        <f t="shared" si="11"/>
        <v>494.07799999999997</v>
      </c>
      <c r="I65" s="57">
        <f t="shared" si="9"/>
        <v>262.769231400791</v>
      </c>
      <c r="J65" s="57">
        <f t="shared" si="32"/>
        <v>211.79200050903754</v>
      </c>
      <c r="K65" s="13">
        <f t="shared" si="12"/>
        <v>0.46391547129642963</v>
      </c>
      <c r="M65" s="57">
        <f t="shared" si="13"/>
        <v>0.47343144330689829</v>
      </c>
      <c r="N65" s="60">
        <f t="shared" si="14"/>
        <v>69.95</v>
      </c>
      <c r="O65" s="60">
        <f t="shared" si="15"/>
        <v>50.07</v>
      </c>
      <c r="P65" s="13">
        <f>(B65*N65+B65*O65*1.17)*12</f>
        <v>95627.733600000007</v>
      </c>
      <c r="Q65" s="13">
        <f t="shared" si="16"/>
        <v>758.80559999999241</v>
      </c>
      <c r="R65" s="51"/>
      <c r="S65" s="48">
        <f t="shared" si="17"/>
        <v>6.7645365572826547E-3</v>
      </c>
    </row>
    <row r="66" spans="1:19" x14ac:dyDescent="0.25">
      <c r="A66" s="55" t="s">
        <v>32</v>
      </c>
      <c r="B66" s="135">
        <v>364</v>
      </c>
      <c r="C66" s="135">
        <v>69.48</v>
      </c>
      <c r="D66" s="135">
        <v>49.6</v>
      </c>
      <c r="E66" s="135">
        <f>(B66*C66+B66*D66*3.33)*12</f>
        <v>1024942.464</v>
      </c>
      <c r="F66" s="28">
        <v>613</v>
      </c>
      <c r="G66" s="66">
        <f>+G32</f>
        <v>52</v>
      </c>
      <c r="H66" s="13">
        <f t="shared" si="11"/>
        <v>5801.4319999999998</v>
      </c>
      <c r="I66" s="57">
        <f t="shared" si="9"/>
        <v>262.769231400791</v>
      </c>
      <c r="J66" s="57">
        <f t="shared" si="32"/>
        <v>2486.8480059770859</v>
      </c>
      <c r="K66" s="13">
        <f t="shared" si="12"/>
        <v>0.46391547129642963</v>
      </c>
      <c r="M66" s="57">
        <f t="shared" si="13"/>
        <v>0.47343144330689829</v>
      </c>
      <c r="N66" s="60">
        <f t="shared" si="14"/>
        <v>69.95</v>
      </c>
      <c r="O66" s="60">
        <f t="shared" si="15"/>
        <v>50.07</v>
      </c>
      <c r="P66" s="13">
        <f>(B66*N66+B66*O66*3.33)*12</f>
        <v>1033831.7808000001</v>
      </c>
      <c r="Q66" s="13">
        <f t="shared" si="16"/>
        <v>8889.3168000000296</v>
      </c>
      <c r="R66" s="51"/>
      <c r="S66" s="48">
        <f t="shared" si="17"/>
        <v>6.7645365572826547E-3</v>
      </c>
    </row>
    <row r="67" spans="1:19" x14ac:dyDescent="0.25">
      <c r="A67" s="55" t="s">
        <v>31</v>
      </c>
      <c r="B67" s="135">
        <v>105</v>
      </c>
      <c r="C67" s="135">
        <v>69.48</v>
      </c>
      <c r="D67" s="135">
        <v>49.6</v>
      </c>
      <c r="E67" s="135">
        <f>(B67*C67+B67*D67*7.66)*12</f>
        <v>566264.16</v>
      </c>
      <c r="F67" s="28">
        <v>613</v>
      </c>
      <c r="G67" s="66">
        <f>+G33</f>
        <v>104</v>
      </c>
      <c r="H67" s="13">
        <f t="shared" si="11"/>
        <v>3346.98</v>
      </c>
      <c r="I67" s="57">
        <f t="shared" si="9"/>
        <v>262.769231400791</v>
      </c>
      <c r="J67" s="57">
        <f t="shared" si="32"/>
        <v>1434.7200034483189</v>
      </c>
      <c r="K67" s="13">
        <f t="shared" si="12"/>
        <v>0.46391547129642963</v>
      </c>
      <c r="M67" s="57">
        <f t="shared" si="13"/>
        <v>0.47343144330689829</v>
      </c>
      <c r="N67" s="60">
        <f t="shared" si="14"/>
        <v>69.95</v>
      </c>
      <c r="O67" s="60">
        <f t="shared" si="15"/>
        <v>50.07</v>
      </c>
      <c r="P67" s="13">
        <f>(B67*N67+B67*O67*7.66)*12</f>
        <v>571392.61200000008</v>
      </c>
      <c r="Q67" s="13">
        <f t="shared" si="16"/>
        <v>5128.4520000000484</v>
      </c>
      <c r="R67" s="51"/>
      <c r="S67" s="48">
        <f t="shared" si="17"/>
        <v>6.7645365572826547E-3</v>
      </c>
    </row>
    <row r="68" spans="1:19" x14ac:dyDescent="0.25">
      <c r="A68" s="55" t="s">
        <v>30</v>
      </c>
      <c r="B68" s="135">
        <v>43</v>
      </c>
      <c r="C68" s="135">
        <v>69.48</v>
      </c>
      <c r="D68" s="135">
        <v>49.6</v>
      </c>
      <c r="E68" s="135">
        <f>(B68*C68+B68*D68*11.99)*12</f>
        <v>342718.94400000002</v>
      </c>
      <c r="F68" s="28">
        <v>613</v>
      </c>
      <c r="G68" s="66">
        <f>+G34</f>
        <v>156</v>
      </c>
      <c r="H68" s="13">
        <f t="shared" si="11"/>
        <v>2056.002</v>
      </c>
      <c r="I68" s="57">
        <f t="shared" si="9"/>
        <v>262.769231400791</v>
      </c>
      <c r="J68" s="57">
        <f t="shared" si="32"/>
        <v>881.32800211825293</v>
      </c>
      <c r="K68" s="13">
        <f t="shared" si="12"/>
        <v>0.46391547129642963</v>
      </c>
      <c r="M68" s="57">
        <f t="shared" si="13"/>
        <v>0.47343144330689829</v>
      </c>
      <c r="N68" s="60">
        <f t="shared" si="14"/>
        <v>69.95</v>
      </c>
      <c r="O68" s="60">
        <f t="shared" si="15"/>
        <v>50.07</v>
      </c>
      <c r="P68" s="13">
        <f>(B68*N68+B68*O68*11.99)*12</f>
        <v>345869.27880000003</v>
      </c>
      <c r="Q68" s="13">
        <f t="shared" si="16"/>
        <v>3150.3348000000115</v>
      </c>
      <c r="R68" s="51"/>
      <c r="S68" s="48">
        <f t="shared" si="17"/>
        <v>6.7645365572826547E-3</v>
      </c>
    </row>
    <row r="69" spans="1:19" x14ac:dyDescent="0.25">
      <c r="A69" s="55" t="s">
        <v>29</v>
      </c>
      <c r="B69" s="135">
        <v>6</v>
      </c>
      <c r="C69" s="135">
        <v>69.48</v>
      </c>
      <c r="D69" s="135">
        <v>49.6</v>
      </c>
      <c r="E69" s="135">
        <f>(B69*C69+B69*D69*16.32)*12</f>
        <v>63284.544000000009</v>
      </c>
      <c r="F69" s="28">
        <v>613</v>
      </c>
      <c r="G69" s="66">
        <f>52*4</f>
        <v>208</v>
      </c>
      <c r="H69" s="13">
        <f t="shared" si="11"/>
        <v>382.512</v>
      </c>
      <c r="I69" s="57">
        <f t="shared" si="9"/>
        <v>262.769231400791</v>
      </c>
      <c r="J69" s="57">
        <f t="shared" si="32"/>
        <v>163.96800039409356</v>
      </c>
      <c r="K69" s="13">
        <f t="shared" si="12"/>
        <v>0.46391547129642963</v>
      </c>
      <c r="M69" s="57">
        <f t="shared" si="13"/>
        <v>0.47343144330689829</v>
      </c>
      <c r="N69" s="60">
        <f t="shared" si="14"/>
        <v>69.95</v>
      </c>
      <c r="O69" s="60">
        <f t="shared" si="15"/>
        <v>50.07</v>
      </c>
      <c r="P69" s="13">
        <f>(B69*N69+B69*O69*16.32)*12</f>
        <v>63870.652799999996</v>
      </c>
      <c r="Q69" s="13">
        <f t="shared" si="16"/>
        <v>586.10879999998724</v>
      </c>
      <c r="R69" s="51"/>
      <c r="S69" s="48">
        <f t="shared" si="17"/>
        <v>6.7645365572826547E-3</v>
      </c>
    </row>
    <row r="70" spans="1:19" x14ac:dyDescent="0.25">
      <c r="A70" s="55" t="s">
        <v>28</v>
      </c>
      <c r="B70" s="135">
        <v>7</v>
      </c>
      <c r="C70" s="135">
        <v>69.48</v>
      </c>
      <c r="D70" s="135">
        <v>49.6</v>
      </c>
      <c r="E70" s="135">
        <f>(B70*C70+B70*D70*20.65)*12</f>
        <v>91872.479999999981</v>
      </c>
      <c r="F70" s="28">
        <v>613</v>
      </c>
      <c r="G70" s="66">
        <f>52*5</f>
        <v>260</v>
      </c>
      <c r="H70" s="13">
        <f t="shared" si="11"/>
        <v>557.83000000000004</v>
      </c>
      <c r="I70" s="57">
        <f t="shared" si="9"/>
        <v>262.769231400791</v>
      </c>
      <c r="J70" s="57">
        <f t="shared" si="32"/>
        <v>239.1200005747198</v>
      </c>
      <c r="K70" s="13">
        <f t="shared" si="12"/>
        <v>0.46391547129642963</v>
      </c>
      <c r="M70" s="57">
        <f t="shared" si="13"/>
        <v>0.47343144330689829</v>
      </c>
      <c r="N70" s="60">
        <f t="shared" si="14"/>
        <v>69.95</v>
      </c>
      <c r="O70" s="60">
        <f t="shared" si="15"/>
        <v>50.07</v>
      </c>
      <c r="P70" s="13">
        <f>(B70*N70+B70*O70*20.65)*12</f>
        <v>92727.221999999994</v>
      </c>
      <c r="Q70" s="13">
        <f t="shared" si="16"/>
        <v>854.74200000001292</v>
      </c>
      <c r="R70" s="51"/>
      <c r="S70" s="48">
        <f t="shared" si="17"/>
        <v>6.7645365572826547E-3</v>
      </c>
    </row>
    <row r="71" spans="1:19" x14ac:dyDescent="0.25">
      <c r="A71" s="55" t="s">
        <v>27</v>
      </c>
      <c r="B71" s="135">
        <v>4</v>
      </c>
      <c r="C71" s="135">
        <v>69.48</v>
      </c>
      <c r="D71" s="135">
        <v>49.6</v>
      </c>
      <c r="E71" s="135">
        <f>(B71*C71+B71*D71*24.98)*12</f>
        <v>62807.423999999999</v>
      </c>
      <c r="F71" s="28">
        <v>613</v>
      </c>
      <c r="G71" s="66">
        <f>52*6</f>
        <v>312</v>
      </c>
      <c r="H71" s="13">
        <f t="shared" ref="H71:H112" si="91">+G71*F71*B71/2000</f>
        <v>382.512</v>
      </c>
      <c r="I71" s="57">
        <f t="shared" si="9"/>
        <v>262.769231400791</v>
      </c>
      <c r="J71" s="57">
        <f t="shared" ref="J71:J112" si="92">+G71*I71*B71/2000</f>
        <v>163.96800039409356</v>
      </c>
      <c r="K71" s="13">
        <f t="shared" si="12"/>
        <v>0.46391547129642963</v>
      </c>
      <c r="M71" s="57">
        <f t="shared" si="13"/>
        <v>0.47343144330689829</v>
      </c>
      <c r="N71" s="60">
        <f t="shared" si="14"/>
        <v>69.95</v>
      </c>
      <c r="O71" s="60">
        <f t="shared" si="15"/>
        <v>50.07</v>
      </c>
      <c r="P71" s="13">
        <f>(B71*N71+B71*O71*24.98)*12</f>
        <v>63393.532800000008</v>
      </c>
      <c r="Q71" s="13">
        <f t="shared" si="16"/>
        <v>586.10880000000907</v>
      </c>
      <c r="R71" s="51"/>
      <c r="S71" s="48">
        <f t="shared" si="17"/>
        <v>6.7645365572826547E-3</v>
      </c>
    </row>
    <row r="72" spans="1:19" x14ac:dyDescent="0.25">
      <c r="A72" s="59" t="s">
        <v>175</v>
      </c>
      <c r="B72" s="135">
        <v>1</v>
      </c>
      <c r="C72" s="135">
        <v>216.51</v>
      </c>
      <c r="D72" s="135">
        <v>216.51</v>
      </c>
      <c r="E72" s="135">
        <f>(B72*C72+B72*D72*3.33)*12</f>
        <v>11249.8596</v>
      </c>
      <c r="F72" s="66">
        <v>2310</v>
      </c>
      <c r="G72" s="66">
        <v>52</v>
      </c>
      <c r="H72" s="13">
        <f t="shared" ref="H72" si="93">+G72*F72*B72/2000</f>
        <v>60.06</v>
      </c>
      <c r="I72" s="57">
        <f t="shared" ref="I72" si="94">+F72*$I$8</f>
        <v>990.20705470771168</v>
      </c>
      <c r="J72" s="57">
        <f t="shared" ref="J72" si="95">+G72*I72*B72/2000</f>
        <v>25.745383422400504</v>
      </c>
      <c r="K72" s="13">
        <f t="shared" ref="K72" si="96">+I72*$K$10</f>
        <v>1.7481969636129731</v>
      </c>
      <c r="M72" s="57">
        <f t="shared" ref="M72" si="97">+K72/$M$10</f>
        <v>1.7840564992478549</v>
      </c>
      <c r="N72" s="60">
        <f t="shared" ref="N72" si="98">ROUND(C72+M72,2)</f>
        <v>218.29</v>
      </c>
      <c r="O72" s="60">
        <f t="shared" ref="O72" si="99">ROUND(D72+M72,2)</f>
        <v>218.29</v>
      </c>
      <c r="P72" s="13">
        <f>(B72*N72+B72*O72*3.33)*12</f>
        <v>11342.348399999999</v>
      </c>
      <c r="Q72" s="13">
        <f>+P72-E72</f>
        <v>92.488799999999173</v>
      </c>
      <c r="R72" s="51"/>
      <c r="S72" s="48">
        <f t="shared" ref="S72" si="100">(N72-C72)/C72</f>
        <v>8.2213292688559474E-3</v>
      </c>
    </row>
    <row r="73" spans="1:19" x14ac:dyDescent="0.25">
      <c r="A73" s="55" t="s">
        <v>26</v>
      </c>
      <c r="B73" s="135">
        <v>23</v>
      </c>
      <c r="C73" s="135">
        <v>94.42</v>
      </c>
      <c r="D73" s="135">
        <v>74.48</v>
      </c>
      <c r="E73" s="135">
        <f>(B73*C73+B73*D73*1.17)*12</f>
        <v>50111.001600000003</v>
      </c>
      <c r="F73" s="28">
        <v>840</v>
      </c>
      <c r="G73" s="66">
        <f>+G31</f>
        <v>26</v>
      </c>
      <c r="H73" s="13">
        <f t="shared" si="91"/>
        <v>251.16</v>
      </c>
      <c r="I73" s="57">
        <f t="shared" si="9"/>
        <v>360.07529262098609</v>
      </c>
      <c r="J73" s="57">
        <f t="shared" si="92"/>
        <v>107.66251249367484</v>
      </c>
      <c r="K73" s="13">
        <f t="shared" si="12"/>
        <v>0.63570798676835394</v>
      </c>
      <c r="M73" s="57">
        <f t="shared" si="13"/>
        <v>0.64874781790831104</v>
      </c>
      <c r="N73" s="60">
        <f t="shared" si="14"/>
        <v>95.07</v>
      </c>
      <c r="O73" s="60">
        <f t="shared" si="15"/>
        <v>75.13</v>
      </c>
      <c r="P73" s="13">
        <f>(B73*N73+B73*O73*1.17)*12</f>
        <v>50500.299599999984</v>
      </c>
      <c r="Q73" s="13">
        <f t="shared" si="16"/>
        <v>389.29799999998068</v>
      </c>
      <c r="R73" s="51"/>
      <c r="S73" s="48">
        <f t="shared" si="17"/>
        <v>6.8841347172208375E-3</v>
      </c>
    </row>
    <row r="74" spans="1:19" x14ac:dyDescent="0.25">
      <c r="A74" s="55" t="s">
        <v>25</v>
      </c>
      <c r="B74" s="135">
        <v>259</v>
      </c>
      <c r="C74" s="135">
        <v>94.42</v>
      </c>
      <c r="D74" s="135">
        <v>74.48</v>
      </c>
      <c r="E74" s="135">
        <f>(B74*C74+B74*D74*3.33)*12</f>
        <v>1064298.5471999999</v>
      </c>
      <c r="F74" s="28">
        <v>840</v>
      </c>
      <c r="G74" s="66">
        <f>+G32</f>
        <v>52</v>
      </c>
      <c r="H74" s="13">
        <f t="shared" si="91"/>
        <v>5656.56</v>
      </c>
      <c r="I74" s="57">
        <f t="shared" si="9"/>
        <v>360.07529262098609</v>
      </c>
      <c r="J74" s="57">
        <f t="shared" si="92"/>
        <v>2424.7470205097202</v>
      </c>
      <c r="K74" s="13">
        <f t="shared" si="12"/>
        <v>0.63570798676835394</v>
      </c>
      <c r="M74" s="57">
        <f t="shared" si="13"/>
        <v>0.64874781790831104</v>
      </c>
      <c r="N74" s="60">
        <f t="shared" si="14"/>
        <v>95.07</v>
      </c>
      <c r="O74" s="60">
        <f t="shared" si="15"/>
        <v>75.13</v>
      </c>
      <c r="P74" s="13">
        <f>(B74*N74+B74*O74*3.33)*12</f>
        <v>1073046.0131999999</v>
      </c>
      <c r="Q74" s="13">
        <f t="shared" si="16"/>
        <v>8747.4660000000149</v>
      </c>
      <c r="R74" s="51"/>
      <c r="S74" s="48">
        <f t="shared" si="17"/>
        <v>6.8841347172208375E-3</v>
      </c>
    </row>
    <row r="75" spans="1:19" x14ac:dyDescent="0.25">
      <c r="A75" s="55" t="s">
        <v>24</v>
      </c>
      <c r="B75" s="135">
        <v>66</v>
      </c>
      <c r="C75" s="135">
        <v>94.42</v>
      </c>
      <c r="D75" s="135">
        <v>74.48</v>
      </c>
      <c r="E75" s="135">
        <f>(B75*C75+B75*D75*7.66)*12</f>
        <v>526629.94559999998</v>
      </c>
      <c r="F75" s="28">
        <v>840</v>
      </c>
      <c r="G75" s="66">
        <f>+G33</f>
        <v>104</v>
      </c>
      <c r="H75" s="13">
        <f t="shared" si="91"/>
        <v>2882.88</v>
      </c>
      <c r="I75" s="57">
        <f t="shared" si="9"/>
        <v>360.07529262098609</v>
      </c>
      <c r="J75" s="57">
        <f t="shared" si="92"/>
        <v>1235.7784042752244</v>
      </c>
      <c r="K75" s="13">
        <f t="shared" si="12"/>
        <v>0.63570798676835394</v>
      </c>
      <c r="M75" s="57">
        <f t="shared" si="13"/>
        <v>0.64874781790831104</v>
      </c>
      <c r="N75" s="60">
        <f t="shared" si="14"/>
        <v>95.07</v>
      </c>
      <c r="O75" s="60">
        <f t="shared" si="15"/>
        <v>75.13</v>
      </c>
      <c r="P75" s="13">
        <f>(B75*N75+B75*O75*7.66)*12</f>
        <v>531088.11360000004</v>
      </c>
      <c r="Q75" s="13">
        <f t="shared" si="16"/>
        <v>4458.1680000000633</v>
      </c>
      <c r="R75" s="51"/>
      <c r="S75" s="48">
        <f t="shared" si="17"/>
        <v>6.8841347172208375E-3</v>
      </c>
    </row>
    <row r="76" spans="1:19" x14ac:dyDescent="0.25">
      <c r="A76" s="55" t="s">
        <v>23</v>
      </c>
      <c r="B76" s="135">
        <v>21</v>
      </c>
      <c r="C76" s="135">
        <v>94.42</v>
      </c>
      <c r="D76" s="135">
        <v>74.48</v>
      </c>
      <c r="E76" s="135">
        <f>(B76*C76+B76*D76*11.99)*12</f>
        <v>248833.6704</v>
      </c>
      <c r="F76" s="28">
        <v>840</v>
      </c>
      <c r="G76" s="66">
        <f>+G34</f>
        <v>156</v>
      </c>
      <c r="H76" s="13">
        <f t="shared" si="91"/>
        <v>1375.92</v>
      </c>
      <c r="I76" s="57">
        <f t="shared" si="9"/>
        <v>360.07529262098609</v>
      </c>
      <c r="J76" s="57">
        <f t="shared" si="92"/>
        <v>589.80332931317525</v>
      </c>
      <c r="K76" s="13">
        <f t="shared" si="12"/>
        <v>0.63570798676835394</v>
      </c>
      <c r="M76" s="57">
        <f t="shared" si="13"/>
        <v>0.64874781790831104</v>
      </c>
      <c r="N76" s="60">
        <f t="shared" si="14"/>
        <v>95.07</v>
      </c>
      <c r="O76" s="60">
        <f t="shared" si="15"/>
        <v>75.13</v>
      </c>
      <c r="P76" s="13">
        <f>(B76*N76+B76*O76*11.99)*12</f>
        <v>250961.43240000002</v>
      </c>
      <c r="Q76" s="13">
        <f t="shared" si="16"/>
        <v>2127.762000000017</v>
      </c>
      <c r="R76" s="51"/>
      <c r="S76" s="48">
        <f t="shared" si="17"/>
        <v>6.8841347172208375E-3</v>
      </c>
    </row>
    <row r="77" spans="1:19" x14ac:dyDescent="0.25">
      <c r="A77" s="55" t="s">
        <v>22</v>
      </c>
      <c r="B77" s="135">
        <v>4</v>
      </c>
      <c r="C77" s="135">
        <v>94.42</v>
      </c>
      <c r="D77" s="135">
        <v>74.48</v>
      </c>
      <c r="E77" s="135">
        <f>(B77*C77+B77*D77*16.32)*12</f>
        <v>62876.8128</v>
      </c>
      <c r="F77" s="28">
        <v>840</v>
      </c>
      <c r="G77" s="66">
        <f>52*4</f>
        <v>208</v>
      </c>
      <c r="H77" s="13">
        <f t="shared" si="91"/>
        <v>349.44</v>
      </c>
      <c r="I77" s="57">
        <f t="shared" si="9"/>
        <v>360.07529262098609</v>
      </c>
      <c r="J77" s="57">
        <f t="shared" si="92"/>
        <v>149.7913217303302</v>
      </c>
      <c r="K77" s="13">
        <f t="shared" si="12"/>
        <v>0.63570798676835394</v>
      </c>
      <c r="M77" s="57">
        <f t="shared" si="13"/>
        <v>0.64874781790831104</v>
      </c>
      <c r="N77" s="60">
        <f t="shared" si="14"/>
        <v>95.07</v>
      </c>
      <c r="O77" s="60">
        <f t="shared" si="15"/>
        <v>75.13</v>
      </c>
      <c r="P77" s="13">
        <f>(B77*N77+B77*O77*16.32)*12</f>
        <v>63417.196799999991</v>
      </c>
      <c r="Q77" s="13">
        <f t="shared" si="16"/>
        <v>540.38399999999092</v>
      </c>
      <c r="R77" s="51"/>
      <c r="S77" s="48">
        <f t="shared" si="17"/>
        <v>6.8841347172208375E-3</v>
      </c>
    </row>
    <row r="78" spans="1:19" x14ac:dyDescent="0.25">
      <c r="A78" s="55" t="s">
        <v>21</v>
      </c>
      <c r="B78" s="135">
        <v>4</v>
      </c>
      <c r="C78" s="135">
        <v>94.42</v>
      </c>
      <c r="D78" s="135">
        <v>74.48</v>
      </c>
      <c r="E78" s="135">
        <f>(B78*C78+B78*D78*20.65)*12</f>
        <v>78356.736000000004</v>
      </c>
      <c r="F78" s="28">
        <v>840</v>
      </c>
      <c r="G78" s="66">
        <f>52*5</f>
        <v>260</v>
      </c>
      <c r="H78" s="13">
        <f t="shared" si="91"/>
        <v>436.8</v>
      </c>
      <c r="I78" s="57">
        <f t="shared" si="9"/>
        <v>360.07529262098609</v>
      </c>
      <c r="J78" s="57">
        <f t="shared" si="92"/>
        <v>187.23915216291277</v>
      </c>
      <c r="K78" s="13">
        <f t="shared" si="12"/>
        <v>0.63570798676835394</v>
      </c>
      <c r="M78" s="57">
        <f t="shared" si="13"/>
        <v>0.64874781790831104</v>
      </c>
      <c r="N78" s="60">
        <f t="shared" si="14"/>
        <v>95.07</v>
      </c>
      <c r="O78" s="60">
        <f t="shared" si="15"/>
        <v>75.13</v>
      </c>
      <c r="P78" s="13">
        <f>(B78*N78+B78*O78*20.65)*12</f>
        <v>79032.215999999986</v>
      </c>
      <c r="Q78" s="13">
        <f t="shared" si="16"/>
        <v>675.47999999998137</v>
      </c>
      <c r="R78" s="51"/>
      <c r="S78" s="48">
        <f t="shared" si="17"/>
        <v>6.8841347172208375E-3</v>
      </c>
    </row>
    <row r="79" spans="1:19" x14ac:dyDescent="0.25">
      <c r="A79" s="59" t="s">
        <v>176</v>
      </c>
      <c r="B79" s="135">
        <v>1</v>
      </c>
      <c r="C79" s="135">
        <v>94.42</v>
      </c>
      <c r="D79" s="135">
        <v>74.48</v>
      </c>
      <c r="E79" s="135">
        <f>(B79*C79+B79*D79*24.98)*12</f>
        <v>23459.164800000002</v>
      </c>
      <c r="F79" s="28">
        <v>840</v>
      </c>
      <c r="G79" s="66">
        <v>312</v>
      </c>
      <c r="H79" s="13">
        <f t="shared" ref="H79" si="101">+G79*F79*B79/2000</f>
        <v>131.04</v>
      </c>
      <c r="I79" s="57">
        <f t="shared" ref="I79" si="102">+F79*$I$8</f>
        <v>360.07529262098609</v>
      </c>
      <c r="J79" s="57">
        <f t="shared" ref="J79" si="103">+G79*I79*B79/2000</f>
        <v>56.171745648873831</v>
      </c>
      <c r="K79" s="13">
        <f t="shared" ref="K79" si="104">+I79*$K$10</f>
        <v>0.63570798676835394</v>
      </c>
      <c r="M79" s="57">
        <f t="shared" ref="M79" si="105">+K79/$M$10</f>
        <v>0.64874781790831104</v>
      </c>
      <c r="N79" s="60">
        <f t="shared" ref="N79" si="106">ROUND(C79+M79,2)</f>
        <v>95.07</v>
      </c>
      <c r="O79" s="60">
        <f t="shared" ref="O79" si="107">ROUND(D79+M79,2)</f>
        <v>75.13</v>
      </c>
      <c r="P79" s="13">
        <f>(B79*N79+B79*O79*24.98)*12</f>
        <v>23661.808799999999</v>
      </c>
      <c r="Q79" s="13">
        <f t="shared" ref="Q79" si="108">+P79-E79</f>
        <v>202.64399999999659</v>
      </c>
      <c r="R79" s="51"/>
      <c r="S79" s="48">
        <f t="shared" ref="S79" si="109">(N79-C79)/C79</f>
        <v>6.8841347172208375E-3</v>
      </c>
    </row>
    <row r="80" spans="1:19" x14ac:dyDescent="0.25">
      <c r="A80" s="55" t="s">
        <v>20</v>
      </c>
      <c r="B80" s="135">
        <v>677</v>
      </c>
      <c r="C80" s="135">
        <v>4.21</v>
      </c>
      <c r="D80" s="135">
        <v>4.21</v>
      </c>
      <c r="E80" s="135">
        <f>(B80*C80+B80*D80*3.33)*12</f>
        <v>148094.83319999999</v>
      </c>
      <c r="F80" s="27">
        <f>+F15</f>
        <v>47</v>
      </c>
      <c r="G80" s="26">
        <v>52</v>
      </c>
      <c r="H80" s="13">
        <f t="shared" si="91"/>
        <v>827.29399999999998</v>
      </c>
      <c r="I80" s="57">
        <f t="shared" si="9"/>
        <v>20.147069944269457</v>
      </c>
      <c r="J80" s="57">
        <f t="shared" si="92"/>
        <v>354.62872515903092</v>
      </c>
      <c r="K80" s="13">
        <f t="shared" si="12"/>
        <v>3.5569375450134083E-2</v>
      </c>
      <c r="M80" s="57">
        <f t="shared" si="13"/>
        <v>3.629898504963168E-2</v>
      </c>
      <c r="N80" s="60">
        <f t="shared" si="14"/>
        <v>4.25</v>
      </c>
      <c r="O80" s="60">
        <f t="shared" si="15"/>
        <v>4.25</v>
      </c>
      <c r="P80" s="13">
        <f>(B80*N80+B80*O80*3.33)*12</f>
        <v>149501.91</v>
      </c>
      <c r="Q80" s="13">
        <f t="shared" si="16"/>
        <v>1407.0768000000098</v>
      </c>
      <c r="R80" s="51"/>
      <c r="S80" s="48">
        <f t="shared" si="17"/>
        <v>9.5011876484560661E-3</v>
      </c>
    </row>
    <row r="81" spans="1:19" x14ac:dyDescent="0.25">
      <c r="A81" s="55" t="s">
        <v>19</v>
      </c>
      <c r="B81" s="135">
        <v>41</v>
      </c>
      <c r="C81" s="135">
        <v>4.21</v>
      </c>
      <c r="D81" s="135">
        <v>4.21</v>
      </c>
      <c r="E81" s="135">
        <f>(B81*C81+B81*D81*7.66)*12</f>
        <v>17937.631199999996</v>
      </c>
      <c r="F81" s="27">
        <v>47</v>
      </c>
      <c r="G81" s="26">
        <v>104</v>
      </c>
      <c r="H81" s="13">
        <f t="shared" si="91"/>
        <v>100.20399999999999</v>
      </c>
      <c r="I81" s="57">
        <f t="shared" si="9"/>
        <v>20.147069944269457</v>
      </c>
      <c r="J81" s="57">
        <f t="shared" si="92"/>
        <v>42.95355312118248</v>
      </c>
      <c r="K81" s="13">
        <f t="shared" si="12"/>
        <v>3.5569375450134083E-2</v>
      </c>
      <c r="M81" s="57">
        <f t="shared" si="13"/>
        <v>3.629898504963168E-2</v>
      </c>
      <c r="N81" s="60">
        <f t="shared" si="14"/>
        <v>4.25</v>
      </c>
      <c r="O81" s="60">
        <f t="shared" si="15"/>
        <v>4.25</v>
      </c>
      <c r="P81" s="13">
        <f>(B81*N81+B81*O81*7.66)*12</f>
        <v>18108.060000000001</v>
      </c>
      <c r="Q81" s="13">
        <f t="shared" si="16"/>
        <v>170.42880000000514</v>
      </c>
      <c r="R81" s="51"/>
      <c r="S81" s="48">
        <f t="shared" si="17"/>
        <v>9.5011876484560661E-3</v>
      </c>
    </row>
    <row r="82" spans="1:19" x14ac:dyDescent="0.25">
      <c r="A82" s="59" t="s">
        <v>177</v>
      </c>
      <c r="B82" s="135">
        <v>0</v>
      </c>
      <c r="C82" s="135">
        <v>4.21</v>
      </c>
      <c r="D82" s="135">
        <v>4.21</v>
      </c>
      <c r="E82" s="135">
        <f>(B82*C82+B82*D82*11.99)*12</f>
        <v>0</v>
      </c>
      <c r="F82" s="27">
        <v>47</v>
      </c>
      <c r="G82" s="26">
        <v>156</v>
      </c>
      <c r="H82" s="13">
        <f t="shared" ref="H82" si="110">+G82*F82*B82/2000</f>
        <v>0</v>
      </c>
      <c r="I82" s="57">
        <f t="shared" ref="I82" si="111">+F82*$I$8</f>
        <v>20.147069944269457</v>
      </c>
      <c r="J82" s="57">
        <f t="shared" ref="J82" si="112">+G82*I82*B82/2000</f>
        <v>0</v>
      </c>
      <c r="K82" s="13">
        <f t="shared" ref="K82" si="113">+I82*$K$10</f>
        <v>3.5569375450134083E-2</v>
      </c>
      <c r="M82" s="57">
        <f t="shared" ref="M82" si="114">+K82/$M$10</f>
        <v>3.629898504963168E-2</v>
      </c>
      <c r="N82" s="60">
        <f t="shared" ref="N82" si="115">ROUND(C82+M82,2)</f>
        <v>4.25</v>
      </c>
      <c r="O82" s="60">
        <f t="shared" ref="O82" si="116">ROUND(D82+M82,2)</f>
        <v>4.25</v>
      </c>
      <c r="P82" s="13">
        <f>(B82*N82+B82*O82*11.99)*12</f>
        <v>0</v>
      </c>
      <c r="Q82" s="13">
        <f t="shared" ref="Q82" si="117">+P82-E82</f>
        <v>0</v>
      </c>
      <c r="R82" s="51"/>
      <c r="S82" s="48">
        <f t="shared" ref="S82" si="118">(N82-C82)/C82</f>
        <v>9.5011876484560661E-3</v>
      </c>
    </row>
    <row r="83" spans="1:19" x14ac:dyDescent="0.25">
      <c r="A83" s="55" t="s">
        <v>131</v>
      </c>
      <c r="B83" s="135">
        <v>0</v>
      </c>
      <c r="C83" s="135">
        <v>4.21</v>
      </c>
      <c r="D83" s="135">
        <v>4.21</v>
      </c>
      <c r="E83" s="135">
        <f>(B83*C83+B83*D83*16.32)*12</f>
        <v>0</v>
      </c>
      <c r="F83" s="27">
        <v>47</v>
      </c>
      <c r="G83" s="26">
        <v>208</v>
      </c>
      <c r="H83" s="13">
        <f t="shared" si="91"/>
        <v>0</v>
      </c>
      <c r="I83" s="57">
        <f t="shared" si="9"/>
        <v>20.147069944269457</v>
      </c>
      <c r="J83" s="57">
        <f t="shared" si="92"/>
        <v>0</v>
      </c>
      <c r="K83" s="13">
        <f t="shared" si="12"/>
        <v>3.5569375450134083E-2</v>
      </c>
      <c r="M83" s="57">
        <f t="shared" si="13"/>
        <v>3.629898504963168E-2</v>
      </c>
      <c r="N83" s="60">
        <f t="shared" si="14"/>
        <v>4.25</v>
      </c>
      <c r="O83" s="60">
        <f t="shared" si="15"/>
        <v>4.25</v>
      </c>
      <c r="P83" s="13">
        <f>(B83*N83+B83*O83*16.32)*12</f>
        <v>0</v>
      </c>
      <c r="Q83" s="13">
        <f t="shared" si="16"/>
        <v>0</v>
      </c>
      <c r="R83" s="51"/>
      <c r="S83" s="48">
        <f t="shared" si="17"/>
        <v>9.5011876484560661E-3</v>
      </c>
    </row>
    <row r="84" spans="1:19" x14ac:dyDescent="0.25">
      <c r="A84" s="59" t="s">
        <v>178</v>
      </c>
      <c r="B84" s="135">
        <v>3</v>
      </c>
      <c r="C84" s="135">
        <v>4.21</v>
      </c>
      <c r="D84" s="135">
        <v>4.21</v>
      </c>
      <c r="E84" s="135">
        <f>(B84*C84+B84*D84*20.65)*12</f>
        <v>3281.2739999999994</v>
      </c>
      <c r="F84" s="27">
        <v>47</v>
      </c>
      <c r="G84" s="26">
        <v>260</v>
      </c>
      <c r="H84" s="13">
        <f t="shared" ref="H84" si="119">+G84*F84*B84/2000</f>
        <v>18.329999999999998</v>
      </c>
      <c r="I84" s="57">
        <f t="shared" ref="I84" si="120">+F84*$I$8</f>
        <v>20.147069944269457</v>
      </c>
      <c r="J84" s="57">
        <f t="shared" ref="J84" si="121">+G84*I84*B84/2000</f>
        <v>7.8573572782650887</v>
      </c>
      <c r="K84" s="13">
        <f t="shared" ref="K84" si="122">+I84*$K$10</f>
        <v>3.5569375450134083E-2</v>
      </c>
      <c r="M84" s="57">
        <f t="shared" ref="M84" si="123">+K84/$M$10</f>
        <v>3.629898504963168E-2</v>
      </c>
      <c r="N84" s="60">
        <f t="shared" ref="N84" si="124">ROUND(C84+M84,2)</f>
        <v>4.25</v>
      </c>
      <c r="O84" s="60">
        <f t="shared" ref="O84" si="125">ROUND(D84+M84,2)</f>
        <v>4.25</v>
      </c>
      <c r="P84" s="13">
        <f>(B84*N84+B84*O84*20.65)*12</f>
        <v>3312.45</v>
      </c>
      <c r="Q84" s="13">
        <f t="shared" ref="Q84" si="126">+P84-E84</f>
        <v>31.176000000000386</v>
      </c>
      <c r="R84" s="51"/>
      <c r="S84" s="48">
        <f t="shared" ref="S84" si="127">(N84-C84)/C84</f>
        <v>9.5011876484560661E-3</v>
      </c>
    </row>
    <row r="85" spans="1:19" x14ac:dyDescent="0.25">
      <c r="A85" s="55" t="s">
        <v>18</v>
      </c>
      <c r="B85" s="135">
        <v>0</v>
      </c>
      <c r="C85" s="135">
        <v>4.21</v>
      </c>
      <c r="D85" s="135">
        <v>4.21</v>
      </c>
      <c r="E85" s="135">
        <f>(B85*C85+B85*D85*24.98)*12</f>
        <v>0</v>
      </c>
      <c r="F85" s="27">
        <v>47</v>
      </c>
      <c r="G85" s="26">
        <f>52*6</f>
        <v>312</v>
      </c>
      <c r="H85" s="13">
        <f t="shared" si="91"/>
        <v>0</v>
      </c>
      <c r="I85" s="57">
        <f t="shared" si="9"/>
        <v>20.147069944269457</v>
      </c>
      <c r="J85" s="57">
        <f t="shared" si="92"/>
        <v>0</v>
      </c>
      <c r="K85" s="13">
        <f t="shared" si="12"/>
        <v>3.5569375450134083E-2</v>
      </c>
      <c r="M85" s="57">
        <f t="shared" si="13"/>
        <v>3.629898504963168E-2</v>
      </c>
      <c r="N85" s="60">
        <f t="shared" si="14"/>
        <v>4.25</v>
      </c>
      <c r="O85" s="60">
        <f t="shared" si="15"/>
        <v>4.25</v>
      </c>
      <c r="P85" s="13">
        <f>(B85*N85+B85*O85*24.98)*12</f>
        <v>0</v>
      </c>
      <c r="Q85" s="13">
        <f t="shared" si="16"/>
        <v>0</v>
      </c>
      <c r="R85" s="51"/>
      <c r="S85" s="48">
        <f t="shared" si="17"/>
        <v>9.5011876484560661E-3</v>
      </c>
    </row>
    <row r="86" spans="1:19" x14ac:dyDescent="0.25">
      <c r="A86" s="55" t="s">
        <v>17</v>
      </c>
      <c r="B86" s="135">
        <v>35</v>
      </c>
      <c r="C86" s="135">
        <v>116.97</v>
      </c>
      <c r="D86" s="135">
        <v>98.89</v>
      </c>
      <c r="E86" s="135">
        <f>(B86*C86+B86*D86*3.33)*12</f>
        <v>187434.954</v>
      </c>
      <c r="F86" s="28">
        <v>980</v>
      </c>
      <c r="G86" s="66">
        <f>+G32</f>
        <v>52</v>
      </c>
      <c r="H86" s="13">
        <f t="shared" si="91"/>
        <v>891.8</v>
      </c>
      <c r="I86" s="57">
        <f t="shared" si="9"/>
        <v>420.08784139115039</v>
      </c>
      <c r="J86" s="57">
        <f t="shared" si="92"/>
        <v>382.27993566594682</v>
      </c>
      <c r="K86" s="13">
        <f t="shared" si="12"/>
        <v>0.74165931789641282</v>
      </c>
      <c r="M86" s="57">
        <f t="shared" si="13"/>
        <v>0.75687245422636273</v>
      </c>
      <c r="N86" s="60">
        <f t="shared" si="14"/>
        <v>117.73</v>
      </c>
      <c r="O86" s="60">
        <f t="shared" si="15"/>
        <v>99.65</v>
      </c>
      <c r="P86" s="13">
        <f>(B86*N86+B86*O86*3.33)*12</f>
        <v>188817.09</v>
      </c>
      <c r="Q86" s="13">
        <f t="shared" si="16"/>
        <v>1382.1359999999986</v>
      </c>
      <c r="R86" s="51"/>
      <c r="S86" s="48">
        <f t="shared" si="17"/>
        <v>6.4973924938018729E-3</v>
      </c>
    </row>
    <row r="87" spans="1:19" x14ac:dyDescent="0.25">
      <c r="A87" s="55" t="s">
        <v>16</v>
      </c>
      <c r="B87" s="135">
        <v>9</v>
      </c>
      <c r="C87" s="135">
        <v>116.97</v>
      </c>
      <c r="D87" s="135">
        <v>98.89</v>
      </c>
      <c r="E87" s="135">
        <f>(B87*C87+B87*D87*7.66)*12</f>
        <v>94442.479200000002</v>
      </c>
      <c r="F87" s="28">
        <v>980</v>
      </c>
      <c r="G87" s="66">
        <f>+G33</f>
        <v>104</v>
      </c>
      <c r="H87" s="13">
        <f t="shared" si="91"/>
        <v>458.64</v>
      </c>
      <c r="I87" s="57">
        <f t="shared" si="9"/>
        <v>420.08784139115039</v>
      </c>
      <c r="J87" s="57">
        <f t="shared" si="92"/>
        <v>196.60110977105836</v>
      </c>
      <c r="K87" s="13">
        <f t="shared" si="12"/>
        <v>0.74165931789641282</v>
      </c>
      <c r="M87" s="57">
        <f t="shared" si="13"/>
        <v>0.75687245422636273</v>
      </c>
      <c r="N87" s="60">
        <f t="shared" si="14"/>
        <v>117.73</v>
      </c>
      <c r="O87" s="60">
        <f t="shared" si="15"/>
        <v>99.65</v>
      </c>
      <c r="P87" s="13">
        <f>(B87*N87+B87*O87*7.66)*12</f>
        <v>95153.292000000001</v>
      </c>
      <c r="Q87" s="13">
        <f t="shared" si="16"/>
        <v>710.8127999999997</v>
      </c>
      <c r="R87" s="51"/>
      <c r="S87" s="48">
        <f t="shared" si="17"/>
        <v>6.4973924938018729E-3</v>
      </c>
    </row>
    <row r="88" spans="1:19" x14ac:dyDescent="0.25">
      <c r="A88" s="55" t="s">
        <v>15</v>
      </c>
      <c r="B88" s="135">
        <v>13</v>
      </c>
      <c r="C88" s="135">
        <v>116.97</v>
      </c>
      <c r="D88" s="135">
        <v>98.89</v>
      </c>
      <c r="E88" s="135">
        <f>(B88*C88+B88*D88*11.99)*12</f>
        <v>203215.13160000002</v>
      </c>
      <c r="F88" s="28">
        <v>980</v>
      </c>
      <c r="G88" s="66">
        <f>52*3</f>
        <v>156</v>
      </c>
      <c r="H88" s="13">
        <f t="shared" si="91"/>
        <v>993.72</v>
      </c>
      <c r="I88" s="57">
        <f t="shared" si="9"/>
        <v>420.08784139115039</v>
      </c>
      <c r="J88" s="57">
        <f t="shared" si="92"/>
        <v>425.96907117062648</v>
      </c>
      <c r="K88" s="13">
        <f t="shared" si="12"/>
        <v>0.74165931789641282</v>
      </c>
      <c r="M88" s="57">
        <f t="shared" si="13"/>
        <v>0.75687245422636273</v>
      </c>
      <c r="N88" s="60">
        <f t="shared" si="14"/>
        <v>117.73</v>
      </c>
      <c r="O88" s="60">
        <f t="shared" si="15"/>
        <v>99.65</v>
      </c>
      <c r="P88" s="13">
        <f>(B88*N88+B88*O88*11.99)*12</f>
        <v>204755.22600000002</v>
      </c>
      <c r="Q88" s="13">
        <f t="shared" si="16"/>
        <v>1540.0944000000018</v>
      </c>
      <c r="R88" s="51"/>
      <c r="S88" s="48">
        <f t="shared" si="17"/>
        <v>6.4973924938018729E-3</v>
      </c>
    </row>
    <row r="89" spans="1:19" x14ac:dyDescent="0.25">
      <c r="A89" s="55" t="s">
        <v>14</v>
      </c>
      <c r="B89" s="135">
        <v>7</v>
      </c>
      <c r="C89" s="135">
        <v>116.97</v>
      </c>
      <c r="D89" s="135">
        <v>98.89</v>
      </c>
      <c r="E89" s="135">
        <f>(B89*C89+B89*D89*16.32)*12</f>
        <v>145391.80319999999</v>
      </c>
      <c r="F89" s="28">
        <v>980</v>
      </c>
      <c r="G89" s="66">
        <f>52*4</f>
        <v>208</v>
      </c>
      <c r="H89" s="13">
        <f t="shared" si="91"/>
        <v>713.44</v>
      </c>
      <c r="I89" s="57">
        <f t="shared" si="9"/>
        <v>420.08784139115039</v>
      </c>
      <c r="J89" s="57">
        <f t="shared" si="92"/>
        <v>305.82394853275747</v>
      </c>
      <c r="K89" s="13">
        <f t="shared" si="12"/>
        <v>0.74165931789641282</v>
      </c>
      <c r="M89" s="57">
        <f t="shared" si="13"/>
        <v>0.75687245422636273</v>
      </c>
      <c r="N89" s="60">
        <f t="shared" si="14"/>
        <v>117.73</v>
      </c>
      <c r="O89" s="60">
        <f t="shared" si="15"/>
        <v>99.65</v>
      </c>
      <c r="P89" s="13">
        <f>(B89*N89+B89*O89*16.32)*12</f>
        <v>146497.51200000002</v>
      </c>
      <c r="Q89" s="13">
        <f t="shared" si="16"/>
        <v>1105.7088000000222</v>
      </c>
      <c r="R89" s="51"/>
      <c r="S89" s="48">
        <f t="shared" si="17"/>
        <v>6.4973924938018729E-3</v>
      </c>
    </row>
    <row r="90" spans="1:19" x14ac:dyDescent="0.25">
      <c r="A90" s="55" t="s">
        <v>13</v>
      </c>
      <c r="B90" s="135">
        <v>2</v>
      </c>
      <c r="C90" s="135">
        <v>116.97</v>
      </c>
      <c r="D90" s="135">
        <v>98.89</v>
      </c>
      <c r="E90" s="135">
        <f>(B90*C90+B90*D90*20.65)*12</f>
        <v>51817.163999999997</v>
      </c>
      <c r="F90" s="28">
        <v>980</v>
      </c>
      <c r="G90" s="66">
        <f>52*5</f>
        <v>260</v>
      </c>
      <c r="H90" s="13">
        <f t="shared" si="91"/>
        <v>254.8</v>
      </c>
      <c r="I90" s="57">
        <f t="shared" si="9"/>
        <v>420.08784139115039</v>
      </c>
      <c r="J90" s="57">
        <f t="shared" si="92"/>
        <v>109.22283876169909</v>
      </c>
      <c r="K90" s="13">
        <f t="shared" si="12"/>
        <v>0.74165931789641282</v>
      </c>
      <c r="M90" s="57">
        <f t="shared" si="13"/>
        <v>0.75687245422636273</v>
      </c>
      <c r="N90" s="60">
        <f t="shared" si="14"/>
        <v>117.73</v>
      </c>
      <c r="O90" s="60">
        <f t="shared" si="15"/>
        <v>99.65</v>
      </c>
      <c r="P90" s="13">
        <f>(B90*N90+B90*O90*20.65)*12</f>
        <v>52212.06</v>
      </c>
      <c r="Q90" s="13">
        <f t="shared" si="16"/>
        <v>394.89600000000064</v>
      </c>
      <c r="R90" s="51"/>
      <c r="S90" s="48">
        <f t="shared" si="17"/>
        <v>6.4973924938018729E-3</v>
      </c>
    </row>
    <row r="91" spans="1:19" x14ac:dyDescent="0.25">
      <c r="A91" s="59" t="s">
        <v>179</v>
      </c>
      <c r="B91" s="135">
        <v>2</v>
      </c>
      <c r="C91" s="135">
        <v>116.97</v>
      </c>
      <c r="D91" s="135">
        <v>98.89</v>
      </c>
      <c r="E91" s="135">
        <f>(B91*C91+B91*D91*24.98)*12</f>
        <v>62093.812799999992</v>
      </c>
      <c r="F91" s="28">
        <v>980</v>
      </c>
      <c r="G91" s="66">
        <v>312</v>
      </c>
      <c r="H91" s="13">
        <f t="shared" ref="H91" si="128">+G91*F91*B91/2000</f>
        <v>305.76</v>
      </c>
      <c r="I91" s="57">
        <f t="shared" ref="I91" si="129">+F91*$I$8</f>
        <v>420.08784139115039</v>
      </c>
      <c r="J91" s="57">
        <f t="shared" ref="J91" si="130">+G91*I91*B91/2000</f>
        <v>131.06740651403894</v>
      </c>
      <c r="K91" s="13">
        <f t="shared" ref="K91" si="131">+I91*$K$10</f>
        <v>0.74165931789641282</v>
      </c>
      <c r="M91" s="57">
        <f t="shared" ref="M91" si="132">+K91/$M$10</f>
        <v>0.75687245422636273</v>
      </c>
      <c r="N91" s="60">
        <f t="shared" ref="N91" si="133">ROUND(C91+M91,2)</f>
        <v>117.73</v>
      </c>
      <c r="O91" s="60">
        <f t="shared" ref="O91" si="134">ROUND(D91+M91,2)</f>
        <v>99.65</v>
      </c>
      <c r="P91" s="13">
        <f>(B91*N91+B91*O91*24.98)*12</f>
        <v>62567.688000000002</v>
      </c>
      <c r="Q91" s="13">
        <f t="shared" ref="Q91" si="135">+P91-E91</f>
        <v>473.8752000000095</v>
      </c>
      <c r="R91" s="51"/>
      <c r="S91" s="48">
        <f t="shared" ref="S91" si="136">(N91-C91)/C91</f>
        <v>6.4973924938018729E-3</v>
      </c>
    </row>
    <row r="92" spans="1:19" x14ac:dyDescent="0.25">
      <c r="A92" s="55" t="s">
        <v>12</v>
      </c>
      <c r="B92" s="135">
        <v>3</v>
      </c>
      <c r="C92" s="135">
        <v>116.97</v>
      </c>
      <c r="D92" s="135">
        <v>98.89</v>
      </c>
      <c r="E92" s="135">
        <f>(B92*C92+B92*D92*1.17)*12</f>
        <v>8376.1667999999991</v>
      </c>
      <c r="F92" s="27">
        <v>980</v>
      </c>
      <c r="G92" s="26">
        <v>26</v>
      </c>
      <c r="H92" s="13">
        <f t="shared" si="91"/>
        <v>38.22</v>
      </c>
      <c r="I92" s="57">
        <f t="shared" si="9"/>
        <v>420.08784139115039</v>
      </c>
      <c r="J92" s="57">
        <f t="shared" si="92"/>
        <v>16.383425814254863</v>
      </c>
      <c r="K92" s="13">
        <f t="shared" si="12"/>
        <v>0.74165931789641282</v>
      </c>
      <c r="M92" s="57">
        <f t="shared" si="13"/>
        <v>0.75687245422636273</v>
      </c>
      <c r="N92" s="60">
        <f t="shared" si="14"/>
        <v>117.73</v>
      </c>
      <c r="O92" s="60">
        <f t="shared" si="15"/>
        <v>99.65</v>
      </c>
      <c r="P92" s="13">
        <f>(B92*N92+B92*O92*1.17)*12</f>
        <v>8435.5380000000005</v>
      </c>
      <c r="Q92" s="13">
        <f t="shared" si="16"/>
        <v>59.371200000001409</v>
      </c>
      <c r="R92" s="51"/>
      <c r="S92" s="48">
        <f t="shared" si="17"/>
        <v>6.4973924938018729E-3</v>
      </c>
    </row>
    <row r="93" spans="1:19" x14ac:dyDescent="0.25">
      <c r="A93" s="55" t="s">
        <v>11</v>
      </c>
      <c r="B93" s="135">
        <v>690</v>
      </c>
      <c r="C93" s="135">
        <v>6.56</v>
      </c>
      <c r="D93" s="135">
        <v>6.56</v>
      </c>
      <c r="E93" s="135">
        <f>(B93*C93+B93*D93*3.33)*12</f>
        <v>235191.74399999998</v>
      </c>
      <c r="F93" s="27">
        <f>+F17</f>
        <v>68</v>
      </c>
      <c r="G93" s="26">
        <v>52</v>
      </c>
      <c r="H93" s="13">
        <f t="shared" si="91"/>
        <v>1219.92</v>
      </c>
      <c r="I93" s="57">
        <f t="shared" si="9"/>
        <v>29.148952259794111</v>
      </c>
      <c r="J93" s="57">
        <f t="shared" si="92"/>
        <v>522.93220354070627</v>
      </c>
      <c r="K93" s="13">
        <f t="shared" si="12"/>
        <v>5.1462075119342934E-2</v>
      </c>
      <c r="M93" s="57">
        <f t="shared" si="13"/>
        <v>5.2517680497339458E-2</v>
      </c>
      <c r="N93" s="60">
        <f t="shared" si="14"/>
        <v>6.61</v>
      </c>
      <c r="O93" s="60">
        <f t="shared" si="15"/>
        <v>6.61</v>
      </c>
      <c r="P93" s="13">
        <f>(B93*N93+B93*O93*3.33)*12</f>
        <v>236984.36400000006</v>
      </c>
      <c r="Q93" s="13">
        <f t="shared" si="16"/>
        <v>1792.6200000000827</v>
      </c>
      <c r="R93" s="51"/>
      <c r="S93" s="48">
        <f t="shared" si="17"/>
        <v>7.6219512195123042E-3</v>
      </c>
    </row>
    <row r="94" spans="1:19" x14ac:dyDescent="0.25">
      <c r="A94" s="55" t="s">
        <v>10</v>
      </c>
      <c r="B94" s="135">
        <v>36</v>
      </c>
      <c r="C94" s="135">
        <v>6.56</v>
      </c>
      <c r="D94" s="135">
        <v>6.56</v>
      </c>
      <c r="E94" s="135">
        <f>(B94*C94+B94*D94*7.66)*12</f>
        <v>24541.747200000002</v>
      </c>
      <c r="F94" s="27">
        <v>68</v>
      </c>
      <c r="G94" s="26">
        <v>104</v>
      </c>
      <c r="H94" s="13">
        <f t="shared" si="91"/>
        <v>127.29600000000001</v>
      </c>
      <c r="I94" s="57">
        <f t="shared" si="9"/>
        <v>29.148952259794111</v>
      </c>
      <c r="J94" s="57">
        <f t="shared" si="92"/>
        <v>54.566838630334573</v>
      </c>
      <c r="K94" s="13">
        <f t="shared" si="12"/>
        <v>5.1462075119342934E-2</v>
      </c>
      <c r="M94" s="57">
        <f t="shared" si="13"/>
        <v>5.2517680497339458E-2</v>
      </c>
      <c r="N94" s="60">
        <f t="shared" si="14"/>
        <v>6.61</v>
      </c>
      <c r="O94" s="60">
        <f t="shared" si="15"/>
        <v>6.61</v>
      </c>
      <c r="P94" s="13">
        <f>(B94*N94+B94*O94*7.66)*12</f>
        <v>24728.803200000002</v>
      </c>
      <c r="Q94" s="13">
        <f>+P94-E94</f>
        <v>187.05600000000049</v>
      </c>
      <c r="R94" s="51"/>
      <c r="S94" s="48">
        <f t="shared" si="17"/>
        <v>7.6219512195123042E-3</v>
      </c>
    </row>
    <row r="95" spans="1:19" x14ac:dyDescent="0.25">
      <c r="A95" s="55" t="s">
        <v>9</v>
      </c>
      <c r="B95" s="135">
        <v>5</v>
      </c>
      <c r="C95" s="135">
        <v>6.56</v>
      </c>
      <c r="D95" s="135">
        <v>6.56</v>
      </c>
      <c r="E95" s="135">
        <f>(B95*C95+B95*D95*11.99)*12</f>
        <v>5112.8639999999996</v>
      </c>
      <c r="F95" s="27">
        <v>68</v>
      </c>
      <c r="G95" s="26">
        <f>52*3</f>
        <v>156</v>
      </c>
      <c r="H95" s="13">
        <f t="shared" si="91"/>
        <v>26.52</v>
      </c>
      <c r="I95" s="57">
        <f t="shared" si="9"/>
        <v>29.148952259794111</v>
      </c>
      <c r="J95" s="57">
        <f t="shared" si="92"/>
        <v>11.368091381319703</v>
      </c>
      <c r="K95" s="13">
        <f t="shared" si="12"/>
        <v>5.1462075119342934E-2</v>
      </c>
      <c r="M95" s="57">
        <f t="shared" si="13"/>
        <v>5.2517680497339458E-2</v>
      </c>
      <c r="N95" s="60">
        <f t="shared" si="14"/>
        <v>6.61</v>
      </c>
      <c r="O95" s="60">
        <f t="shared" si="15"/>
        <v>6.61</v>
      </c>
      <c r="P95" s="13">
        <f>(B95*N95+B95*O95*11.99)*12</f>
        <v>5151.8340000000007</v>
      </c>
      <c r="Q95" s="13">
        <f t="shared" si="16"/>
        <v>38.970000000001164</v>
      </c>
      <c r="R95" s="51"/>
      <c r="S95" s="48">
        <f t="shared" si="17"/>
        <v>7.6219512195123042E-3</v>
      </c>
    </row>
    <row r="96" spans="1:19" x14ac:dyDescent="0.25">
      <c r="A96" s="59" t="s">
        <v>180</v>
      </c>
      <c r="B96" s="135">
        <v>4</v>
      </c>
      <c r="C96" s="135">
        <v>6.56</v>
      </c>
      <c r="D96" s="135">
        <v>6.56</v>
      </c>
      <c r="E96" s="135">
        <f>(B96*C96+B96*D96*16.32)*12</f>
        <v>5453.7215999999999</v>
      </c>
      <c r="F96" s="27">
        <v>68</v>
      </c>
      <c r="G96" s="26">
        <v>208</v>
      </c>
      <c r="H96" s="13">
        <f t="shared" ref="H96:H97" si="137">+G96*F96*B96/2000</f>
        <v>28.288</v>
      </c>
      <c r="I96" s="57">
        <f t="shared" ref="I96:I97" si="138">+F96*$I$8</f>
        <v>29.148952259794111</v>
      </c>
      <c r="J96" s="57">
        <f t="shared" ref="J96:J97" si="139">+G96*I96*B96/2000</f>
        <v>12.12596414007435</v>
      </c>
      <c r="K96" s="13">
        <f t="shared" ref="K96:K97" si="140">+I96*$K$10</f>
        <v>5.1462075119342934E-2</v>
      </c>
      <c r="M96" s="57">
        <f t="shared" ref="M96:M97" si="141">+K96/$M$10</f>
        <v>5.2517680497339458E-2</v>
      </c>
      <c r="N96" s="60">
        <f t="shared" ref="N96:N97" si="142">ROUND(C96+M96,2)</f>
        <v>6.61</v>
      </c>
      <c r="O96" s="60">
        <f t="shared" ref="O96:O97" si="143">ROUND(D96+M96,2)</f>
        <v>6.61</v>
      </c>
      <c r="P96" s="13">
        <f>(B96*N96+B96*O96*16.32)*12</f>
        <v>5495.2896000000001</v>
      </c>
      <c r="Q96" s="13">
        <f t="shared" ref="Q96:Q97" si="144">+P96-E96</f>
        <v>41.568000000000211</v>
      </c>
      <c r="R96" s="51"/>
      <c r="S96" s="48">
        <f t="shared" ref="S96:S97" si="145">(N96-C96)/C96</f>
        <v>7.6219512195123042E-3</v>
      </c>
    </row>
    <row r="97" spans="1:20" x14ac:dyDescent="0.25">
      <c r="A97" s="59" t="s">
        <v>181</v>
      </c>
      <c r="B97" s="135">
        <v>0</v>
      </c>
      <c r="C97" s="135">
        <v>6.56</v>
      </c>
      <c r="D97" s="135">
        <v>6.56</v>
      </c>
      <c r="E97" s="135">
        <f>(B97*C97+B97*D97*20.65)*12</f>
        <v>0</v>
      </c>
      <c r="F97" s="27">
        <v>68</v>
      </c>
      <c r="G97" s="26">
        <v>260</v>
      </c>
      <c r="H97" s="13">
        <f t="shared" si="137"/>
        <v>0</v>
      </c>
      <c r="I97" s="57">
        <f t="shared" si="138"/>
        <v>29.148952259794111</v>
      </c>
      <c r="J97" s="57">
        <f t="shared" si="139"/>
        <v>0</v>
      </c>
      <c r="K97" s="13">
        <f t="shared" si="140"/>
        <v>5.1462075119342934E-2</v>
      </c>
      <c r="M97" s="57">
        <f t="shared" si="141"/>
        <v>5.2517680497339458E-2</v>
      </c>
      <c r="N97" s="60">
        <f t="shared" si="142"/>
        <v>6.61</v>
      </c>
      <c r="O97" s="60">
        <f t="shared" si="143"/>
        <v>6.61</v>
      </c>
      <c r="P97" s="13">
        <f>(B97*N97+B97*O97*20.65)*12</f>
        <v>0</v>
      </c>
      <c r="Q97" s="13">
        <f t="shared" si="144"/>
        <v>0</v>
      </c>
      <c r="R97" s="51"/>
      <c r="S97" s="48">
        <f t="shared" si="145"/>
        <v>7.6219512195123042E-3</v>
      </c>
    </row>
    <row r="98" spans="1:20" x14ac:dyDescent="0.25">
      <c r="A98" s="55" t="s">
        <v>8</v>
      </c>
      <c r="B98" s="135">
        <v>2</v>
      </c>
      <c r="C98" s="135">
        <v>6.56</v>
      </c>
      <c r="D98" s="135">
        <v>6.56</v>
      </c>
      <c r="E98" s="135">
        <f>(B98*C98+B98*D98*24.98)*12</f>
        <v>4090.2911999999997</v>
      </c>
      <c r="F98" s="28">
        <v>68</v>
      </c>
      <c r="G98" s="26">
        <f>52*6</f>
        <v>312</v>
      </c>
      <c r="H98" s="13">
        <f t="shared" si="91"/>
        <v>21.216000000000001</v>
      </c>
      <c r="I98" s="57">
        <f t="shared" si="9"/>
        <v>29.148952259794111</v>
      </c>
      <c r="J98" s="57">
        <f t="shared" si="92"/>
        <v>9.0944731050557621</v>
      </c>
      <c r="K98" s="13">
        <f t="shared" si="12"/>
        <v>5.1462075119342934E-2</v>
      </c>
      <c r="M98" s="57">
        <f t="shared" si="13"/>
        <v>5.2517680497339458E-2</v>
      </c>
      <c r="N98" s="60">
        <f t="shared" si="14"/>
        <v>6.61</v>
      </c>
      <c r="O98" s="60">
        <f t="shared" si="15"/>
        <v>6.61</v>
      </c>
      <c r="P98" s="13">
        <f>(B98*N98+B98*O98*24.98)*12</f>
        <v>4121.467200000001</v>
      </c>
      <c r="Q98" s="13">
        <f t="shared" si="16"/>
        <v>31.176000000001295</v>
      </c>
      <c r="R98" s="51"/>
      <c r="S98" s="48">
        <f t="shared" si="17"/>
        <v>7.6219512195123042E-3</v>
      </c>
    </row>
    <row r="99" spans="1:20" x14ac:dyDescent="0.25">
      <c r="A99" s="55" t="s">
        <v>7</v>
      </c>
      <c r="B99" s="135">
        <v>71</v>
      </c>
      <c r="C99" s="135">
        <v>2.76</v>
      </c>
      <c r="D99" s="135">
        <v>2.76</v>
      </c>
      <c r="E99" s="135">
        <f>(B99*C99+B99*D99*3.33)*12</f>
        <v>10182.081599999998</v>
      </c>
      <c r="F99" s="28">
        <f>+F11</f>
        <v>34</v>
      </c>
      <c r="G99" s="26">
        <v>52</v>
      </c>
      <c r="H99" s="13">
        <f t="shared" si="91"/>
        <v>62.764000000000003</v>
      </c>
      <c r="I99" s="57">
        <f t="shared" si="9"/>
        <v>14.574476129897056</v>
      </c>
      <c r="J99" s="57">
        <f t="shared" si="92"/>
        <v>26.904482935789961</v>
      </c>
      <c r="K99" s="13">
        <f t="shared" si="12"/>
        <v>2.5731037559671467E-2</v>
      </c>
      <c r="M99" s="57">
        <f t="shared" si="13"/>
        <v>2.6258840248669729E-2</v>
      </c>
      <c r="N99" s="60">
        <f t="shared" si="14"/>
        <v>2.79</v>
      </c>
      <c r="O99" s="60">
        <f t="shared" si="15"/>
        <v>2.79</v>
      </c>
      <c r="P99" s="13">
        <f>(B99*N99+B99*O99*3.33)*12</f>
        <v>10292.756400000002</v>
      </c>
      <c r="Q99" s="13">
        <f t="shared" si="16"/>
        <v>110.67480000000432</v>
      </c>
      <c r="R99" s="51"/>
      <c r="S99" s="48">
        <f t="shared" si="17"/>
        <v>1.0869565217391396E-2</v>
      </c>
    </row>
    <row r="100" spans="1:20" x14ac:dyDescent="0.25">
      <c r="A100" s="59" t="s">
        <v>182</v>
      </c>
      <c r="B100" s="135">
        <v>0</v>
      </c>
      <c r="C100" s="135">
        <v>2.76</v>
      </c>
      <c r="D100" s="135">
        <v>2.76</v>
      </c>
      <c r="E100" s="135">
        <f>(B100*C100+B100*D100*7.66)*12</f>
        <v>0</v>
      </c>
      <c r="F100" s="28">
        <f t="shared" ref="F100:F101" si="146">+F12</f>
        <v>34</v>
      </c>
      <c r="G100" s="26">
        <v>104</v>
      </c>
      <c r="H100" s="13">
        <f t="shared" ref="H100:H102" si="147">+G100*F100*B100/2000</f>
        <v>0</v>
      </c>
      <c r="I100" s="57">
        <f t="shared" ref="I100:I101" si="148">+F100*$I$8</f>
        <v>14.574476129897056</v>
      </c>
      <c r="J100" s="57">
        <f t="shared" ref="J100:J102" si="149">+G100*I100*B100/2000</f>
        <v>0</v>
      </c>
      <c r="K100" s="13">
        <f t="shared" ref="K100:K101" si="150">+I100*$K$10</f>
        <v>2.5731037559671467E-2</v>
      </c>
      <c r="M100" s="57">
        <f t="shared" ref="M100:M102" si="151">+K100/$M$10</f>
        <v>2.6258840248669729E-2</v>
      </c>
      <c r="N100" s="60">
        <f t="shared" ref="N100:N101" si="152">ROUND(C100+M100,2)</f>
        <v>2.79</v>
      </c>
      <c r="O100" s="60">
        <f t="shared" ref="O100:O102" si="153">ROUND(D100+M100,2)</f>
        <v>2.79</v>
      </c>
      <c r="P100" s="13">
        <f>(B100*N100+B100*O100*7.66)*12</f>
        <v>0</v>
      </c>
      <c r="Q100" s="13">
        <f t="shared" ref="Q100:Q102" si="154">+P100-E100</f>
        <v>0</v>
      </c>
      <c r="R100" s="51"/>
      <c r="S100" s="48">
        <f t="shared" ref="S100:S102" si="155">(N100-C100)/C100</f>
        <v>1.0869565217391396E-2</v>
      </c>
    </row>
    <row r="101" spans="1:20" x14ac:dyDescent="0.25">
      <c r="A101" s="59" t="s">
        <v>183</v>
      </c>
      <c r="B101" s="135">
        <v>0</v>
      </c>
      <c r="C101" s="135">
        <v>2.76</v>
      </c>
      <c r="D101" s="135">
        <v>2.76</v>
      </c>
      <c r="E101" s="135">
        <f>(B101*C101+B101*D101*11.99)*12</f>
        <v>0</v>
      </c>
      <c r="F101" s="28">
        <f t="shared" si="146"/>
        <v>34</v>
      </c>
      <c r="G101" s="26">
        <v>156</v>
      </c>
      <c r="H101" s="13">
        <f t="shared" si="147"/>
        <v>0</v>
      </c>
      <c r="I101" s="57">
        <f t="shared" si="148"/>
        <v>14.574476129897056</v>
      </c>
      <c r="J101" s="57">
        <f t="shared" si="149"/>
        <v>0</v>
      </c>
      <c r="K101" s="13">
        <f t="shared" si="150"/>
        <v>2.5731037559671467E-2</v>
      </c>
      <c r="M101" s="57">
        <f>+K101/$M$10</f>
        <v>2.6258840248669729E-2</v>
      </c>
      <c r="N101" s="60">
        <f t="shared" si="152"/>
        <v>2.79</v>
      </c>
      <c r="O101" s="60">
        <f t="shared" si="153"/>
        <v>2.79</v>
      </c>
      <c r="P101" s="13">
        <f>(B101*N101+B101*O101*11.99)*12</f>
        <v>0</v>
      </c>
      <c r="Q101" s="13">
        <f t="shared" si="154"/>
        <v>0</v>
      </c>
      <c r="R101" s="51"/>
      <c r="S101" s="48">
        <f t="shared" si="155"/>
        <v>1.0869565217391396E-2</v>
      </c>
    </row>
    <row r="102" spans="1:20" x14ac:dyDescent="0.25">
      <c r="A102" s="59" t="s">
        <v>184</v>
      </c>
      <c r="B102" s="135">
        <v>0</v>
      </c>
      <c r="C102" s="135">
        <v>2.76</v>
      </c>
      <c r="D102" s="135">
        <v>2.76</v>
      </c>
      <c r="E102" s="135">
        <f>(B102*C102+B102*D102*16.32)*12</f>
        <v>0</v>
      </c>
      <c r="F102" s="28">
        <v>34</v>
      </c>
      <c r="G102" s="26">
        <v>208</v>
      </c>
      <c r="H102" s="13">
        <f t="shared" si="147"/>
        <v>0</v>
      </c>
      <c r="I102" s="57">
        <f>+F102*$I$8</f>
        <v>14.574476129897056</v>
      </c>
      <c r="J102" s="57">
        <f t="shared" si="149"/>
        <v>0</v>
      </c>
      <c r="K102" s="13">
        <f>+I102*$K$10</f>
        <v>2.5731037559671467E-2</v>
      </c>
      <c r="M102" s="57">
        <f t="shared" si="151"/>
        <v>2.6258840248669729E-2</v>
      </c>
      <c r="N102" s="60">
        <f>ROUND(C102+M102,2)</f>
        <v>2.79</v>
      </c>
      <c r="O102" s="60">
        <f t="shared" si="153"/>
        <v>2.79</v>
      </c>
      <c r="P102" s="13">
        <f>(B102*N102+B102*O102*16.32)*12</f>
        <v>0</v>
      </c>
      <c r="Q102" s="13">
        <f t="shared" si="154"/>
        <v>0</v>
      </c>
      <c r="R102" s="51"/>
      <c r="S102" s="48">
        <f t="shared" si="155"/>
        <v>1.0869565217391396E-2</v>
      </c>
    </row>
    <row r="103" spans="1:20" s="39" customFormat="1" x14ac:dyDescent="0.25">
      <c r="A103" s="65" t="s">
        <v>94</v>
      </c>
      <c r="B103" s="134">
        <v>2037</v>
      </c>
      <c r="C103" s="135">
        <v>2.76</v>
      </c>
      <c r="D103" s="135"/>
      <c r="E103" s="135">
        <f>+B103*C103*12</f>
        <v>67465.440000000002</v>
      </c>
      <c r="F103" s="66">
        <f>+F99</f>
        <v>34</v>
      </c>
      <c r="G103" s="26">
        <v>1</v>
      </c>
      <c r="H103" s="67">
        <f t="shared" si="91"/>
        <v>34.628999999999998</v>
      </c>
      <c r="I103" s="51">
        <f>+F103*$I$8</f>
        <v>14.574476129897056</v>
      </c>
      <c r="J103" s="51">
        <f>+G103*I103*B103/2000</f>
        <v>14.844103938300151</v>
      </c>
      <c r="K103" s="67">
        <f t="shared" si="12"/>
        <v>2.5731037559671467E-2</v>
      </c>
      <c r="M103" s="51">
        <f t="shared" si="13"/>
        <v>2.6258840248669729E-2</v>
      </c>
      <c r="N103" s="60">
        <f t="shared" si="14"/>
        <v>2.79</v>
      </c>
      <c r="O103" s="133"/>
      <c r="P103" s="67">
        <f>+N103*B103*12</f>
        <v>68198.760000000009</v>
      </c>
      <c r="Q103" s="67">
        <f t="shared" si="16"/>
        <v>733.32000000000698</v>
      </c>
      <c r="R103" s="51"/>
      <c r="S103" s="80">
        <f t="shared" si="17"/>
        <v>1.0869565217391396E-2</v>
      </c>
      <c r="T103" s="81"/>
    </row>
    <row r="104" spans="1:20" x14ac:dyDescent="0.25">
      <c r="A104" s="65" t="s">
        <v>95</v>
      </c>
      <c r="B104" s="134">
        <v>0</v>
      </c>
      <c r="C104" s="135">
        <v>14.43</v>
      </c>
      <c r="D104" s="135"/>
      <c r="E104" s="135">
        <f t="shared" ref="E104:E124" si="156">+B104*C104*12</f>
        <v>0</v>
      </c>
      <c r="F104" s="66">
        <f>+F31</f>
        <v>175</v>
      </c>
      <c r="G104" s="26">
        <v>12</v>
      </c>
      <c r="H104" s="67">
        <f t="shared" si="91"/>
        <v>0</v>
      </c>
      <c r="I104" s="51">
        <f t="shared" ref="I104:I123" si="157">+F104*$I$8</f>
        <v>75.015685962705433</v>
      </c>
      <c r="J104" s="57">
        <f t="shared" si="92"/>
        <v>0</v>
      </c>
      <c r="K104" s="13">
        <f t="shared" si="12"/>
        <v>0.13243916391007374</v>
      </c>
      <c r="M104" s="57">
        <f t="shared" si="13"/>
        <v>0.13515579539756478</v>
      </c>
      <c r="N104" s="60">
        <f t="shared" si="14"/>
        <v>14.57</v>
      </c>
      <c r="O104" s="133"/>
      <c r="P104" s="13">
        <f t="shared" ref="P104:P124" si="158">+N104*B104*12</f>
        <v>0</v>
      </c>
      <c r="Q104" s="13">
        <f t="shared" si="16"/>
        <v>0</v>
      </c>
      <c r="R104" s="51"/>
      <c r="S104" s="48">
        <f t="shared" si="17"/>
        <v>9.7020097020097413E-3</v>
      </c>
    </row>
    <row r="105" spans="1:20" x14ac:dyDescent="0.25">
      <c r="A105" s="65" t="s">
        <v>96</v>
      </c>
      <c r="B105" s="134">
        <v>9</v>
      </c>
      <c r="C105" s="135">
        <v>34.43</v>
      </c>
      <c r="D105" s="135"/>
      <c r="E105" s="135">
        <f t="shared" si="156"/>
        <v>3718.44</v>
      </c>
      <c r="F105" s="66">
        <f>+F104</f>
        <v>175</v>
      </c>
      <c r="G105" s="26">
        <v>12</v>
      </c>
      <c r="H105" s="67">
        <f t="shared" si="91"/>
        <v>9.4499999999999993</v>
      </c>
      <c r="I105" s="51">
        <f t="shared" si="157"/>
        <v>75.015685962705433</v>
      </c>
      <c r="J105" s="57">
        <f t="shared" si="92"/>
        <v>4.0508470419860929</v>
      </c>
      <c r="K105" s="13">
        <f t="shared" si="12"/>
        <v>0.13243916391007374</v>
      </c>
      <c r="M105" s="57">
        <f t="shared" si="13"/>
        <v>0.13515579539756478</v>
      </c>
      <c r="N105" s="60">
        <f t="shared" si="14"/>
        <v>34.57</v>
      </c>
      <c r="O105" s="133"/>
      <c r="P105" s="13">
        <f t="shared" si="158"/>
        <v>3733.56</v>
      </c>
      <c r="Q105" s="13">
        <f t="shared" si="16"/>
        <v>15.119999999999891</v>
      </c>
      <c r="R105" s="51"/>
      <c r="S105" s="48">
        <f t="shared" si="17"/>
        <v>4.0662213186175014E-3</v>
      </c>
    </row>
    <row r="106" spans="1:20" x14ac:dyDescent="0.25">
      <c r="A106" s="65" t="s">
        <v>111</v>
      </c>
      <c r="B106" s="134">
        <v>2</v>
      </c>
      <c r="C106" s="135">
        <v>27.04</v>
      </c>
      <c r="D106" s="135"/>
      <c r="E106" s="135">
        <f t="shared" si="156"/>
        <v>648.96</v>
      </c>
      <c r="F106" s="66">
        <f>+F104</f>
        <v>175</v>
      </c>
      <c r="G106" s="26">
        <v>12</v>
      </c>
      <c r="H106" s="67">
        <f t="shared" si="91"/>
        <v>2.1</v>
      </c>
      <c r="I106" s="51">
        <f t="shared" si="157"/>
        <v>75.015685962705433</v>
      </c>
      <c r="J106" s="57">
        <f t="shared" si="92"/>
        <v>0.90018823155246519</v>
      </c>
      <c r="K106" s="13">
        <f t="shared" si="12"/>
        <v>0.13243916391007374</v>
      </c>
      <c r="M106" s="57">
        <f t="shared" si="13"/>
        <v>0.13515579539756478</v>
      </c>
      <c r="N106" s="60">
        <f t="shared" si="14"/>
        <v>27.18</v>
      </c>
      <c r="O106" s="133"/>
      <c r="P106" s="13">
        <f t="shared" si="158"/>
        <v>652.31999999999994</v>
      </c>
      <c r="Q106" s="13">
        <f t="shared" si="16"/>
        <v>3.3599999999999</v>
      </c>
      <c r="R106" s="51"/>
      <c r="S106" s="48">
        <f t="shared" si="17"/>
        <v>5.1775147928994295E-3</v>
      </c>
    </row>
    <row r="107" spans="1:20" x14ac:dyDescent="0.25">
      <c r="A107" s="65" t="s">
        <v>98</v>
      </c>
      <c r="B107" s="134">
        <f>0</f>
        <v>0</v>
      </c>
      <c r="C107" s="135">
        <v>20.34</v>
      </c>
      <c r="D107" s="135"/>
      <c r="E107" s="135">
        <f t="shared" si="156"/>
        <v>0</v>
      </c>
      <c r="F107" s="66">
        <f>+F39</f>
        <v>250</v>
      </c>
      <c r="G107" s="26">
        <v>12</v>
      </c>
      <c r="H107" s="67">
        <f t="shared" si="91"/>
        <v>0</v>
      </c>
      <c r="I107" s="51">
        <f t="shared" si="157"/>
        <v>107.16526566100775</v>
      </c>
      <c r="J107" s="57">
        <f t="shared" si="92"/>
        <v>0</v>
      </c>
      <c r="K107" s="13">
        <f t="shared" si="12"/>
        <v>0.18919880558581958</v>
      </c>
      <c r="M107" s="57">
        <f t="shared" si="13"/>
        <v>0.19307970771080679</v>
      </c>
      <c r="N107" s="60">
        <f t="shared" si="14"/>
        <v>20.53</v>
      </c>
      <c r="O107" s="133"/>
      <c r="P107" s="13">
        <f t="shared" si="158"/>
        <v>0</v>
      </c>
      <c r="Q107" s="13">
        <f t="shared" si="16"/>
        <v>0</v>
      </c>
      <c r="R107" s="51"/>
      <c r="S107" s="48">
        <f t="shared" si="17"/>
        <v>9.3411996066863952E-3</v>
      </c>
    </row>
    <row r="108" spans="1:20" x14ac:dyDescent="0.25">
      <c r="A108" s="65" t="s">
        <v>99</v>
      </c>
      <c r="B108" s="134">
        <v>7</v>
      </c>
      <c r="C108" s="135">
        <v>40.340000000000003</v>
      </c>
      <c r="D108" s="135"/>
      <c r="E108" s="135">
        <f t="shared" si="156"/>
        <v>3388.56</v>
      </c>
      <c r="F108" s="66">
        <f>+F107</f>
        <v>250</v>
      </c>
      <c r="G108" s="26">
        <v>12</v>
      </c>
      <c r="H108" s="67">
        <f t="shared" si="91"/>
        <v>10.5</v>
      </c>
      <c r="I108" s="51">
        <f t="shared" si="157"/>
        <v>107.16526566100775</v>
      </c>
      <c r="J108" s="57">
        <f t="shared" si="92"/>
        <v>4.5009411577623251</v>
      </c>
      <c r="K108" s="13">
        <f t="shared" si="12"/>
        <v>0.18919880558581958</v>
      </c>
      <c r="M108" s="57">
        <f t="shared" si="13"/>
        <v>0.19307970771080679</v>
      </c>
      <c r="N108" s="60">
        <f t="shared" si="14"/>
        <v>40.53</v>
      </c>
      <c r="O108" s="133"/>
      <c r="P108" s="13">
        <f t="shared" si="158"/>
        <v>3404.5200000000004</v>
      </c>
      <c r="Q108" s="13">
        <f t="shared" si="16"/>
        <v>15.960000000000491</v>
      </c>
      <c r="R108" s="51"/>
      <c r="S108" s="48">
        <f t="shared" si="17"/>
        <v>4.7099652949925061E-3</v>
      </c>
    </row>
    <row r="109" spans="1:20" x14ac:dyDescent="0.25">
      <c r="A109" s="65" t="s">
        <v>112</v>
      </c>
      <c r="B109" s="134">
        <v>3</v>
      </c>
      <c r="C109" s="135">
        <v>30.43</v>
      </c>
      <c r="D109" s="135"/>
      <c r="E109" s="135">
        <f t="shared" si="156"/>
        <v>1095.48</v>
      </c>
      <c r="F109" s="66">
        <f>+F108</f>
        <v>250</v>
      </c>
      <c r="G109" s="26">
        <v>12</v>
      </c>
      <c r="H109" s="67">
        <f t="shared" si="91"/>
        <v>4.5</v>
      </c>
      <c r="I109" s="51">
        <f t="shared" si="157"/>
        <v>107.16526566100775</v>
      </c>
      <c r="J109" s="57">
        <f t="shared" si="92"/>
        <v>1.9289747818981395</v>
      </c>
      <c r="K109" s="13">
        <f t="shared" si="12"/>
        <v>0.18919880558581958</v>
      </c>
      <c r="M109" s="57">
        <f t="shared" si="13"/>
        <v>0.19307970771080679</v>
      </c>
      <c r="N109" s="60">
        <f t="shared" si="14"/>
        <v>30.62</v>
      </c>
      <c r="O109" s="133"/>
      <c r="P109" s="13">
        <f t="shared" si="158"/>
        <v>1102.32</v>
      </c>
      <c r="Q109" s="13">
        <f>+P109-E109</f>
        <v>6.8399999999999181</v>
      </c>
      <c r="R109" s="51"/>
      <c r="S109" s="48">
        <f t="shared" si="17"/>
        <v>6.2438383174499273E-3</v>
      </c>
    </row>
    <row r="110" spans="1:20" x14ac:dyDescent="0.25">
      <c r="A110" s="65" t="s">
        <v>100</v>
      </c>
      <c r="B110" s="134">
        <v>0</v>
      </c>
      <c r="C110" s="135">
        <v>26.4</v>
      </c>
      <c r="D110" s="135"/>
      <c r="E110" s="135">
        <f t="shared" si="156"/>
        <v>0</v>
      </c>
      <c r="F110" s="66">
        <f>+F48</f>
        <v>324</v>
      </c>
      <c r="G110" s="26">
        <v>12</v>
      </c>
      <c r="H110" s="67">
        <f t="shared" si="91"/>
        <v>0</v>
      </c>
      <c r="I110" s="51">
        <f t="shared" si="157"/>
        <v>138.88618429666604</v>
      </c>
      <c r="J110" s="57">
        <f t="shared" si="92"/>
        <v>0</v>
      </c>
      <c r="K110" s="13">
        <f t="shared" si="12"/>
        <v>0.24520165203922217</v>
      </c>
      <c r="M110" s="57">
        <f t="shared" si="13"/>
        <v>0.25023130119320564</v>
      </c>
      <c r="N110" s="60">
        <f t="shared" si="14"/>
        <v>26.65</v>
      </c>
      <c r="O110" s="133"/>
      <c r="P110" s="13">
        <f t="shared" si="158"/>
        <v>0</v>
      </c>
      <c r="Q110" s="13">
        <f t="shared" si="16"/>
        <v>0</v>
      </c>
      <c r="R110" s="51"/>
      <c r="S110" s="48">
        <f t="shared" si="17"/>
        <v>9.46969696969697E-3</v>
      </c>
    </row>
    <row r="111" spans="1:20" x14ac:dyDescent="0.25">
      <c r="A111" s="65" t="s">
        <v>101</v>
      </c>
      <c r="B111" s="134">
        <v>27</v>
      </c>
      <c r="C111" s="135">
        <v>46.4</v>
      </c>
      <c r="D111" s="135"/>
      <c r="E111" s="135">
        <f t="shared" si="156"/>
        <v>15033.599999999999</v>
      </c>
      <c r="F111" s="66">
        <f>+F110</f>
        <v>324</v>
      </c>
      <c r="G111" s="26">
        <v>12</v>
      </c>
      <c r="H111" s="67">
        <f t="shared" si="91"/>
        <v>52.488</v>
      </c>
      <c r="I111" s="51">
        <f t="shared" si="157"/>
        <v>138.88618429666604</v>
      </c>
      <c r="J111" s="57">
        <f t="shared" si="92"/>
        <v>22.499561856059898</v>
      </c>
      <c r="K111" s="13">
        <f t="shared" si="12"/>
        <v>0.24520165203922217</v>
      </c>
      <c r="M111" s="57">
        <f t="shared" si="13"/>
        <v>0.25023130119320564</v>
      </c>
      <c r="N111" s="60">
        <f t="shared" si="14"/>
        <v>46.65</v>
      </c>
      <c r="O111" s="133"/>
      <c r="P111" s="13">
        <f t="shared" si="158"/>
        <v>15114.599999999999</v>
      </c>
      <c r="Q111" s="13">
        <f t="shared" si="16"/>
        <v>81</v>
      </c>
      <c r="R111" s="51"/>
      <c r="S111" s="48">
        <f t="shared" si="17"/>
        <v>5.387931034482759E-3</v>
      </c>
    </row>
    <row r="112" spans="1:20" x14ac:dyDescent="0.25">
      <c r="A112" s="65" t="s">
        <v>113</v>
      </c>
      <c r="B112" s="134">
        <v>10</v>
      </c>
      <c r="C112" s="135">
        <v>48.02</v>
      </c>
      <c r="D112" s="135"/>
      <c r="E112" s="135">
        <f t="shared" si="156"/>
        <v>5762.4000000000005</v>
      </c>
      <c r="F112" s="66">
        <f>+F111</f>
        <v>324</v>
      </c>
      <c r="G112" s="26">
        <v>12</v>
      </c>
      <c r="H112" s="67">
        <f t="shared" si="91"/>
        <v>19.440000000000001</v>
      </c>
      <c r="I112" s="51">
        <f t="shared" si="157"/>
        <v>138.88618429666604</v>
      </c>
      <c r="J112" s="57">
        <f t="shared" si="92"/>
        <v>8.3331710577999623</v>
      </c>
      <c r="K112" s="13">
        <f t="shared" si="12"/>
        <v>0.24520165203922217</v>
      </c>
      <c r="M112" s="57">
        <f t="shared" si="13"/>
        <v>0.25023130119320564</v>
      </c>
      <c r="N112" s="60">
        <f t="shared" si="14"/>
        <v>48.27</v>
      </c>
      <c r="O112" s="133"/>
      <c r="P112" s="13">
        <f t="shared" si="158"/>
        <v>5792.4000000000005</v>
      </c>
      <c r="Q112" s="13">
        <f t="shared" si="16"/>
        <v>30</v>
      </c>
      <c r="R112" s="51"/>
      <c r="S112" s="48">
        <f t="shared" si="17"/>
        <v>5.2061640982923778E-3</v>
      </c>
    </row>
    <row r="113" spans="1:19" x14ac:dyDescent="0.25">
      <c r="A113" s="65" t="s">
        <v>103</v>
      </c>
      <c r="B113" s="134">
        <v>0</v>
      </c>
      <c r="C113" s="135">
        <v>38.659999999999997</v>
      </c>
      <c r="D113" s="135"/>
      <c r="E113" s="135">
        <f t="shared" si="156"/>
        <v>0</v>
      </c>
      <c r="F113" s="66">
        <f>+F56</f>
        <v>473</v>
      </c>
      <c r="G113" s="26">
        <v>12</v>
      </c>
      <c r="H113" s="67">
        <f t="shared" ref="H113:H124" si="159">+G113*F113*B113/2000</f>
        <v>0</v>
      </c>
      <c r="I113" s="51">
        <f t="shared" si="157"/>
        <v>202.75668263062667</v>
      </c>
      <c r="J113" s="57">
        <f t="shared" ref="J113:J123" si="160">+G113*I113*B113/2000</f>
        <v>0</v>
      </c>
      <c r="K113" s="13">
        <f t="shared" si="12"/>
        <v>0.35796414016837069</v>
      </c>
      <c r="M113" s="57">
        <f t="shared" si="13"/>
        <v>0.36530680698884649</v>
      </c>
      <c r="N113" s="60">
        <f t="shared" si="14"/>
        <v>39.03</v>
      </c>
      <c r="O113" s="133"/>
      <c r="P113" s="13">
        <f t="shared" si="158"/>
        <v>0</v>
      </c>
      <c r="Q113" s="13">
        <f t="shared" si="16"/>
        <v>0</v>
      </c>
      <c r="R113" s="51"/>
      <c r="S113" s="48">
        <f t="shared" si="17"/>
        <v>9.5706156233834605E-3</v>
      </c>
    </row>
    <row r="114" spans="1:19" x14ac:dyDescent="0.25">
      <c r="A114" s="65" t="s">
        <v>104</v>
      </c>
      <c r="B114" s="134">
        <v>11</v>
      </c>
      <c r="C114" s="135">
        <v>58.66</v>
      </c>
      <c r="D114" s="135"/>
      <c r="E114" s="135">
        <f t="shared" si="156"/>
        <v>7743.12</v>
      </c>
      <c r="F114" s="66">
        <f>+F113</f>
        <v>473</v>
      </c>
      <c r="G114" s="26">
        <v>12</v>
      </c>
      <c r="H114" s="67">
        <f t="shared" si="159"/>
        <v>31.218</v>
      </c>
      <c r="I114" s="51">
        <f t="shared" si="157"/>
        <v>202.75668263062667</v>
      </c>
      <c r="J114" s="57">
        <f t="shared" si="160"/>
        <v>13.381941053621361</v>
      </c>
      <c r="K114" s="13">
        <f t="shared" si="12"/>
        <v>0.35796414016837069</v>
      </c>
      <c r="M114" s="57">
        <f t="shared" si="13"/>
        <v>0.36530680698884649</v>
      </c>
      <c r="N114" s="60">
        <f t="shared" si="14"/>
        <v>59.03</v>
      </c>
      <c r="O114" s="133"/>
      <c r="P114" s="13">
        <f t="shared" si="158"/>
        <v>7791.9600000000009</v>
      </c>
      <c r="Q114" s="13">
        <f t="shared" si="16"/>
        <v>48.840000000001055</v>
      </c>
      <c r="R114" s="51"/>
      <c r="S114" s="48">
        <f t="shared" ref="S114:S124" si="161">(N114-C114)/C114</f>
        <v>6.3075349471531632E-3</v>
      </c>
    </row>
    <row r="115" spans="1:19" x14ac:dyDescent="0.25">
      <c r="A115" s="65" t="s">
        <v>102</v>
      </c>
      <c r="B115" s="134">
        <v>10</v>
      </c>
      <c r="C115" s="135">
        <v>57.7</v>
      </c>
      <c r="D115" s="135"/>
      <c r="E115" s="135">
        <f t="shared" si="156"/>
        <v>6924</v>
      </c>
      <c r="F115" s="66">
        <f>+F114</f>
        <v>473</v>
      </c>
      <c r="G115" s="26">
        <v>12</v>
      </c>
      <c r="H115" s="67">
        <f t="shared" si="159"/>
        <v>28.38</v>
      </c>
      <c r="I115" s="51">
        <f t="shared" si="157"/>
        <v>202.75668263062667</v>
      </c>
      <c r="J115" s="57">
        <f t="shared" si="160"/>
        <v>12.165400957837601</v>
      </c>
      <c r="K115" s="13">
        <f t="shared" si="12"/>
        <v>0.35796414016837069</v>
      </c>
      <c r="M115" s="57">
        <f t="shared" si="13"/>
        <v>0.36530680698884649</v>
      </c>
      <c r="N115" s="60">
        <f t="shared" si="14"/>
        <v>58.07</v>
      </c>
      <c r="O115" s="133"/>
      <c r="P115" s="13">
        <f t="shared" si="158"/>
        <v>6968.4000000000005</v>
      </c>
      <c r="Q115" s="13">
        <f t="shared" si="16"/>
        <v>44.400000000000546</v>
      </c>
      <c r="R115" s="51"/>
      <c r="S115" s="48">
        <f t="shared" si="161"/>
        <v>6.4124783362217927E-3</v>
      </c>
    </row>
    <row r="116" spans="1:19" x14ac:dyDescent="0.25">
      <c r="A116" s="65" t="s">
        <v>106</v>
      </c>
      <c r="B116" s="134">
        <v>0</v>
      </c>
      <c r="C116" s="135">
        <v>49.6</v>
      </c>
      <c r="D116" s="135"/>
      <c r="E116" s="135">
        <f t="shared" si="156"/>
        <v>0</v>
      </c>
      <c r="F116" s="66">
        <f>+F65</f>
        <v>613</v>
      </c>
      <c r="G116" s="26">
        <v>12</v>
      </c>
      <c r="H116" s="67">
        <f t="shared" si="159"/>
        <v>0</v>
      </c>
      <c r="I116" s="51">
        <f t="shared" si="157"/>
        <v>262.769231400791</v>
      </c>
      <c r="J116" s="57">
        <f t="shared" si="160"/>
        <v>0</v>
      </c>
      <c r="K116" s="13">
        <f t="shared" si="12"/>
        <v>0.46391547129642963</v>
      </c>
      <c r="M116" s="57">
        <f t="shared" si="13"/>
        <v>0.47343144330689829</v>
      </c>
      <c r="N116" s="60">
        <f t="shared" si="14"/>
        <v>50.07</v>
      </c>
      <c r="O116" s="133"/>
      <c r="P116" s="13">
        <f t="shared" si="158"/>
        <v>0</v>
      </c>
      <c r="Q116" s="13">
        <f t="shared" si="16"/>
        <v>0</v>
      </c>
      <c r="R116" s="51"/>
      <c r="S116" s="48">
        <f t="shared" si="161"/>
        <v>9.4758064516128806E-3</v>
      </c>
    </row>
    <row r="117" spans="1:19" x14ac:dyDescent="0.25">
      <c r="A117" s="65" t="s">
        <v>107</v>
      </c>
      <c r="B117" s="134">
        <v>17</v>
      </c>
      <c r="C117" s="135">
        <v>69.599999999999994</v>
      </c>
      <c r="D117" s="135"/>
      <c r="E117" s="135">
        <f t="shared" si="156"/>
        <v>14198.399999999998</v>
      </c>
      <c r="F117" s="66">
        <f>+F116</f>
        <v>613</v>
      </c>
      <c r="G117" s="26">
        <v>12</v>
      </c>
      <c r="H117" s="67">
        <f t="shared" si="159"/>
        <v>62.526000000000003</v>
      </c>
      <c r="I117" s="51">
        <f t="shared" si="157"/>
        <v>262.769231400791</v>
      </c>
      <c r="J117" s="57">
        <f>+G117*I117*B117/2000</f>
        <v>26.80246160288068</v>
      </c>
      <c r="K117" s="13">
        <f t="shared" si="12"/>
        <v>0.46391547129642963</v>
      </c>
      <c r="M117" s="57">
        <f t="shared" si="13"/>
        <v>0.47343144330689829</v>
      </c>
      <c r="N117" s="60">
        <f t="shared" si="14"/>
        <v>70.069999999999993</v>
      </c>
      <c r="O117" s="133"/>
      <c r="P117" s="13">
        <f t="shared" si="158"/>
        <v>14294.279999999999</v>
      </c>
      <c r="Q117" s="13">
        <f t="shared" si="16"/>
        <v>95.880000000001019</v>
      </c>
      <c r="R117" s="51"/>
      <c r="S117" s="48">
        <f t="shared" si="161"/>
        <v>6.7528735632183751E-3</v>
      </c>
    </row>
    <row r="118" spans="1:19" x14ac:dyDescent="0.25">
      <c r="A118" s="65" t="s">
        <v>105</v>
      </c>
      <c r="B118" s="134">
        <v>30</v>
      </c>
      <c r="C118" s="135">
        <v>64.67</v>
      </c>
      <c r="D118" s="135"/>
      <c r="E118" s="135">
        <f t="shared" si="156"/>
        <v>23281.200000000001</v>
      </c>
      <c r="F118" s="66">
        <f>+F116</f>
        <v>613</v>
      </c>
      <c r="G118" s="26">
        <v>12</v>
      </c>
      <c r="H118" s="67">
        <f t="shared" si="159"/>
        <v>110.34</v>
      </c>
      <c r="I118" s="51">
        <f t="shared" si="157"/>
        <v>262.769231400791</v>
      </c>
      <c r="J118" s="57">
        <f t="shared" si="160"/>
        <v>47.298461652142379</v>
      </c>
      <c r="K118" s="13">
        <f t="shared" si="12"/>
        <v>0.46391547129642963</v>
      </c>
      <c r="M118" s="57">
        <f t="shared" si="13"/>
        <v>0.47343144330689829</v>
      </c>
      <c r="N118" s="60">
        <f t="shared" si="14"/>
        <v>65.14</v>
      </c>
      <c r="O118" s="133"/>
      <c r="P118" s="13">
        <f t="shared" si="158"/>
        <v>23450.400000000001</v>
      </c>
      <c r="Q118" s="13">
        <f t="shared" si="16"/>
        <v>169.20000000000073</v>
      </c>
      <c r="R118" s="51"/>
      <c r="S118" s="48">
        <f t="shared" si="161"/>
        <v>7.2676666151229143E-3</v>
      </c>
    </row>
    <row r="119" spans="1:19" x14ac:dyDescent="0.25">
      <c r="A119" s="65" t="s">
        <v>109</v>
      </c>
      <c r="B119" s="134">
        <v>0</v>
      </c>
      <c r="C119" s="135">
        <v>74.48</v>
      </c>
      <c r="D119" s="135"/>
      <c r="E119" s="135">
        <f t="shared" si="156"/>
        <v>0</v>
      </c>
      <c r="F119" s="66">
        <f>+F73</f>
        <v>840</v>
      </c>
      <c r="G119" s="26">
        <v>12</v>
      </c>
      <c r="H119" s="67">
        <f t="shared" si="159"/>
        <v>0</v>
      </c>
      <c r="I119" s="51">
        <f t="shared" si="157"/>
        <v>360.07529262098609</v>
      </c>
      <c r="J119" s="57">
        <f t="shared" si="160"/>
        <v>0</v>
      </c>
      <c r="K119" s="13">
        <f t="shared" si="12"/>
        <v>0.63570798676835394</v>
      </c>
      <c r="M119" s="57">
        <f t="shared" si="13"/>
        <v>0.64874781790831104</v>
      </c>
      <c r="N119" s="60">
        <f t="shared" si="14"/>
        <v>75.13</v>
      </c>
      <c r="O119" s="133"/>
      <c r="P119" s="13">
        <f t="shared" si="158"/>
        <v>0</v>
      </c>
      <c r="Q119" s="13">
        <f t="shared" ref="Q119:Q122" si="162">+P119-E119</f>
        <v>0</v>
      </c>
      <c r="R119" s="51"/>
      <c r="S119" s="48">
        <f t="shared" si="161"/>
        <v>8.7271750805584247E-3</v>
      </c>
    </row>
    <row r="120" spans="1:19" x14ac:dyDescent="0.25">
      <c r="A120" s="65" t="s">
        <v>110</v>
      </c>
      <c r="B120" s="134">
        <v>14</v>
      </c>
      <c r="C120" s="135">
        <v>94.48</v>
      </c>
      <c r="D120" s="135"/>
      <c r="E120" s="135">
        <f t="shared" si="156"/>
        <v>15872.64</v>
      </c>
      <c r="F120" s="66">
        <f>+F119</f>
        <v>840</v>
      </c>
      <c r="G120" s="26">
        <v>12</v>
      </c>
      <c r="H120" s="67">
        <f>+G120*F120*B120/2000</f>
        <v>70.56</v>
      </c>
      <c r="I120" s="51">
        <f t="shared" si="157"/>
        <v>360.07529262098609</v>
      </c>
      <c r="J120" s="57">
        <f t="shared" si="160"/>
        <v>30.246324580162828</v>
      </c>
      <c r="K120" s="13">
        <f t="shared" ref="K120:K122" si="163">+I120*$K$10</f>
        <v>0.63570798676835394</v>
      </c>
      <c r="M120" s="57">
        <f t="shared" ref="M120:M122" si="164">+K120/$M$10</f>
        <v>0.64874781790831104</v>
      </c>
      <c r="N120" s="60">
        <f t="shared" ref="N120:N122" si="165">ROUND(C120+M120,2)</f>
        <v>95.13</v>
      </c>
      <c r="O120" s="133"/>
      <c r="P120" s="13">
        <f t="shared" si="158"/>
        <v>15981.84</v>
      </c>
      <c r="Q120" s="13">
        <f>+P120-E120</f>
        <v>109.20000000000073</v>
      </c>
      <c r="R120" s="51"/>
      <c r="S120" s="48">
        <f t="shared" si="161"/>
        <v>6.879762912785684E-3</v>
      </c>
    </row>
    <row r="121" spans="1:19" x14ac:dyDescent="0.25">
      <c r="A121" s="65" t="s">
        <v>108</v>
      </c>
      <c r="B121" s="134">
        <v>12</v>
      </c>
      <c r="C121" s="135">
        <v>95.86</v>
      </c>
      <c r="D121" s="135"/>
      <c r="E121" s="135">
        <f t="shared" si="156"/>
        <v>13803.84</v>
      </c>
      <c r="F121" s="66">
        <f>+F120</f>
        <v>840</v>
      </c>
      <c r="G121" s="26">
        <v>12</v>
      </c>
      <c r="H121" s="67">
        <f t="shared" si="159"/>
        <v>60.48</v>
      </c>
      <c r="I121" s="51">
        <f t="shared" si="157"/>
        <v>360.07529262098609</v>
      </c>
      <c r="J121" s="57">
        <f t="shared" si="160"/>
        <v>25.925421068710996</v>
      </c>
      <c r="K121" s="13">
        <f>+I121*$K$10</f>
        <v>0.63570798676835394</v>
      </c>
      <c r="M121" s="57">
        <f t="shared" si="164"/>
        <v>0.64874781790831104</v>
      </c>
      <c r="N121" s="60">
        <f t="shared" si="165"/>
        <v>96.51</v>
      </c>
      <c r="O121" s="133"/>
      <c r="P121" s="13">
        <f t="shared" si="158"/>
        <v>13897.440000000002</v>
      </c>
      <c r="Q121" s="13">
        <f t="shared" si="162"/>
        <v>93.600000000002183</v>
      </c>
      <c r="R121" s="51"/>
      <c r="S121" s="48">
        <f t="shared" si="161"/>
        <v>6.7807218860839319E-3</v>
      </c>
    </row>
    <row r="122" spans="1:19" x14ac:dyDescent="0.25">
      <c r="A122" s="65" t="s">
        <v>130</v>
      </c>
      <c r="B122" s="134">
        <v>1</v>
      </c>
      <c r="C122" s="135">
        <v>122.39</v>
      </c>
      <c r="D122" s="135"/>
      <c r="E122" s="135">
        <f t="shared" si="156"/>
        <v>1468.68</v>
      </c>
      <c r="F122" s="66">
        <v>980</v>
      </c>
      <c r="G122" s="26">
        <v>12</v>
      </c>
      <c r="H122" s="67">
        <f t="shared" si="159"/>
        <v>5.88</v>
      </c>
      <c r="I122" s="51">
        <f t="shared" si="157"/>
        <v>420.08784139115039</v>
      </c>
      <c r="J122" s="57">
        <f t="shared" si="160"/>
        <v>2.520527048346902</v>
      </c>
      <c r="K122" s="13">
        <f t="shared" si="163"/>
        <v>0.74165931789641282</v>
      </c>
      <c r="M122" s="57">
        <f t="shared" si="164"/>
        <v>0.75687245422636273</v>
      </c>
      <c r="N122" s="60">
        <f t="shared" si="165"/>
        <v>123.15</v>
      </c>
      <c r="O122" s="133"/>
      <c r="P122" s="13">
        <f t="shared" si="158"/>
        <v>1477.8000000000002</v>
      </c>
      <c r="Q122" s="13">
        <f t="shared" si="162"/>
        <v>9.1200000000001182</v>
      </c>
      <c r="R122" s="51"/>
      <c r="S122" s="48">
        <f t="shared" si="161"/>
        <v>6.2096576517689768E-3</v>
      </c>
    </row>
    <row r="123" spans="1:19" x14ac:dyDescent="0.25">
      <c r="A123" s="65" t="s">
        <v>97</v>
      </c>
      <c r="B123" s="134">
        <v>4</v>
      </c>
      <c r="C123" s="135">
        <v>118.89</v>
      </c>
      <c r="D123" s="135"/>
      <c r="E123" s="135">
        <f t="shared" si="156"/>
        <v>5706.72</v>
      </c>
      <c r="F123" s="66">
        <f>+F86</f>
        <v>980</v>
      </c>
      <c r="G123" s="26">
        <v>12</v>
      </c>
      <c r="H123" s="67">
        <f t="shared" si="159"/>
        <v>23.52</v>
      </c>
      <c r="I123" s="51">
        <f t="shared" si="157"/>
        <v>420.08784139115039</v>
      </c>
      <c r="J123" s="57">
        <f t="shared" si="160"/>
        <v>10.082108193387608</v>
      </c>
      <c r="K123" s="13">
        <f>+I123*$K$10</f>
        <v>0.74165931789641282</v>
      </c>
      <c r="M123" s="57">
        <f>+K123/$M$10</f>
        <v>0.75687245422636273</v>
      </c>
      <c r="N123" s="60">
        <f>ROUND(C123+M123,2)</f>
        <v>119.65</v>
      </c>
      <c r="O123" s="133"/>
      <c r="P123" s="13">
        <f>+N123*B123*12</f>
        <v>5743.2000000000007</v>
      </c>
      <c r="Q123" s="13">
        <f>+P123-E123</f>
        <v>36.480000000000473</v>
      </c>
      <c r="R123" s="51"/>
      <c r="S123" s="48">
        <f t="shared" si="161"/>
        <v>6.3924636218353533E-3</v>
      </c>
    </row>
    <row r="124" spans="1:19" x14ac:dyDescent="0.25">
      <c r="A124" s="65" t="s">
        <v>146</v>
      </c>
      <c r="B124" s="134">
        <v>0</v>
      </c>
      <c r="C124" s="135">
        <v>98.89</v>
      </c>
      <c r="D124" s="135"/>
      <c r="E124" s="135">
        <f t="shared" si="156"/>
        <v>0</v>
      </c>
      <c r="F124" s="66">
        <f>+F87</f>
        <v>980</v>
      </c>
      <c r="G124" s="26">
        <v>12</v>
      </c>
      <c r="H124" s="67">
        <f t="shared" si="159"/>
        <v>0</v>
      </c>
      <c r="I124" s="51">
        <f>+F124*$I$8</f>
        <v>420.08784139115039</v>
      </c>
      <c r="J124" s="57">
        <f>+G124*I124*B124/2000</f>
        <v>0</v>
      </c>
      <c r="K124" s="13">
        <f t="shared" ref="K124" si="166">+I124*$K$10</f>
        <v>0.74165931789641282</v>
      </c>
      <c r="M124" s="57">
        <f t="shared" ref="M124" si="167">+K124/$M$10</f>
        <v>0.75687245422636273</v>
      </c>
      <c r="N124" s="60">
        <f t="shared" ref="N124" si="168">ROUND(C124+M124,2)</f>
        <v>99.65</v>
      </c>
      <c r="O124" s="133"/>
      <c r="P124" s="13">
        <f t="shared" si="158"/>
        <v>0</v>
      </c>
      <c r="Q124" s="13">
        <f>+P124-E124</f>
        <v>0</v>
      </c>
      <c r="R124" s="51"/>
      <c r="S124" s="48">
        <f t="shared" si="161"/>
        <v>7.6853069066640219E-3</v>
      </c>
    </row>
    <row r="125" spans="1:19" x14ac:dyDescent="0.25">
      <c r="B125" s="59"/>
      <c r="C125" s="60"/>
      <c r="D125" s="60"/>
      <c r="E125" s="56"/>
      <c r="F125" s="28"/>
      <c r="G125" s="26"/>
      <c r="H125" s="13"/>
      <c r="I125" s="57"/>
      <c r="J125" s="57"/>
      <c r="K125" s="13"/>
      <c r="M125" s="57"/>
      <c r="N125" s="56"/>
      <c r="O125" s="56"/>
      <c r="P125" s="13"/>
      <c r="Q125" s="13"/>
    </row>
    <row r="126" spans="1:19" ht="15.75" thickBot="1" x14ac:dyDescent="0.3">
      <c r="A126" s="18"/>
      <c r="B126" s="18"/>
      <c r="C126" s="68"/>
      <c r="D126" s="68"/>
      <c r="E126" s="68"/>
      <c r="H126" s="63"/>
      <c r="I126" s="13"/>
      <c r="J126" s="63"/>
      <c r="N126" s="55"/>
      <c r="O126" s="55"/>
    </row>
    <row r="127" spans="1:19" ht="15.75" thickBot="1" x14ac:dyDescent="0.3">
      <c r="A127" s="18" t="s">
        <v>119</v>
      </c>
      <c r="B127" s="141">
        <f>SUM(B31:B102)</f>
        <v>4999</v>
      </c>
      <c r="C127" s="18"/>
      <c r="D127" s="18"/>
      <c r="E127" s="162">
        <f>SUM(E31:E124)</f>
        <v>9273962.5488000028</v>
      </c>
      <c r="H127" s="142">
        <f>SUM(H31:H124)</f>
        <v>50911.762000000002</v>
      </c>
      <c r="I127" s="142">
        <f>SUM(I31:I124)</f>
        <v>19447.066428971753</v>
      </c>
      <c r="J127" s="142">
        <f>SUM(J31:J124)</f>
        <v>21823.889999999992</v>
      </c>
      <c r="N127" s="55"/>
      <c r="O127" s="55"/>
      <c r="P127" s="62">
        <f>SUM(P31:P124)</f>
        <v>9353191.6128000021</v>
      </c>
      <c r="Q127" s="72">
        <f>SUM(Q31:Q124)</f>
        <v>79229.064000000246</v>
      </c>
      <c r="R127" s="69"/>
    </row>
    <row r="128" spans="1:19" ht="15.75" thickTop="1" x14ac:dyDescent="0.25">
      <c r="A128" s="18"/>
      <c r="B128" s="70"/>
      <c r="C128" s="18"/>
      <c r="D128" s="18"/>
      <c r="E128" s="71"/>
      <c r="H128" s="63"/>
      <c r="I128" s="63"/>
      <c r="J128" s="63"/>
      <c r="N128" s="55"/>
      <c r="O128" s="55"/>
      <c r="P128" s="28"/>
      <c r="Q128" s="28">
        <f>+P127-E127</f>
        <v>79229.063999999315</v>
      </c>
      <c r="R128" s="69"/>
    </row>
    <row r="129" spans="1:18" x14ac:dyDescent="0.25">
      <c r="A129" s="18"/>
      <c r="B129" s="18"/>
      <c r="C129" s="68"/>
      <c r="D129" s="68"/>
      <c r="E129" s="68"/>
      <c r="F129" s="18"/>
      <c r="G129" s="18"/>
      <c r="H129" s="18"/>
      <c r="R129" s="69"/>
    </row>
    <row r="130" spans="1:18" x14ac:dyDescent="0.25">
      <c r="A130" s="73"/>
      <c r="B130" s="73"/>
      <c r="C130" s="68"/>
      <c r="D130" s="68"/>
      <c r="E130" s="68"/>
      <c r="F130" s="18"/>
      <c r="G130" s="18"/>
      <c r="H130" s="18"/>
      <c r="P130" s="28"/>
      <c r="Q130" s="13"/>
      <c r="R130" s="69"/>
    </row>
    <row r="131" spans="1:18" x14ac:dyDescent="0.25">
      <c r="A131" s="154"/>
      <c r="B131" s="154"/>
      <c r="C131" s="154"/>
      <c r="D131" s="154"/>
      <c r="E131" s="155" t="s">
        <v>157</v>
      </c>
      <c r="F131" s="154"/>
      <c r="G131" s="154"/>
      <c r="H131" s="63">
        <f>H25+H127</f>
        <v>50911.762000000002</v>
      </c>
      <c r="I131" s="63">
        <f>I25+I127</f>
        <v>19678.972063862173</v>
      </c>
      <c r="J131" s="63">
        <f>J25+J127</f>
        <v>21823.889999999992</v>
      </c>
      <c r="K131" s="38" t="s">
        <v>2</v>
      </c>
    </row>
    <row r="132" spans="1:18" x14ac:dyDescent="0.25">
      <c r="A132" s="154"/>
      <c r="B132" s="154"/>
      <c r="C132" s="156"/>
      <c r="D132" s="155" t="s">
        <v>126</v>
      </c>
      <c r="E132" s="155" t="s">
        <v>124</v>
      </c>
      <c r="F132" s="154"/>
      <c r="G132" s="154"/>
    </row>
    <row r="133" spans="1:18" x14ac:dyDescent="0.25">
      <c r="A133" s="154"/>
      <c r="B133" s="154"/>
      <c r="C133" s="154"/>
      <c r="D133" s="157" t="s">
        <v>127</v>
      </c>
      <c r="E133" s="157"/>
      <c r="F133" s="157" t="s">
        <v>92</v>
      </c>
      <c r="G133" s="154" t="s">
        <v>128</v>
      </c>
      <c r="P133" s="74"/>
      <c r="Q133" s="74"/>
    </row>
    <row r="134" spans="1:18" x14ac:dyDescent="0.25">
      <c r="A134" s="154" t="s">
        <v>123</v>
      </c>
      <c r="B134" s="154"/>
      <c r="C134" s="156"/>
      <c r="D134" s="158">
        <f>+E25</f>
        <v>0</v>
      </c>
      <c r="E134" s="158">
        <v>0</v>
      </c>
      <c r="F134" s="158">
        <f>+E134-D134</f>
        <v>0</v>
      </c>
      <c r="G134" s="159" t="e">
        <f>F134/E134</f>
        <v>#DIV/0!</v>
      </c>
      <c r="H134" s="15" t="e">
        <f>IF(G134&lt;=0.05,"OK","MoreReviewRequired")</f>
        <v>#DIV/0!</v>
      </c>
      <c r="P134" s="74"/>
      <c r="Q134" s="35"/>
    </row>
    <row r="135" spans="1:18" x14ac:dyDescent="0.25">
      <c r="A135" s="154" t="s">
        <v>122</v>
      </c>
      <c r="B135" s="154"/>
      <c r="C135" s="156"/>
      <c r="D135" s="160">
        <f>+E127</f>
        <v>9273962.5488000028</v>
      </c>
      <c r="E135" s="160">
        <f>E127</f>
        <v>9273962.5488000028</v>
      </c>
      <c r="F135" s="158">
        <f>+E135-D135</f>
        <v>0</v>
      </c>
      <c r="G135" s="159">
        <f>F135/E135</f>
        <v>0</v>
      </c>
      <c r="H135" s="15" t="str">
        <f t="shared" ref="H135:H136" si="169">IF(G135&lt;=0.05,"OK","MoreReviewRequired")</f>
        <v>OK</v>
      </c>
      <c r="N135" s="15"/>
      <c r="O135" s="15"/>
    </row>
    <row r="136" spans="1:18" x14ac:dyDescent="0.25">
      <c r="A136" s="154" t="s">
        <v>2</v>
      </c>
      <c r="B136" s="154"/>
      <c r="C136" s="154"/>
      <c r="D136" s="158">
        <f>SUM(D134:D135)</f>
        <v>9273962.5488000028</v>
      </c>
      <c r="E136" s="158">
        <f>SUM(E134:E135)</f>
        <v>9273962.5488000028</v>
      </c>
      <c r="F136" s="158">
        <f>+E136-D136</f>
        <v>0</v>
      </c>
      <c r="G136" s="159">
        <f>F136/E136</f>
        <v>0</v>
      </c>
      <c r="H136" s="15" t="str">
        <f t="shared" si="169"/>
        <v>OK</v>
      </c>
      <c r="N136" s="15"/>
      <c r="O136" s="15"/>
    </row>
    <row r="137" spans="1:18" x14ac:dyDescent="0.25">
      <c r="A137" s="154"/>
      <c r="B137" s="154"/>
      <c r="C137" s="154"/>
      <c r="D137" s="154"/>
      <c r="E137" s="154"/>
      <c r="F137" s="161"/>
      <c r="G137" s="154"/>
      <c r="N137" s="15"/>
      <c r="O137" s="15"/>
    </row>
    <row r="138" spans="1:18" x14ac:dyDescent="0.25">
      <c r="N138" s="15"/>
      <c r="O138" s="15"/>
    </row>
    <row r="139" spans="1:18" x14ac:dyDescent="0.25">
      <c r="N139" s="15"/>
      <c r="O139" s="15"/>
    </row>
    <row r="140" spans="1:18" x14ac:dyDescent="0.25">
      <c r="N140" s="15"/>
      <c r="O140" s="15"/>
    </row>
    <row r="141" spans="1:18" x14ac:dyDescent="0.25">
      <c r="N141" s="15"/>
      <c r="O141" s="15"/>
    </row>
    <row r="142" spans="1:18" x14ac:dyDescent="0.25">
      <c r="N142" s="15"/>
      <c r="O142" s="15"/>
    </row>
    <row r="143" spans="1:18" x14ac:dyDescent="0.25">
      <c r="N143" s="15"/>
      <c r="O143" s="15"/>
    </row>
    <row r="144" spans="1:18" x14ac:dyDescent="0.25">
      <c r="N144" s="15"/>
      <c r="O144" s="15"/>
    </row>
    <row r="145" spans="1:15" x14ac:dyDescent="0.25">
      <c r="N145" s="15"/>
      <c r="O145" s="15"/>
    </row>
    <row r="146" spans="1:15" hidden="1" outlineLevel="1" x14ac:dyDescent="0.25">
      <c r="N146" s="15"/>
      <c r="O146" s="15"/>
    </row>
    <row r="147" spans="1:15" hidden="1" outlineLevel="1" x14ac:dyDescent="0.25">
      <c r="A147" s="15" t="s">
        <v>139</v>
      </c>
      <c r="H147" s="45" t="s">
        <v>137</v>
      </c>
      <c r="I147" s="15" t="s">
        <v>136</v>
      </c>
      <c r="J147" s="15" t="s">
        <v>63</v>
      </c>
      <c r="K147" s="15" t="s">
        <v>138</v>
      </c>
      <c r="M147" s="75"/>
      <c r="N147" s="15"/>
      <c r="O147" s="15"/>
    </row>
    <row r="148" spans="1:15" hidden="1" outlineLevel="1" x14ac:dyDescent="0.25">
      <c r="A148" s="15" t="str">
        <f>A11</f>
        <v>32 EOW</v>
      </c>
      <c r="H148" s="15" t="e">
        <f>G11*F11*#REF!</f>
        <v>#REF!</v>
      </c>
      <c r="I148" s="15" t="e">
        <f>H148*I8</f>
        <v>#REF!</v>
      </c>
      <c r="J148" s="13" t="e">
        <f>I148*K10</f>
        <v>#REF!</v>
      </c>
      <c r="K148" s="13" t="e">
        <f>J148/M10</f>
        <v>#REF!</v>
      </c>
      <c r="L148" s="13" t="e">
        <f>K148/#REF!</f>
        <v>#REF!</v>
      </c>
      <c r="M148" s="13" t="e">
        <f>L148/12</f>
        <v>#REF!</v>
      </c>
      <c r="N148" s="15"/>
      <c r="O148" s="15"/>
    </row>
    <row r="149" spans="1:15" hidden="1" outlineLevel="1" x14ac:dyDescent="0.25">
      <c r="N149" s="15"/>
      <c r="O149" s="15"/>
    </row>
    <row r="150" spans="1:15" hidden="1" outlineLevel="1" x14ac:dyDescent="0.25">
      <c r="N150" s="15"/>
      <c r="O150" s="15"/>
    </row>
    <row r="151" spans="1:15" collapsed="1" x14ac:dyDescent="0.25">
      <c r="N151" s="15"/>
      <c r="O151" s="15"/>
    </row>
    <row r="152" spans="1:15" x14ac:dyDescent="0.25">
      <c r="N152" s="15"/>
      <c r="O152" s="15"/>
    </row>
    <row r="153" spans="1:15" x14ac:dyDescent="0.25">
      <c r="N153" s="15"/>
      <c r="O153" s="15"/>
    </row>
    <row r="154" spans="1:15" x14ac:dyDescent="0.25">
      <c r="N154" s="15"/>
      <c r="O154" s="15"/>
    </row>
    <row r="155" spans="1:15" x14ac:dyDescent="0.25">
      <c r="N155" s="15"/>
      <c r="O155" s="15"/>
    </row>
    <row r="156" spans="1:15" x14ac:dyDescent="0.25">
      <c r="N156" s="15"/>
      <c r="O156" s="15"/>
    </row>
    <row r="157" spans="1:15" x14ac:dyDescent="0.25">
      <c r="N157" s="15"/>
      <c r="O157" s="15"/>
    </row>
    <row r="158" spans="1:15" x14ac:dyDescent="0.25">
      <c r="N158" s="15"/>
      <c r="O158" s="15"/>
    </row>
    <row r="159" spans="1:15" x14ac:dyDescent="0.25">
      <c r="N159" s="15"/>
      <c r="O159" s="15"/>
    </row>
    <row r="160" spans="1:15" x14ac:dyDescent="0.25">
      <c r="N160" s="15"/>
      <c r="O160" s="15"/>
    </row>
    <row r="161" spans="14:15" x14ac:dyDescent="0.25">
      <c r="N161" s="15"/>
      <c r="O161" s="15"/>
    </row>
    <row r="162" spans="14:15" x14ac:dyDescent="0.25">
      <c r="N162" s="15"/>
      <c r="O162" s="15"/>
    </row>
    <row r="163" spans="14:15" x14ac:dyDescent="0.25">
      <c r="N163" s="15"/>
      <c r="O163" s="15"/>
    </row>
    <row r="164" spans="14:15" x14ac:dyDescent="0.25">
      <c r="N164" s="15"/>
      <c r="O164" s="15"/>
    </row>
    <row r="165" spans="14:15" x14ac:dyDescent="0.25">
      <c r="N165" s="15"/>
      <c r="O165" s="15"/>
    </row>
  </sheetData>
  <mergeCells count="1">
    <mergeCell ref="N7:O7"/>
  </mergeCells>
  <pageMargins left="0.7" right="0.7" top="0.75" bottom="0.75" header="0.3" footer="0.3"/>
  <pageSetup scale="31" fitToHeight="14" orientation="portrait" r:id="rId1"/>
  <ignoredErrors>
    <ignoredError sqref="E4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9"/>
  <sheetViews>
    <sheetView workbookViewId="0">
      <selection activeCell="G3" sqref="G3"/>
    </sheetView>
  </sheetViews>
  <sheetFormatPr defaultRowHeight="15" x14ac:dyDescent="0.25"/>
  <sheetData>
    <row r="3" spans="2:2" x14ac:dyDescent="0.25">
      <c r="B3" t="s">
        <v>160</v>
      </c>
    </row>
    <row r="4" spans="2:2" x14ac:dyDescent="0.25">
      <c r="B4">
        <v>9.3814130753444823E-3</v>
      </c>
    </row>
    <row r="5" spans="2:2" x14ac:dyDescent="0.25">
      <c r="B5">
        <v>1.1534603811434323E-2</v>
      </c>
    </row>
    <row r="6" spans="2:2" x14ac:dyDescent="0.25">
      <c r="B6">
        <v>1.1976047904191628E-2</v>
      </c>
    </row>
    <row r="7" spans="2:2" x14ac:dyDescent="0.25">
      <c r="B7">
        <v>1.2439384355892967E-2</v>
      </c>
    </row>
    <row r="8" spans="2:2" x14ac:dyDescent="0.25">
      <c r="B8">
        <v>1.2879283999126747E-2</v>
      </c>
    </row>
    <row r="9" spans="2:2" x14ac:dyDescent="0.25">
      <c r="B9">
        <v>1.3864818024263445E-2</v>
      </c>
    </row>
    <row r="10" spans="2:2" x14ac:dyDescent="0.25">
      <c r="B10">
        <v>1.3864818024263445E-2</v>
      </c>
    </row>
    <row r="11" spans="2:2" x14ac:dyDescent="0.25">
      <c r="B11">
        <v>1.3864818024263445E-2</v>
      </c>
    </row>
    <row r="12" spans="2:2" x14ac:dyDescent="0.25">
      <c r="B12">
        <v>1.3864818024263445E-2</v>
      </c>
    </row>
    <row r="13" spans="2:2" x14ac:dyDescent="0.25">
      <c r="B13">
        <v>1.3864818024263445E-2</v>
      </c>
    </row>
    <row r="14" spans="2:2" x14ac:dyDescent="0.25">
      <c r="B14">
        <v>1.4926610830085389E-2</v>
      </c>
    </row>
    <row r="15" spans="2:2" x14ac:dyDescent="0.25">
      <c r="B15">
        <v>1.5054507700294125E-2</v>
      </c>
    </row>
    <row r="16" spans="2:2" x14ac:dyDescent="0.25">
      <c r="B16">
        <v>1.5062213490504284E-2</v>
      </c>
    </row>
    <row r="17" spans="2:2" x14ac:dyDescent="0.25">
      <c r="B17">
        <v>1.5062213490504284E-2</v>
      </c>
    </row>
    <row r="18" spans="2:2" x14ac:dyDescent="0.25">
      <c r="B18">
        <v>1.5062213490504284E-2</v>
      </c>
    </row>
    <row r="19" spans="2:2" x14ac:dyDescent="0.25">
      <c r="B19">
        <v>1.5062213490504284E-2</v>
      </c>
    </row>
    <row r="20" spans="2:2" x14ac:dyDescent="0.25">
      <c r="B20">
        <v>1.5062213490504284E-2</v>
      </c>
    </row>
    <row r="21" spans="2:2" x14ac:dyDescent="0.25">
      <c r="B21">
        <v>1.5308815766320686E-2</v>
      </c>
    </row>
    <row r="22" spans="2:2" x14ac:dyDescent="0.25">
      <c r="B22">
        <v>1.5348682015348711E-2</v>
      </c>
    </row>
    <row r="23" spans="2:2" x14ac:dyDescent="0.25">
      <c r="B23">
        <v>1.5372790161414272E-2</v>
      </c>
    </row>
    <row r="24" spans="2:2" x14ac:dyDescent="0.25">
      <c r="B24">
        <v>1.5571390868302885E-2</v>
      </c>
    </row>
    <row r="25" spans="2:2" x14ac:dyDescent="0.25">
      <c r="B25">
        <v>1.5571390868302885E-2</v>
      </c>
    </row>
    <row r="26" spans="2:2" x14ac:dyDescent="0.25">
      <c r="B26">
        <v>1.5571390868302885E-2</v>
      </c>
    </row>
    <row r="27" spans="2:2" x14ac:dyDescent="0.25">
      <c r="B27">
        <v>1.5571390868302885E-2</v>
      </c>
    </row>
    <row r="28" spans="2:2" x14ac:dyDescent="0.25">
      <c r="B28">
        <v>1.5571390868302885E-2</v>
      </c>
    </row>
    <row r="29" spans="2:2" x14ac:dyDescent="0.25">
      <c r="B29">
        <v>1.5571390868302885E-2</v>
      </c>
    </row>
    <row r="30" spans="2:2" x14ac:dyDescent="0.25">
      <c r="B30">
        <v>1.5571390868302885E-2</v>
      </c>
    </row>
    <row r="31" spans="2:2" x14ac:dyDescent="0.25">
      <c r="B31">
        <v>1.5629070070330792E-2</v>
      </c>
    </row>
    <row r="32" spans="2:2" x14ac:dyDescent="0.25">
      <c r="B32">
        <v>1.5629070070330792E-2</v>
      </c>
    </row>
    <row r="33" spans="2:2" x14ac:dyDescent="0.25">
      <c r="B33">
        <v>1.5629070070330792E-2</v>
      </c>
    </row>
    <row r="34" spans="2:2" x14ac:dyDescent="0.25">
      <c r="B34">
        <v>1.5629070070330792E-2</v>
      </c>
    </row>
    <row r="35" spans="2:2" x14ac:dyDescent="0.25">
      <c r="B35">
        <v>1.5629070070330792E-2</v>
      </c>
    </row>
    <row r="36" spans="2:2" x14ac:dyDescent="0.25">
      <c r="B36">
        <v>1.5629070070330792E-2</v>
      </c>
    </row>
    <row r="37" spans="2:2" x14ac:dyDescent="0.25">
      <c r="B37">
        <v>1.6327396098388531E-2</v>
      </c>
    </row>
    <row r="38" spans="2:2" x14ac:dyDescent="0.25">
      <c r="B38">
        <v>1.6355140186915747E-2</v>
      </c>
    </row>
    <row r="39" spans="2:2" x14ac:dyDescent="0.25">
      <c r="B39">
        <v>1.6383850204798194E-2</v>
      </c>
    </row>
    <row r="40" spans="2:2" x14ac:dyDescent="0.25">
      <c r="B40">
        <v>1.6383850204798194E-2</v>
      </c>
    </row>
    <row r="41" spans="2:2" x14ac:dyDescent="0.25">
      <c r="B41">
        <v>1.6383850204798194E-2</v>
      </c>
    </row>
    <row r="42" spans="2:2" x14ac:dyDescent="0.25">
      <c r="B42">
        <v>1.6383850204798194E-2</v>
      </c>
    </row>
    <row r="43" spans="2:2" x14ac:dyDescent="0.25">
      <c r="B43">
        <v>1.6383850204798194E-2</v>
      </c>
    </row>
    <row r="44" spans="2:2" x14ac:dyDescent="0.25">
      <c r="B44">
        <v>1.6383850204798194E-2</v>
      </c>
    </row>
    <row r="45" spans="2:2" x14ac:dyDescent="0.25">
      <c r="B45">
        <v>1.6383850204798194E-2</v>
      </c>
    </row>
    <row r="46" spans="2:2" x14ac:dyDescent="0.25">
      <c r="B46">
        <v>1.6569829997848142E-2</v>
      </c>
    </row>
    <row r="47" spans="2:2" x14ac:dyDescent="0.25">
      <c r="B47">
        <v>1.6580534022394556E-2</v>
      </c>
    </row>
    <row r="48" spans="2:2" x14ac:dyDescent="0.25">
      <c r="B48">
        <v>1.6580534022394556E-2</v>
      </c>
    </row>
    <row r="49" spans="2:2" x14ac:dyDescent="0.25">
      <c r="B49">
        <v>1.6580534022394556E-2</v>
      </c>
    </row>
    <row r="50" spans="2:2" x14ac:dyDescent="0.25">
      <c r="B50">
        <v>1.6580534022394556E-2</v>
      </c>
    </row>
    <row r="51" spans="2:2" x14ac:dyDescent="0.25">
      <c r="B51">
        <v>1.6580534022394556E-2</v>
      </c>
    </row>
    <row r="52" spans="2:2" x14ac:dyDescent="0.25">
      <c r="B52">
        <v>1.6580534022394556E-2</v>
      </c>
    </row>
    <row r="53" spans="2:2" x14ac:dyDescent="0.25">
      <c r="B53">
        <v>1.6985552518547532E-2</v>
      </c>
    </row>
    <row r="54" spans="2:2" x14ac:dyDescent="0.25">
      <c r="B54">
        <v>1.6985552518547532E-2</v>
      </c>
    </row>
    <row r="55" spans="2:2" x14ac:dyDescent="0.25">
      <c r="B55">
        <v>1.6985552518547532E-2</v>
      </c>
    </row>
    <row r="56" spans="2:2" x14ac:dyDescent="0.25">
      <c r="B56">
        <v>1.6985552518547532E-2</v>
      </c>
    </row>
    <row r="57" spans="2:2" x14ac:dyDescent="0.25">
      <c r="B57">
        <v>1.6985552518547532E-2</v>
      </c>
    </row>
    <row r="58" spans="2:2" x14ac:dyDescent="0.25">
      <c r="B58">
        <v>1.6996085171393116E-2</v>
      </c>
    </row>
    <row r="59" spans="2:2" x14ac:dyDescent="0.25">
      <c r="B59">
        <v>1.762391817466569E-2</v>
      </c>
    </row>
    <row r="60" spans="2:2" x14ac:dyDescent="0.25">
      <c r="B60">
        <v>1.8539499433515266E-2</v>
      </c>
    </row>
    <row r="61" spans="2:2" x14ac:dyDescent="0.25">
      <c r="B61">
        <v>1.8633540372670686E-2</v>
      </c>
    </row>
    <row r="62" spans="2:2" x14ac:dyDescent="0.25">
      <c r="B62">
        <v>1.8633540372670686E-2</v>
      </c>
    </row>
    <row r="63" spans="2:2" x14ac:dyDescent="0.25">
      <c r="B63">
        <v>1.8633540372670686E-2</v>
      </c>
    </row>
    <row r="64" spans="2:2" x14ac:dyDescent="0.25">
      <c r="B64">
        <v>1.8633540372670686E-2</v>
      </c>
    </row>
    <row r="65" spans="2:2" x14ac:dyDescent="0.25">
      <c r="B65">
        <v>2.1113243761996248E-2</v>
      </c>
    </row>
    <row r="66" spans="2:2" x14ac:dyDescent="0.25">
      <c r="B66">
        <v>2.1844660194174723E-2</v>
      </c>
    </row>
    <row r="67" spans="2:2" x14ac:dyDescent="0.25">
      <c r="B67">
        <v>2.1844660194174723E-2</v>
      </c>
    </row>
    <row r="68" spans="2:2" x14ac:dyDescent="0.25">
      <c r="B68">
        <v>2.1844660194174723E-2</v>
      </c>
    </row>
    <row r="69" spans="2:2" x14ac:dyDescent="0.25">
      <c r="B69">
        <v>2.1844660194174723E-2</v>
      </c>
    </row>
    <row r="70" spans="2:2" x14ac:dyDescent="0.25">
      <c r="B70">
        <v>2.2222222222222077E-2</v>
      </c>
    </row>
    <row r="71" spans="2:2" x14ac:dyDescent="0.25">
      <c r="B71">
        <v>2.2222222222222077E-2</v>
      </c>
    </row>
    <row r="72" spans="2:2" x14ac:dyDescent="0.25">
      <c r="B72">
        <v>2.2222222222222077E-2</v>
      </c>
    </row>
    <row r="73" spans="2:2" x14ac:dyDescent="0.25">
      <c r="B73">
        <v>2.2678951098511715E-2</v>
      </c>
    </row>
    <row r="74" spans="2:2" x14ac:dyDescent="0.25">
      <c r="B74">
        <v>2.2859356838434711E-2</v>
      </c>
    </row>
    <row r="75" spans="2:2" x14ac:dyDescent="0.25">
      <c r="B75">
        <v>2.3021963482402683E-2</v>
      </c>
    </row>
    <row r="76" spans="2:2" x14ac:dyDescent="0.25">
      <c r="B76">
        <v>2.3102310231023198E-2</v>
      </c>
    </row>
    <row r="77" spans="2:2" x14ac:dyDescent="0.25">
      <c r="B77">
        <v>2.3138832997987972E-2</v>
      </c>
    </row>
    <row r="78" spans="2:2" x14ac:dyDescent="0.25">
      <c r="B78">
        <v>2.3280146481820578E-2</v>
      </c>
    </row>
    <row r="79" spans="2:2" x14ac:dyDescent="0.25">
      <c r="B79">
        <v>2.3310507020820395E-2</v>
      </c>
    </row>
  </sheetData>
  <sortState ref="B4:B79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2020-07-14T07:00:00+00:00</OpenedDate>
    <SignificantOrder xmlns="dc463f71-b30c-4ab2-9473-d307f9d35888">false</SignificantOrder>
    <Date1 xmlns="dc463f71-b30c-4ab2-9473-d307f9d35888">2020-07-14T07:00:00+00:00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200642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9007CCAD71BB4B84D0F7DB7969BC5B" ma:contentTypeVersion="52" ma:contentTypeDescription="" ma:contentTypeScope="" ma:versionID="2d7ecd29605f7d338a0dc0c4ad1ee8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BFF7CE-71A4-4F6A-8077-5825999DD7B9}"/>
</file>

<file path=customXml/itemProps2.xml><?xml version="1.0" encoding="utf-8"?>
<ds:datastoreItem xmlns:ds="http://schemas.openxmlformats.org/officeDocument/2006/customXml" ds:itemID="{4F450887-99FF-4DC7-B9F9-0DAD90456A99}"/>
</file>

<file path=customXml/itemProps3.xml><?xml version="1.0" encoding="utf-8"?>
<ds:datastoreItem xmlns:ds="http://schemas.openxmlformats.org/officeDocument/2006/customXml" ds:itemID="{BCDA3424-F79E-486B-A18F-7A54CA0C6AAA}"/>
</file>

<file path=customXml/itemProps4.xml><?xml version="1.0" encoding="utf-8"?>
<ds:datastoreItem xmlns:ds="http://schemas.openxmlformats.org/officeDocument/2006/customXml" ds:itemID="{94CAE6B6-7460-468E-BE12-DE1FFAC57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Sheet1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2020-07-12T22:00:03Z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0x0101006E56B4D1795A2E4DB2F0B01679ED314A003B9007CCAD71BB4B84D0F7DB7969BC5B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