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Z:\Division\Accounting\WUTC\2020\SeaTac - Div 4183\"/>
    </mc:Choice>
  </mc:AlternateContent>
  <xr:revisionPtr revIDLastSave="0" documentId="13_ncr:1_{C6920D89-07A2-4B7C-A5B2-F2FFCA7E99F2}" xr6:coauthVersionLast="44" xr6:coauthVersionMax="44" xr10:uidLastSave="{00000000-0000-0000-0000-000000000000}"/>
  <bookViews>
    <workbookView xWindow="28680" yWindow="-120" windowWidth="29040" windowHeight="15840" firstSheet="1" activeTab="5" xr2:uid="{00000000-000D-0000-FFFF-FFFF00000000}"/>
  </bookViews>
  <sheets>
    <sheet name="WUTC_LYNNWOOD_SF" sheetId="5" state="hidden" r:id="rId1"/>
    <sheet name="WUTC_AW of Kent (SeaTac)_SF" sheetId="11" r:id="rId2"/>
    <sheet name="Value" sheetId="4" r:id="rId3"/>
    <sheet name="Commodity Tonnages" sheetId="2" r:id="rId4"/>
    <sheet name="Pricing" sheetId="3" r:id="rId5"/>
    <sheet name="Single Family" sheetId="6" r:id="rId6"/>
    <sheet name="RSA" sheetId="12" state="hidden" r:id="rId7"/>
  </sheets>
  <externalReferences>
    <externalReference r:id="rId8"/>
  </externalReferences>
  <definedNames>
    <definedName name="color">#REF!</definedName>
    <definedName name="_xlnm.Print_Area" localSheetId="4">Pricing!$A$1:$L$19</definedName>
    <definedName name="_xlnm.Print_Area" localSheetId="5">'Single Family'!$A$7:$N$102</definedName>
    <definedName name="_xlnm.Print_Area" localSheetId="1">'WUTC_AW of Kent (SeaTac)_SF'!$A$1:$I$65</definedName>
    <definedName name="_xlnm.Print_Area" localSheetId="0">WUTC_LYNNWOOD_SF!$A$1:$K$82</definedName>
    <definedName name="_xlnm.Print_Titles" localSheetId="5">'Single Family'!$A:$B,'Single Family'!$1:$6</definedName>
  </definedNames>
  <calcPr calcId="191029" iterate="1" iterateDelta="9.9999999999999898E-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5" i="11" l="1"/>
  <c r="G32" i="11"/>
  <c r="F39" i="11"/>
  <c r="F35" i="11"/>
  <c r="I88" i="6" l="1"/>
  <c r="L23" i="6" l="1"/>
  <c r="M23" i="6" s="1"/>
  <c r="N23" i="6" s="1"/>
  <c r="D23" i="6"/>
  <c r="E23" i="6" s="1"/>
  <c r="F23" i="6" s="1"/>
  <c r="G23" i="6" s="1"/>
  <c r="H23" i="6" s="1"/>
  <c r="I23" i="6" s="1"/>
  <c r="J23" i="6" s="1"/>
  <c r="M22" i="6"/>
  <c r="N22" i="6" s="1"/>
  <c r="L22" i="6"/>
  <c r="D22" i="6"/>
  <c r="E22" i="6" s="1"/>
  <c r="F22" i="6" s="1"/>
  <c r="G22" i="6" s="1"/>
  <c r="H22" i="6" s="1"/>
  <c r="I22" i="6" s="1"/>
  <c r="J22" i="6" s="1"/>
  <c r="L21" i="6"/>
  <c r="M21" i="6" s="1"/>
  <c r="N21" i="6" s="1"/>
  <c r="D21" i="6"/>
  <c r="E21" i="6" s="1"/>
  <c r="F21" i="6" s="1"/>
  <c r="G21" i="6" s="1"/>
  <c r="H21" i="6" s="1"/>
  <c r="I21" i="6" s="1"/>
  <c r="J21" i="6" s="1"/>
  <c r="M20" i="6"/>
  <c r="N20" i="6" s="1"/>
  <c r="L20" i="6"/>
  <c r="D20" i="6"/>
  <c r="E20" i="6" s="1"/>
  <c r="F20" i="6" s="1"/>
  <c r="G20" i="6" s="1"/>
  <c r="H20" i="6" s="1"/>
  <c r="I20" i="6" s="1"/>
  <c r="J20" i="6" s="1"/>
  <c r="L19" i="6"/>
  <c r="M19" i="6" s="1"/>
  <c r="N19" i="6" s="1"/>
  <c r="D19" i="6"/>
  <c r="E19" i="6" s="1"/>
  <c r="F19" i="6" s="1"/>
  <c r="G19" i="6" s="1"/>
  <c r="H19" i="6" s="1"/>
  <c r="I19" i="6" s="1"/>
  <c r="J19" i="6" s="1"/>
  <c r="M18" i="6"/>
  <c r="N18" i="6" s="1"/>
  <c r="L18" i="6"/>
  <c r="D18" i="6"/>
  <c r="E18" i="6" s="1"/>
  <c r="F18" i="6" s="1"/>
  <c r="G18" i="6" s="1"/>
  <c r="H18" i="6" s="1"/>
  <c r="I18" i="6" s="1"/>
  <c r="J18" i="6" s="1"/>
  <c r="L17" i="6"/>
  <c r="M17" i="6" s="1"/>
  <c r="N17" i="6" s="1"/>
  <c r="D17" i="6"/>
  <c r="E17" i="6" s="1"/>
  <c r="F17" i="6" s="1"/>
  <c r="G17" i="6" s="1"/>
  <c r="H17" i="6" s="1"/>
  <c r="I17" i="6" s="1"/>
  <c r="J17" i="6" s="1"/>
  <c r="M16" i="6"/>
  <c r="N16" i="6" s="1"/>
  <c r="L16" i="6"/>
  <c r="D16" i="6"/>
  <c r="E16" i="6" s="1"/>
  <c r="F16" i="6" s="1"/>
  <c r="G16" i="6" s="1"/>
  <c r="H16" i="6" s="1"/>
  <c r="I16" i="6" s="1"/>
  <c r="J16" i="6" s="1"/>
  <c r="L15" i="6"/>
  <c r="M15" i="6" s="1"/>
  <c r="N15" i="6" s="1"/>
  <c r="D15" i="6"/>
  <c r="E15" i="6" s="1"/>
  <c r="F15" i="6" s="1"/>
  <c r="G15" i="6" s="1"/>
  <c r="H15" i="6" s="1"/>
  <c r="I15" i="6" s="1"/>
  <c r="J15" i="6" s="1"/>
  <c r="M14" i="6"/>
  <c r="N14" i="6" s="1"/>
  <c r="L14" i="6"/>
  <c r="D14" i="6"/>
  <c r="E14" i="6" s="1"/>
  <c r="F14" i="6" s="1"/>
  <c r="G14" i="6" s="1"/>
  <c r="H14" i="6" s="1"/>
  <c r="I14" i="6" s="1"/>
  <c r="J14" i="6" s="1"/>
  <c r="L13" i="6"/>
  <c r="M13" i="6" s="1"/>
  <c r="E13" i="6"/>
  <c r="F13" i="6" s="1"/>
  <c r="G13" i="6" s="1"/>
  <c r="H13" i="6" s="1"/>
  <c r="I13" i="6" s="1"/>
  <c r="J13" i="6" s="1"/>
  <c r="D13" i="6"/>
  <c r="E73" i="6"/>
  <c r="E8" i="12" l="1"/>
  <c r="D13" i="12"/>
  <c r="D8" i="12" s="1"/>
  <c r="D19" i="12" s="1"/>
  <c r="E13" i="12"/>
  <c r="E12" i="12"/>
  <c r="E7" i="12" s="1"/>
  <c r="D12" i="12"/>
  <c r="D7" i="12" s="1"/>
  <c r="B24" i="11" l="1"/>
  <c r="B15" i="11"/>
  <c r="G17" i="3"/>
  <c r="G16" i="3"/>
  <c r="G15" i="3"/>
  <c r="G14" i="3"/>
  <c r="G13" i="3"/>
  <c r="G12" i="3"/>
  <c r="G11" i="3"/>
  <c r="G10" i="3"/>
  <c r="G9" i="3"/>
  <c r="G8" i="3"/>
  <c r="G7" i="3"/>
  <c r="G6" i="3"/>
  <c r="B26" i="11" l="1"/>
  <c r="D21" i="12" s="1"/>
  <c r="D23" i="12" s="1"/>
  <c r="O79" i="6"/>
  <c r="E9" i="6" l="1"/>
  <c r="E10" i="6" s="1"/>
  <c r="E34" i="6" s="1"/>
  <c r="N56" i="11"/>
  <c r="F36" i="11"/>
  <c r="O7" i="11"/>
  <c r="O6" i="11"/>
  <c r="O5" i="11"/>
  <c r="H14" i="3"/>
  <c r="H12" i="3"/>
  <c r="H11" i="3"/>
  <c r="H6" i="3"/>
  <c r="D14" i="3"/>
  <c r="D12" i="3"/>
  <c r="D11" i="3"/>
  <c r="D6" i="3"/>
  <c r="C14" i="3"/>
  <c r="C12" i="3"/>
  <c r="C10" i="3"/>
  <c r="C9" i="3"/>
  <c r="C8" i="3"/>
  <c r="I10" i="3"/>
  <c r="J8" i="3"/>
  <c r="J7" i="3"/>
  <c r="F12" i="3"/>
  <c r="K14" i="3"/>
  <c r="K13" i="3"/>
  <c r="K10" i="3"/>
  <c r="K9" i="3"/>
  <c r="K7" i="3"/>
  <c r="K6" i="3"/>
  <c r="C9" i="6"/>
  <c r="C10" i="6" s="1"/>
  <c r="A8" i="11"/>
  <c r="K8" i="11" s="1"/>
  <c r="A6" i="3"/>
  <c r="A6" i="4" s="1"/>
  <c r="A6" i="2"/>
  <c r="A7" i="2" s="1"/>
  <c r="C7" i="3"/>
  <c r="F7" i="3"/>
  <c r="I8" i="3"/>
  <c r="D9" i="3"/>
  <c r="F9" i="3"/>
  <c r="H9" i="3"/>
  <c r="C11" i="3"/>
  <c r="K11" i="3"/>
  <c r="I12" i="3"/>
  <c r="J12" i="3"/>
  <c r="H13" i="3"/>
  <c r="D9" i="6"/>
  <c r="D10" i="6" s="1"/>
  <c r="F9" i="6"/>
  <c r="F10" i="6" s="1"/>
  <c r="G9" i="6"/>
  <c r="G10" i="6" s="1"/>
  <c r="G28" i="6" s="1"/>
  <c r="H9" i="6"/>
  <c r="H10" i="6" s="1"/>
  <c r="H27" i="6" s="1"/>
  <c r="I9" i="6"/>
  <c r="I10" i="6" s="1"/>
  <c r="I30" i="6" s="1"/>
  <c r="J9" i="6"/>
  <c r="J10" i="6" s="1"/>
  <c r="J33" i="6" s="1"/>
  <c r="K9" i="6"/>
  <c r="K10" i="6" s="1"/>
  <c r="K30" i="6" s="1"/>
  <c r="L9" i="6"/>
  <c r="L10" i="6" s="1"/>
  <c r="L32" i="6" s="1"/>
  <c r="M9" i="6"/>
  <c r="M10" i="6" s="1"/>
  <c r="N9" i="6"/>
  <c r="N10" i="6" s="1"/>
  <c r="F40" i="11"/>
  <c r="A2" i="2"/>
  <c r="A2" i="4"/>
  <c r="A2" i="3" s="1"/>
  <c r="D6" i="6"/>
  <c r="E6" i="6" s="1"/>
  <c r="F6" i="6" s="1"/>
  <c r="G6" i="6" s="1"/>
  <c r="H6" i="6" s="1"/>
  <c r="I6" i="6" s="1"/>
  <c r="J6" i="6" s="1"/>
  <c r="K6" i="6" s="1"/>
  <c r="L6" i="6" s="1"/>
  <c r="M6" i="6" s="1"/>
  <c r="N6" i="6" s="1"/>
  <c r="B105" i="6"/>
  <c r="J8" i="11"/>
  <c r="J9" i="11"/>
  <c r="J10" i="11"/>
  <c r="J22" i="11"/>
  <c r="O27" i="11" s="1"/>
  <c r="J11" i="11"/>
  <c r="J12" i="11"/>
  <c r="J13" i="11"/>
  <c r="J17" i="11"/>
  <c r="J18" i="11"/>
  <c r="J19" i="11"/>
  <c r="J20" i="11"/>
  <c r="J21" i="11"/>
  <c r="B11" i="5"/>
  <c r="F34" i="5" s="1"/>
  <c r="F35" i="5" s="1"/>
  <c r="F41" i="5" s="1"/>
  <c r="G41" i="5" s="1"/>
  <c r="B24" i="5"/>
  <c r="F38" i="5" s="1"/>
  <c r="F39" i="5" s="1"/>
  <c r="D11" i="5"/>
  <c r="D24" i="5"/>
  <c r="J14" i="5"/>
  <c r="F14" i="5"/>
  <c r="J8" i="5"/>
  <c r="J9" i="5"/>
  <c r="J22" i="5"/>
  <c r="J13" i="5"/>
  <c r="J15" i="5"/>
  <c r="J16" i="5"/>
  <c r="J17" i="5"/>
  <c r="J18" i="5"/>
  <c r="J19" i="5"/>
  <c r="J20" i="5"/>
  <c r="J21" i="5"/>
  <c r="F22" i="5"/>
  <c r="F19" i="5"/>
  <c r="F20" i="5"/>
  <c r="F21" i="5"/>
  <c r="F8" i="5"/>
  <c r="F9" i="5"/>
  <c r="F13" i="5"/>
  <c r="F15" i="5"/>
  <c r="F16" i="5"/>
  <c r="F17" i="5"/>
  <c r="F18" i="5"/>
  <c r="I7" i="3"/>
  <c r="F11" i="3"/>
  <c r="H8" i="3"/>
  <c r="I15" i="3"/>
  <c r="J10" i="3"/>
  <c r="D10" i="3"/>
  <c r="J6" i="3"/>
  <c r="I6" i="3"/>
  <c r="K16" i="3"/>
  <c r="F16" i="3"/>
  <c r="K15" i="3"/>
  <c r="J15" i="3"/>
  <c r="H17" i="3"/>
  <c r="H16" i="3"/>
  <c r="C17" i="3"/>
  <c r="C16" i="3"/>
  <c r="K17" i="3"/>
  <c r="J14" i="3"/>
  <c r="C15" i="3"/>
  <c r="F6" i="3"/>
  <c r="K8" i="3"/>
  <c r="J9" i="3"/>
  <c r="I9" i="3"/>
  <c r="I11" i="3"/>
  <c r="K12" i="3"/>
  <c r="I13" i="3"/>
  <c r="D8" i="3"/>
  <c r="F17" i="3"/>
  <c r="F8" i="3"/>
  <c r="C13" i="3"/>
  <c r="E6" i="3"/>
  <c r="H10" i="3"/>
  <c r="L6" i="3"/>
  <c r="D16" i="3"/>
  <c r="D15" i="3"/>
  <c r="J13" i="3"/>
  <c r="D13" i="3"/>
  <c r="H7" i="3"/>
  <c r="H15" i="3"/>
  <c r="F10" i="3"/>
  <c r="F13" i="3"/>
  <c r="I14" i="3"/>
  <c r="D7" i="3"/>
  <c r="J17" i="3"/>
  <c r="I17" i="3"/>
  <c r="D17" i="3"/>
  <c r="I16" i="3"/>
  <c r="J16" i="3"/>
  <c r="F15" i="3"/>
  <c r="F14" i="3"/>
  <c r="J11" i="3"/>
  <c r="C6" i="3"/>
  <c r="L17" i="3"/>
  <c r="E17" i="3"/>
  <c r="D26" i="5" l="1"/>
  <c r="G31" i="5" s="1"/>
  <c r="G44" i="5" s="1"/>
  <c r="G51" i="5" s="1"/>
  <c r="J61" i="6"/>
  <c r="J88" i="6" s="1"/>
  <c r="G13" i="2"/>
  <c r="A9" i="11"/>
  <c r="A10" i="11" s="1"/>
  <c r="F42" i="11"/>
  <c r="G42" i="11" s="1"/>
  <c r="E27" i="6"/>
  <c r="E55" i="6" s="1"/>
  <c r="E82" i="6" s="1"/>
  <c r="H33" i="6"/>
  <c r="I36" i="6"/>
  <c r="I64" i="6" s="1"/>
  <c r="G33" i="6"/>
  <c r="A7" i="3"/>
  <c r="A7" i="4" s="1"/>
  <c r="A8" i="2"/>
  <c r="G56" i="6"/>
  <c r="G83" i="6" s="1"/>
  <c r="K10" i="2"/>
  <c r="K10" i="4" s="1"/>
  <c r="F14" i="2"/>
  <c r="F14" i="4" s="1"/>
  <c r="K58" i="6"/>
  <c r="K85" i="6" s="1"/>
  <c r="C37" i="6"/>
  <c r="H6" i="2" s="1"/>
  <c r="H6" i="4" s="1"/>
  <c r="C34" i="6"/>
  <c r="C27" i="6"/>
  <c r="C35" i="6"/>
  <c r="C33" i="6"/>
  <c r="C36" i="6"/>
  <c r="C64" i="6" s="1"/>
  <c r="C91" i="6" s="1"/>
  <c r="L30" i="6"/>
  <c r="L58" i="6" s="1"/>
  <c r="L85" i="6" s="1"/>
  <c r="K27" i="6"/>
  <c r="J30" i="6"/>
  <c r="F13" i="2" s="1"/>
  <c r="F13" i="4" s="1"/>
  <c r="F12" i="2"/>
  <c r="F12" i="4" s="1"/>
  <c r="I58" i="6"/>
  <c r="I85" i="6" s="1"/>
  <c r="M30" i="6"/>
  <c r="M27" i="6"/>
  <c r="M32" i="6"/>
  <c r="C15" i="2"/>
  <c r="C15" i="4" s="1"/>
  <c r="L60" i="6"/>
  <c r="L87" i="6" s="1"/>
  <c r="N32" i="6"/>
  <c r="N27" i="6"/>
  <c r="N30" i="6"/>
  <c r="K32" i="6"/>
  <c r="F32" i="6"/>
  <c r="F33" i="6"/>
  <c r="F37" i="6"/>
  <c r="H9" i="2" s="1"/>
  <c r="H9" i="4" s="1"/>
  <c r="E35" i="6"/>
  <c r="E8" i="2" s="1"/>
  <c r="D8" i="2"/>
  <c r="D8" i="4" s="1"/>
  <c r="E62" i="6"/>
  <c r="E89" i="6" s="1"/>
  <c r="D35" i="6"/>
  <c r="D34" i="6"/>
  <c r="D7" i="2" s="1"/>
  <c r="D30" i="6"/>
  <c r="F7" i="2" s="1"/>
  <c r="D37" i="6"/>
  <c r="H7" i="2" s="1"/>
  <c r="H7" i="4" s="1"/>
  <c r="D32" i="6"/>
  <c r="D36" i="6"/>
  <c r="D27" i="6"/>
  <c r="D28" i="6"/>
  <c r="D56" i="6" s="1"/>
  <c r="D83" i="6" s="1"/>
  <c r="D33" i="6"/>
  <c r="E36" i="6"/>
  <c r="C30" i="6"/>
  <c r="C28" i="6"/>
  <c r="C31" i="6"/>
  <c r="I6" i="2" s="1"/>
  <c r="C32" i="6"/>
  <c r="C29" i="6"/>
  <c r="C57" i="6" s="1"/>
  <c r="C84" i="6" s="1"/>
  <c r="F35" i="6"/>
  <c r="H55" i="6"/>
  <c r="H28" i="6"/>
  <c r="K36" i="6"/>
  <c r="J32" i="6"/>
  <c r="J36" i="6"/>
  <c r="J27" i="6"/>
  <c r="F36" i="6"/>
  <c r="F28" i="6"/>
  <c r="F34" i="6"/>
  <c r="F27" i="6"/>
  <c r="F30" i="6"/>
  <c r="K33" i="6"/>
  <c r="J26" i="11"/>
  <c r="G51" i="11" s="1"/>
  <c r="L27" i="6"/>
  <c r="L36" i="6"/>
  <c r="I27" i="6"/>
  <c r="I32" i="6"/>
  <c r="I33" i="6"/>
  <c r="D31" i="6"/>
  <c r="G34" i="6"/>
  <c r="G37" i="6"/>
  <c r="H10" i="2" s="1"/>
  <c r="H10" i="4" s="1"/>
  <c r="J26" i="5"/>
  <c r="G50" i="5" s="1"/>
  <c r="G53" i="5" s="1"/>
  <c r="I53" i="5" s="1"/>
  <c r="E7" i="3"/>
  <c r="G27" i="6"/>
  <c r="H32" i="6"/>
  <c r="H30" i="6"/>
  <c r="H36" i="6"/>
  <c r="D29" i="6"/>
  <c r="L7" i="3"/>
  <c r="G30" i="6"/>
  <c r="G32" i="6"/>
  <c r="G36" i="6"/>
  <c r="E30" i="6"/>
  <c r="E28" i="6"/>
  <c r="E37" i="6"/>
  <c r="H8" i="2" s="1"/>
  <c r="E33" i="6"/>
  <c r="E32" i="6"/>
  <c r="B26" i="5"/>
  <c r="F26" i="5" s="1"/>
  <c r="G56" i="5" s="1"/>
  <c r="I56" i="5" s="1"/>
  <c r="C61" i="6" l="1"/>
  <c r="C88" i="6" s="1"/>
  <c r="G6" i="2"/>
  <c r="G6" i="4" s="1"/>
  <c r="H61" i="6"/>
  <c r="H88" i="6" s="1"/>
  <c r="G11" i="2"/>
  <c r="G11" i="4" s="1"/>
  <c r="I61" i="6"/>
  <c r="G12" i="2"/>
  <c r="K61" i="6"/>
  <c r="K88" i="6" s="1"/>
  <c r="G14" i="2"/>
  <c r="G14" i="4" s="1"/>
  <c r="D61" i="6"/>
  <c r="D88" i="6" s="1"/>
  <c r="G7" i="2"/>
  <c r="E61" i="6"/>
  <c r="E88" i="6" s="1"/>
  <c r="G8" i="2"/>
  <c r="G8" i="4" s="1"/>
  <c r="F61" i="6"/>
  <c r="F88" i="6" s="1"/>
  <c r="G9" i="2"/>
  <c r="G61" i="6"/>
  <c r="G88" i="6" s="1"/>
  <c r="G10" i="2"/>
  <c r="G10" i="4" s="1"/>
  <c r="A11" i="11"/>
  <c r="K11" i="11" s="1"/>
  <c r="K10" i="11"/>
  <c r="K9" i="11"/>
  <c r="K55" i="6"/>
  <c r="K82" i="6" s="1"/>
  <c r="L12" i="2"/>
  <c r="J58" i="6"/>
  <c r="J85" i="6" s="1"/>
  <c r="A8" i="3"/>
  <c r="A8" i="4" s="1"/>
  <c r="A9" i="2"/>
  <c r="D58" i="6"/>
  <c r="D85" i="6" s="1"/>
  <c r="L6" i="2"/>
  <c r="L6" i="4" s="1"/>
  <c r="J6" i="2"/>
  <c r="C38" i="6"/>
  <c r="C55" i="6"/>
  <c r="C82" i="6" s="1"/>
  <c r="D62" i="6"/>
  <c r="D89" i="6" s="1"/>
  <c r="C59" i="6"/>
  <c r="C86" i="6" s="1"/>
  <c r="D6" i="2"/>
  <c r="D6" i="4" s="1"/>
  <c r="C62" i="6"/>
  <c r="C89" i="6" s="1"/>
  <c r="C63" i="6"/>
  <c r="C90" i="6" s="1"/>
  <c r="E6" i="2"/>
  <c r="E6" i="4" s="1"/>
  <c r="F15" i="2"/>
  <c r="F15" i="4" s="1"/>
  <c r="N60" i="6"/>
  <c r="N87" i="6" s="1"/>
  <c r="C17" i="2"/>
  <c r="C17" i="4" s="1"/>
  <c r="M55" i="6"/>
  <c r="M82" i="6" s="1"/>
  <c r="C14" i="2"/>
  <c r="C14" i="4" s="1"/>
  <c r="K60" i="6"/>
  <c r="K87" i="6" s="1"/>
  <c r="F16" i="2"/>
  <c r="F16" i="4" s="1"/>
  <c r="M58" i="6"/>
  <c r="M85" i="6" s="1"/>
  <c r="N58" i="6"/>
  <c r="N85" i="6" s="1"/>
  <c r="F17" i="2"/>
  <c r="F17" i="4" s="1"/>
  <c r="N55" i="6"/>
  <c r="N82" i="6" s="1"/>
  <c r="M60" i="6"/>
  <c r="M87" i="6" s="1"/>
  <c r="C16" i="2"/>
  <c r="C16" i="4" s="1"/>
  <c r="C9" i="2"/>
  <c r="C9" i="4" s="1"/>
  <c r="F60" i="6"/>
  <c r="F87" i="6" s="1"/>
  <c r="E63" i="6"/>
  <c r="E90" i="6" s="1"/>
  <c r="G7" i="4"/>
  <c r="D55" i="6"/>
  <c r="D82" i="6" s="1"/>
  <c r="E64" i="6"/>
  <c r="E91" i="6" s="1"/>
  <c r="L8" i="2"/>
  <c r="D64" i="6"/>
  <c r="D91" i="6" s="1"/>
  <c r="L7" i="2"/>
  <c r="L7" i="4" s="1"/>
  <c r="K7" i="2"/>
  <c r="K7" i="4" s="1"/>
  <c r="D60" i="6"/>
  <c r="D87" i="6" s="1"/>
  <c r="C7" i="2"/>
  <c r="C7" i="4" s="1"/>
  <c r="E7" i="2"/>
  <c r="E7" i="4" s="1"/>
  <c r="D63" i="6"/>
  <c r="D90" i="6" s="1"/>
  <c r="F6" i="2"/>
  <c r="F6" i="4" s="1"/>
  <c r="C58" i="6"/>
  <c r="C85" i="6" s="1"/>
  <c r="C6" i="2"/>
  <c r="C6" i="4" s="1"/>
  <c r="C60" i="6"/>
  <c r="C87" i="6" s="1"/>
  <c r="C56" i="6"/>
  <c r="K6" i="2"/>
  <c r="K6" i="4" s="1"/>
  <c r="I58" i="5"/>
  <c r="F64" i="6"/>
  <c r="L9" i="2"/>
  <c r="C13" i="2"/>
  <c r="J60" i="6"/>
  <c r="J87" i="6" s="1"/>
  <c r="I6" i="4"/>
  <c r="K28" i="6"/>
  <c r="H8" i="4"/>
  <c r="L10" i="2"/>
  <c r="G64" i="6"/>
  <c r="L8" i="3"/>
  <c r="H37" i="6"/>
  <c r="H11" i="2" s="1"/>
  <c r="H11" i="4" s="1"/>
  <c r="G62" i="6"/>
  <c r="G89" i="6" s="1"/>
  <c r="D10" i="2"/>
  <c r="D10" i="4" s="1"/>
  <c r="I28" i="6"/>
  <c r="L33" i="6"/>
  <c r="F62" i="6"/>
  <c r="F89" i="6" s="1"/>
  <c r="D9" i="2"/>
  <c r="J28" i="6"/>
  <c r="L14" i="2"/>
  <c r="K64" i="6"/>
  <c r="H82" i="6"/>
  <c r="E9" i="2"/>
  <c r="F63" i="6"/>
  <c r="F8" i="2"/>
  <c r="F8" i="4" s="1"/>
  <c r="E58" i="6"/>
  <c r="E85" i="6" s="1"/>
  <c r="F10" i="2"/>
  <c r="F10" i="4" s="1"/>
  <c r="G58" i="6"/>
  <c r="G85" i="6" s="1"/>
  <c r="F31" i="6"/>
  <c r="L64" i="6"/>
  <c r="L15" i="2"/>
  <c r="K8" i="2"/>
  <c r="K8" i="4" s="1"/>
  <c r="E56" i="6"/>
  <c r="G60" i="6"/>
  <c r="G87" i="6" s="1"/>
  <c r="C10" i="2"/>
  <c r="E29" i="6"/>
  <c r="E57" i="6" s="1"/>
  <c r="E84" i="6" s="1"/>
  <c r="H60" i="6"/>
  <c r="H87" i="6" s="1"/>
  <c r="C11" i="2"/>
  <c r="E8" i="3"/>
  <c r="H34" i="6"/>
  <c r="C12" i="2"/>
  <c r="I60" i="6"/>
  <c r="I87" i="6" s="1"/>
  <c r="J55" i="6"/>
  <c r="G13" i="4"/>
  <c r="N36" i="6"/>
  <c r="M36" i="6"/>
  <c r="J6" i="4"/>
  <c r="G35" i="6"/>
  <c r="H58" i="6"/>
  <c r="H85" i="6" s="1"/>
  <c r="F11" i="2"/>
  <c r="F11" i="4" s="1"/>
  <c r="J37" i="6"/>
  <c r="H13" i="2" s="1"/>
  <c r="H13" i="4" s="1"/>
  <c r="F55" i="6"/>
  <c r="F82" i="6" s="1"/>
  <c r="F7" i="4"/>
  <c r="C8" i="2"/>
  <c r="E60" i="6"/>
  <c r="E87" i="6" s="1"/>
  <c r="E31" i="6"/>
  <c r="D7" i="4"/>
  <c r="D57" i="6"/>
  <c r="D38" i="6"/>
  <c r="H64" i="6"/>
  <c r="L11" i="2"/>
  <c r="G55" i="6"/>
  <c r="J7" i="2"/>
  <c r="J7" i="4" s="1"/>
  <c r="I7" i="2"/>
  <c r="I7" i="4" s="1"/>
  <c r="D59" i="6"/>
  <c r="D86" i="6" s="1"/>
  <c r="I37" i="6"/>
  <c r="H12" i="2" s="1"/>
  <c r="H12" i="4" s="1"/>
  <c r="I55" i="6"/>
  <c r="G12" i="4"/>
  <c r="L55" i="6"/>
  <c r="F58" i="6"/>
  <c r="F85" i="6" s="1"/>
  <c r="F9" i="2"/>
  <c r="F9" i="4" s="1"/>
  <c r="F56" i="6"/>
  <c r="F83" i="6" s="1"/>
  <c r="K9" i="2"/>
  <c r="K9" i="4" s="1"/>
  <c r="L13" i="2"/>
  <c r="J64" i="6"/>
  <c r="K11" i="2"/>
  <c r="K11" i="4" s="1"/>
  <c r="H56" i="6"/>
  <c r="H83" i="6" s="1"/>
  <c r="L61" i="6" l="1"/>
  <c r="L88" i="6" s="1"/>
  <c r="G15" i="2"/>
  <c r="G15" i="4" s="1"/>
  <c r="A12" i="11"/>
  <c r="K12" i="11" s="1"/>
  <c r="E8" i="4"/>
  <c r="A10" i="2"/>
  <c r="A9" i="3"/>
  <c r="A9" i="4" s="1"/>
  <c r="L8" i="4"/>
  <c r="N6" i="2"/>
  <c r="C83" i="6"/>
  <c r="C65" i="6"/>
  <c r="F18" i="4"/>
  <c r="D84" i="6"/>
  <c r="D65" i="6"/>
  <c r="D92" i="6" s="1"/>
  <c r="G31" i="6"/>
  <c r="K12" i="2"/>
  <c r="K12" i="4" s="1"/>
  <c r="I56" i="6"/>
  <c r="I83" i="6" s="1"/>
  <c r="M6" i="4"/>
  <c r="M7" i="4"/>
  <c r="O7" i="4" s="1"/>
  <c r="F18" i="2"/>
  <c r="H35" i="6"/>
  <c r="L17" i="2"/>
  <c r="L17" i="4" s="1"/>
  <c r="N64" i="6"/>
  <c r="N91" i="6" s="1"/>
  <c r="I34" i="6"/>
  <c r="E9" i="3"/>
  <c r="F90" i="6"/>
  <c r="F29" i="6"/>
  <c r="I9" i="2"/>
  <c r="I9" i="4" s="1"/>
  <c r="F59" i="6"/>
  <c r="F86" i="6" s="1"/>
  <c r="J9" i="2"/>
  <c r="J9" i="4" s="1"/>
  <c r="I82" i="6"/>
  <c r="K37" i="6"/>
  <c r="H14" i="2" s="1"/>
  <c r="H14" i="4" s="1"/>
  <c r="C12" i="4"/>
  <c r="K13" i="2"/>
  <c r="K13" i="4" s="1"/>
  <c r="J56" i="6"/>
  <c r="J83" i="6" s="1"/>
  <c r="N33" i="6"/>
  <c r="M33" i="6"/>
  <c r="K56" i="6"/>
  <c r="K14" i="2"/>
  <c r="K14" i="4" s="1"/>
  <c r="G82" i="6"/>
  <c r="I8" i="2"/>
  <c r="I8" i="4" s="1"/>
  <c r="E59" i="6"/>
  <c r="E86" i="6" s="1"/>
  <c r="J8" i="2"/>
  <c r="C11" i="4"/>
  <c r="C10" i="4"/>
  <c r="E38" i="6"/>
  <c r="L9" i="3"/>
  <c r="L9" i="4" s="1"/>
  <c r="F91" i="6"/>
  <c r="L82" i="6"/>
  <c r="N7" i="2"/>
  <c r="C8" i="4"/>
  <c r="C18" i="2"/>
  <c r="G9" i="4"/>
  <c r="E10" i="2"/>
  <c r="G63" i="6"/>
  <c r="L16" i="2"/>
  <c r="M64" i="6"/>
  <c r="J82" i="6"/>
  <c r="H62" i="6"/>
  <c r="H89" i="6" s="1"/>
  <c r="D11" i="2"/>
  <c r="E83" i="6"/>
  <c r="D9" i="4"/>
  <c r="L28" i="6"/>
  <c r="C13" i="4"/>
  <c r="M61" i="6" l="1"/>
  <c r="M88" i="6" s="1"/>
  <c r="G16" i="2"/>
  <c r="N61" i="6"/>
  <c r="N88" i="6" s="1"/>
  <c r="G17" i="2"/>
  <c r="G17" i="4" s="1"/>
  <c r="A13" i="11"/>
  <c r="K13" i="11" s="1"/>
  <c r="E9" i="4"/>
  <c r="M9" i="4" s="1"/>
  <c r="O9" i="4" s="1"/>
  <c r="L18" i="2"/>
  <c r="A11" i="2"/>
  <c r="A10" i="3"/>
  <c r="A10" i="4" s="1"/>
  <c r="E65" i="6"/>
  <c r="E92" i="6" s="1"/>
  <c r="E93" i="6" s="1"/>
  <c r="N9" i="2"/>
  <c r="C92" i="6"/>
  <c r="C93" i="6" s="1"/>
  <c r="C52" i="6"/>
  <c r="C66" i="6"/>
  <c r="N28" i="6"/>
  <c r="M28" i="6"/>
  <c r="J8" i="4"/>
  <c r="K83" i="6"/>
  <c r="J34" i="6"/>
  <c r="H63" i="6"/>
  <c r="E11" i="2"/>
  <c r="O9" i="11"/>
  <c r="O8" i="11"/>
  <c r="E10" i="3"/>
  <c r="E10" i="4" s="1"/>
  <c r="G90" i="6"/>
  <c r="I35" i="6"/>
  <c r="G59" i="6"/>
  <c r="G86" i="6" s="1"/>
  <c r="J10" i="2"/>
  <c r="J10" i="4" s="1"/>
  <c r="I10" i="2"/>
  <c r="D93" i="6"/>
  <c r="M8" i="4"/>
  <c r="O8" i="4" s="1"/>
  <c r="C18" i="4"/>
  <c r="L10" i="3"/>
  <c r="L10" i="4" s="1"/>
  <c r="G91" i="6"/>
  <c r="K15" i="2"/>
  <c r="K15" i="4" s="1"/>
  <c r="L56" i="6"/>
  <c r="D11" i="4"/>
  <c r="N8" i="2"/>
  <c r="L37" i="6"/>
  <c r="H15" i="2" s="1"/>
  <c r="F57" i="6"/>
  <c r="F38" i="6"/>
  <c r="H31" i="6"/>
  <c r="G29" i="6"/>
  <c r="D12" i="2"/>
  <c r="I62" i="6"/>
  <c r="I89" i="6" s="1"/>
  <c r="D66" i="6"/>
  <c r="G16" i="4" l="1"/>
  <c r="G18" i="4" s="1"/>
  <c r="G18" i="2"/>
  <c r="A17" i="11"/>
  <c r="A18" i="11" s="1"/>
  <c r="A19" i="11" s="1"/>
  <c r="D9" i="11"/>
  <c r="F9" i="11" s="1"/>
  <c r="C94" i="6"/>
  <c r="C97" i="6" s="1"/>
  <c r="A12" i="2"/>
  <c r="A11" i="3"/>
  <c r="A11" i="4" s="1"/>
  <c r="E66" i="6"/>
  <c r="E94" i="6" s="1"/>
  <c r="E97" i="6" s="1"/>
  <c r="J11" i="2"/>
  <c r="J11" i="4" s="1"/>
  <c r="H59" i="6"/>
  <c r="H86" i="6" s="1"/>
  <c r="I11" i="2"/>
  <c r="H15" i="4"/>
  <c r="J62" i="6"/>
  <c r="J89" i="6" s="1"/>
  <c r="D13" i="2"/>
  <c r="M56" i="6"/>
  <c r="K16" i="2"/>
  <c r="K16" i="4" s="1"/>
  <c r="D12" i="4"/>
  <c r="I31" i="6"/>
  <c r="N37" i="6"/>
  <c r="H17" i="2" s="1"/>
  <c r="H17" i="4" s="1"/>
  <c r="M37" i="6"/>
  <c r="H16" i="2" s="1"/>
  <c r="H16" i="4" s="1"/>
  <c r="O10" i="11"/>
  <c r="K34" i="6"/>
  <c r="K17" i="2"/>
  <c r="K17" i="4" s="1"/>
  <c r="N56" i="6"/>
  <c r="G57" i="6"/>
  <c r="G38" i="6"/>
  <c r="O11" i="11"/>
  <c r="D94" i="6"/>
  <c r="D97" i="6" s="1"/>
  <c r="E12" i="2"/>
  <c r="I63" i="6"/>
  <c r="E11" i="3"/>
  <c r="H90" i="6"/>
  <c r="H29" i="6"/>
  <c r="F84" i="6"/>
  <c r="F65" i="6"/>
  <c r="F92" i="6" s="1"/>
  <c r="L83" i="6"/>
  <c r="L11" i="3"/>
  <c r="L11" i="4" s="1"/>
  <c r="H91" i="6"/>
  <c r="I10" i="4"/>
  <c r="M10" i="4" s="1"/>
  <c r="O10" i="4" s="1"/>
  <c r="N10" i="2"/>
  <c r="J35" i="6"/>
  <c r="K18" i="11" l="1"/>
  <c r="K17" i="11"/>
  <c r="D11" i="11"/>
  <c r="D10" i="11"/>
  <c r="F10" i="11" s="1"/>
  <c r="E11" i="4"/>
  <c r="A12" i="3"/>
  <c r="A12" i="4" s="1"/>
  <c r="A13" i="2"/>
  <c r="F93" i="6"/>
  <c r="F66" i="6"/>
  <c r="K18" i="4"/>
  <c r="K18" i="2"/>
  <c r="E13" i="2"/>
  <c r="J63" i="6"/>
  <c r="K62" i="6"/>
  <c r="K89" i="6" s="1"/>
  <c r="D14" i="2"/>
  <c r="I59" i="6"/>
  <c r="I86" i="6" s="1"/>
  <c r="J12" i="2"/>
  <c r="I12" i="2"/>
  <c r="I12" i="4" s="1"/>
  <c r="D13" i="4"/>
  <c r="K35" i="6"/>
  <c r="L12" i="3"/>
  <c r="L12" i="4" s="1"/>
  <c r="I91" i="6"/>
  <c r="K19" i="11"/>
  <c r="A20" i="11"/>
  <c r="J31" i="6"/>
  <c r="I11" i="4"/>
  <c r="H57" i="6"/>
  <c r="H38" i="6"/>
  <c r="M83" i="6"/>
  <c r="N83" i="6"/>
  <c r="L34" i="6"/>
  <c r="O12" i="11"/>
  <c r="I29" i="6"/>
  <c r="N11" i="2"/>
  <c r="E12" i="3"/>
  <c r="I90" i="6"/>
  <c r="G84" i="6"/>
  <c r="G65" i="6"/>
  <c r="G92" i="6" s="1"/>
  <c r="H18" i="4"/>
  <c r="H18" i="2"/>
  <c r="D12" i="11" l="1"/>
  <c r="F12" i="11" s="1"/>
  <c r="M11" i="4"/>
  <c r="O11" i="4" s="1"/>
  <c r="E12" i="4"/>
  <c r="F94" i="6"/>
  <c r="F97" i="6" s="1"/>
  <c r="A13" i="3"/>
  <c r="A13" i="4" s="1"/>
  <c r="A14" i="2"/>
  <c r="G93" i="6"/>
  <c r="G66" i="6"/>
  <c r="I57" i="6"/>
  <c r="I38" i="6"/>
  <c r="A21" i="11"/>
  <c r="K20" i="11"/>
  <c r="E14" i="2"/>
  <c r="K63" i="6"/>
  <c r="J12" i="4"/>
  <c r="J29" i="6"/>
  <c r="L62" i="6"/>
  <c r="L89" i="6" s="1"/>
  <c r="D15" i="2"/>
  <c r="I13" i="2"/>
  <c r="J13" i="2"/>
  <c r="J13" i="4" s="1"/>
  <c r="J59" i="6"/>
  <c r="J86" i="6" s="1"/>
  <c r="L35" i="6"/>
  <c r="E13" i="3"/>
  <c r="J90" i="6"/>
  <c r="N34" i="6"/>
  <c r="M34" i="6"/>
  <c r="F11" i="11"/>
  <c r="H84" i="6"/>
  <c r="H65" i="6"/>
  <c r="H92" i="6" s="1"/>
  <c r="K31" i="6"/>
  <c r="L13" i="3"/>
  <c r="L13" i="4" s="1"/>
  <c r="J91" i="6"/>
  <c r="D14" i="4"/>
  <c r="N12" i="2"/>
  <c r="D13" i="11" l="1"/>
  <c r="O13" i="11"/>
  <c r="E13" i="4"/>
  <c r="G94" i="6"/>
  <c r="G97" i="6" s="1"/>
  <c r="A14" i="3"/>
  <c r="A14" i="4" s="1"/>
  <c r="A15" i="2"/>
  <c r="H66" i="6"/>
  <c r="L31" i="6"/>
  <c r="E14" i="3"/>
  <c r="E14" i="4" s="1"/>
  <c r="K90" i="6"/>
  <c r="K29" i="6"/>
  <c r="D15" i="4"/>
  <c r="N62" i="6"/>
  <c r="N89" i="6" s="1"/>
  <c r="D17" i="2"/>
  <c r="M35" i="6"/>
  <c r="N35" i="6"/>
  <c r="A22" i="11"/>
  <c r="C39" i="11" s="1"/>
  <c r="K21" i="11"/>
  <c r="K91" i="6"/>
  <c r="L14" i="3"/>
  <c r="L14" i="4" s="1"/>
  <c r="M12" i="4"/>
  <c r="O12" i="4" s="1"/>
  <c r="I65" i="6"/>
  <c r="I92" i="6" s="1"/>
  <c r="I14" i="2"/>
  <c r="K59" i="6"/>
  <c r="K86" i="6" s="1"/>
  <c r="J14" i="2"/>
  <c r="J14" i="4" s="1"/>
  <c r="H93" i="6"/>
  <c r="D16" i="2"/>
  <c r="M62" i="6"/>
  <c r="M89" i="6" s="1"/>
  <c r="E15" i="2"/>
  <c r="L63" i="6"/>
  <c r="I13" i="4"/>
  <c r="J57" i="6"/>
  <c r="J38" i="6"/>
  <c r="N13" i="2"/>
  <c r="M13" i="4" l="1"/>
  <c r="O13" i="4" s="1"/>
  <c r="A15" i="3"/>
  <c r="A15" i="4" s="1"/>
  <c r="A16" i="2"/>
  <c r="H94" i="6"/>
  <c r="H97" i="6" s="1"/>
  <c r="K22" i="11"/>
  <c r="A3" i="11"/>
  <c r="K57" i="6"/>
  <c r="K38" i="6"/>
  <c r="L90" i="6"/>
  <c r="E15" i="3"/>
  <c r="I93" i="6"/>
  <c r="N63" i="6"/>
  <c r="N90" i="6" s="1"/>
  <c r="E17" i="2"/>
  <c r="F13" i="11"/>
  <c r="L29" i="6"/>
  <c r="J15" i="2"/>
  <c r="J15" i="4" s="1"/>
  <c r="I15" i="2"/>
  <c r="I15" i="4" s="1"/>
  <c r="L59" i="6"/>
  <c r="L86" i="6" s="1"/>
  <c r="D17" i="4"/>
  <c r="D18" i="2"/>
  <c r="J84" i="6"/>
  <c r="J65" i="6"/>
  <c r="J92" i="6" s="1"/>
  <c r="I66" i="6"/>
  <c r="D16" i="4"/>
  <c r="I14" i="4"/>
  <c r="M14" i="4" s="1"/>
  <c r="O14" i="4" s="1"/>
  <c r="N14" i="2"/>
  <c r="O17" i="11"/>
  <c r="L91" i="6"/>
  <c r="L15" i="3"/>
  <c r="L15" i="4" s="1"/>
  <c r="M63" i="6"/>
  <c r="E16" i="2"/>
  <c r="M31" i="6"/>
  <c r="N31" i="6"/>
  <c r="D17" i="11" l="1"/>
  <c r="D18" i="11"/>
  <c r="F18" i="11" s="1"/>
  <c r="O18" i="11"/>
  <c r="E15" i="4"/>
  <c r="M15" i="4" s="1"/>
  <c r="O15" i="4" s="1"/>
  <c r="A17" i="2"/>
  <c r="A16" i="3"/>
  <c r="A16" i="4" s="1"/>
  <c r="O19" i="11"/>
  <c r="B48" i="11"/>
  <c r="J17" i="2"/>
  <c r="I17" i="2"/>
  <c r="N59" i="6"/>
  <c r="N86" i="6" s="1"/>
  <c r="M90" i="6"/>
  <c r="E16" i="3"/>
  <c r="N15" i="2"/>
  <c r="M91" i="6"/>
  <c r="L16" i="3"/>
  <c r="L16" i="4" s="1"/>
  <c r="L18" i="4" s="1"/>
  <c r="D18" i="4"/>
  <c r="L57" i="6"/>
  <c r="L38" i="6"/>
  <c r="K84" i="6"/>
  <c r="K65" i="6"/>
  <c r="K92" i="6" s="1"/>
  <c r="J93" i="6"/>
  <c r="N29" i="6"/>
  <c r="M29" i="6"/>
  <c r="E17" i="4"/>
  <c r="E18" i="2"/>
  <c r="J16" i="2"/>
  <c r="J16" i="4" s="1"/>
  <c r="M59" i="6"/>
  <c r="M86" i="6" s="1"/>
  <c r="I16" i="2"/>
  <c r="I16" i="4" s="1"/>
  <c r="J66" i="6"/>
  <c r="I94" i="6"/>
  <c r="I97" i="6" s="1"/>
  <c r="F17" i="11" l="1"/>
  <c r="D19" i="11"/>
  <c r="F19" i="11" s="1"/>
  <c r="D20" i="11"/>
  <c r="F20" i="11" s="1"/>
  <c r="E16" i="4"/>
  <c r="M16" i="4" s="1"/>
  <c r="O16" i="4" s="1"/>
  <c r="O20" i="11"/>
  <c r="A17" i="3"/>
  <c r="A1" i="2"/>
  <c r="N17" i="2"/>
  <c r="M57" i="6"/>
  <c r="M38" i="6"/>
  <c r="L84" i="6"/>
  <c r="L65" i="6"/>
  <c r="L92" i="6" s="1"/>
  <c r="J94" i="6"/>
  <c r="J97" i="6" s="1"/>
  <c r="K93" i="6"/>
  <c r="J17" i="4"/>
  <c r="J18" i="4" s="1"/>
  <c r="J18" i="2"/>
  <c r="N57" i="6"/>
  <c r="N38" i="6"/>
  <c r="K66" i="6"/>
  <c r="I17" i="4"/>
  <c r="I18" i="4" s="1"/>
  <c r="I18" i="2"/>
  <c r="N16" i="2"/>
  <c r="D21" i="11" l="1"/>
  <c r="F21" i="11" s="1"/>
  <c r="E18" i="4"/>
  <c r="M18" i="4" s="1"/>
  <c r="N18" i="2"/>
  <c r="L66" i="6"/>
  <c r="A1" i="3"/>
  <c r="A17" i="4"/>
  <c r="O21" i="11"/>
  <c r="M84" i="6"/>
  <c r="M65" i="6"/>
  <c r="M92" i="6" s="1"/>
  <c r="N84" i="6"/>
  <c r="N65" i="6"/>
  <c r="N92" i="6" s="1"/>
  <c r="L93" i="6"/>
  <c r="K94" i="6"/>
  <c r="K97" i="6" s="1"/>
  <c r="M17" i="4"/>
  <c r="O17" i="4" s="1"/>
  <c r="L94" i="6" l="1"/>
  <c r="L97" i="6" s="1"/>
  <c r="N66" i="6"/>
  <c r="N93" i="6"/>
  <c r="M66" i="6"/>
  <c r="O22" i="11"/>
  <c r="O25" i="11" s="1"/>
  <c r="O26" i="11" s="1"/>
  <c r="O33" i="11" s="1"/>
  <c r="M93" i="6"/>
  <c r="N94" i="6" l="1"/>
  <c r="N97" i="6" s="1"/>
  <c r="D22" i="11"/>
  <c r="O93" i="6"/>
  <c r="P93" i="6" s="1"/>
  <c r="M94" i="6"/>
  <c r="M97" i="6" s="1"/>
  <c r="F22" i="11" l="1"/>
  <c r="D24" i="11"/>
  <c r="O6" i="4"/>
  <c r="D8" i="11" s="1"/>
  <c r="O18" i="4"/>
  <c r="P18" i="4" s="1"/>
  <c r="F8" i="11" l="1"/>
  <c r="D15" i="11"/>
  <c r="D26" i="11" s="1"/>
  <c r="O4" i="4"/>
  <c r="F26" i="11" l="1"/>
  <c r="G57" i="11" s="1"/>
  <c r="I57" i="11" s="1"/>
  <c r="G45" i="11"/>
  <c r="G52" i="11" s="1"/>
  <c r="G54" i="11" s="1"/>
  <c r="I54" i="11" s="1"/>
  <c r="O34" i="11" l="1"/>
  <c r="O35" i="11" s="1"/>
  <c r="I59" i="11"/>
  <c r="I6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MG00005</author>
  </authors>
  <commentList>
    <comment ref="F33" authorId="0" shapeId="0" xr:uid="{00000000-0006-0000-0000-000001000000}">
      <text>
        <r>
          <rPr>
            <b/>
            <sz val="8"/>
            <color indexed="81"/>
            <rFont val="Tahoma"/>
            <family val="2"/>
          </rPr>
          <t>MG00005:</t>
        </r>
        <r>
          <rPr>
            <sz val="8"/>
            <color indexed="81"/>
            <rFont val="Tahoma"/>
            <family val="2"/>
          </rPr>
          <t xml:space="preserve">
blended rate - Lynnwood was $1.89 credit per cust per mo, Maltby was $0.44 debit per cust per mo.</t>
        </r>
      </text>
    </comment>
    <comment ref="F37" authorId="0" shapeId="0" xr:uid="{00000000-0006-0000-0000-000002000000}">
      <text>
        <r>
          <rPr>
            <b/>
            <sz val="8"/>
            <color indexed="81"/>
            <rFont val="Tahoma"/>
            <family val="2"/>
          </rPr>
          <t>MG00005:</t>
        </r>
        <r>
          <rPr>
            <sz val="8"/>
            <color indexed="81"/>
            <rFont val="Tahoma"/>
            <family val="2"/>
          </rPr>
          <t xml:space="preserve">
Base rate ("c") from prior year annual commodity credit calculation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Christensen, Abby Rose</author>
    <author>Johnson, Carla</author>
    <author>Alex Brenner</author>
  </authors>
  <commentList>
    <comment ref="B8" authorId="0" shapeId="0" xr:uid="{00000000-0006-0000-0100-000001000000}">
      <text>
        <r>
          <rPr>
            <b/>
            <sz val="9"/>
            <color indexed="81"/>
            <rFont val="Tahoma"/>
            <family val="2"/>
          </rPr>
          <t>Vander Zalm, Connor:</t>
        </r>
        <r>
          <rPr>
            <sz val="9"/>
            <color indexed="81"/>
            <rFont val="Tahoma"/>
            <family val="2"/>
          </rPr>
          <t xml:space="preserve">
We will continue to include Auburn-SeaTac and Renton-SeaTac (although they have annexed) until they have independent city contracts and are no longer to WUTC rates and commodity credits.
This timeline varies between the 2 areas and there is no actual hard date on which they convert. Will have to monitor this.</t>
        </r>
      </text>
    </comment>
    <comment ref="B9" authorId="1" shapeId="0" xr:uid="{00000000-0006-0000-0100-000002000000}">
      <text>
        <r>
          <rPr>
            <b/>
            <sz val="9"/>
            <color indexed="81"/>
            <rFont val="Tahoma"/>
            <family val="2"/>
          </rPr>
          <t>Johnson, Carla:</t>
        </r>
        <r>
          <rPr>
            <sz val="9"/>
            <color indexed="81"/>
            <rFont val="Tahoma"/>
            <family val="2"/>
          </rPr>
          <t xml:space="preserve">
RSA Workbook/Single Family/183 # of customers column R</t>
        </r>
      </text>
    </comment>
    <comment ref="F34" authorId="2" shapeId="0" xr:uid="{00000000-0006-0000-0100-000003000000}">
      <text>
        <r>
          <rPr>
            <b/>
            <sz val="8"/>
            <color indexed="81"/>
            <rFont val="Tahoma"/>
            <family val="2"/>
          </rPr>
          <t xml:space="preserve">Monthly Base Credit:
</t>
        </r>
        <r>
          <rPr>
            <sz val="8"/>
            <color indexed="81"/>
            <rFont val="Tahoma"/>
            <family val="2"/>
          </rPr>
          <t>This number will be the "12 month running average 'Base Credit'" from the first year of the review period. (eg if the review period covers Oct 2008 through Sept 2009 this number would be the base credit that was calculated for 2008)</t>
        </r>
        <r>
          <rPr>
            <sz val="8"/>
            <color indexed="81"/>
            <rFont val="Tahoma"/>
            <family val="2"/>
          </rPr>
          <t xml:space="preserve">
</t>
        </r>
      </text>
    </comment>
    <comment ref="F38" authorId="2" shapeId="0" xr:uid="{00000000-0006-0000-0100-00000400000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 Brenner</author>
    <author>Johnson, Carla</author>
  </authors>
  <commentList>
    <comment ref="A7" authorId="0" shapeId="0" xr:uid="{00000000-0006-0000-0500-000001000000}">
      <text>
        <r>
          <rPr>
            <b/>
            <sz val="8"/>
            <color indexed="81"/>
            <rFont val="Tahoma"/>
            <family val="2"/>
          </rPr>
          <t>Alex Brenner:</t>
        </r>
        <r>
          <rPr>
            <sz val="8"/>
            <color indexed="81"/>
            <rFont val="Tahoma"/>
            <family val="2"/>
          </rPr>
          <t xml:space="preserve">
From 'ESMMYYTONS' spreadsheet, 'ESMMYYTONS' tab (where MM=month, YY=Year)</t>
        </r>
      </text>
    </comment>
    <comment ref="C7" authorId="1" shapeId="0" xr:uid="{00000000-0006-0000-0500-000002000000}">
      <text>
        <r>
          <rPr>
            <b/>
            <sz val="9"/>
            <color indexed="81"/>
            <rFont val="Tahoma"/>
            <family val="2"/>
          </rPr>
          <t>Johnson, Carla:</t>
        </r>
        <r>
          <rPr>
            <sz val="9"/>
            <color indexed="81"/>
            <rFont val="Tahoma"/>
            <family val="2"/>
          </rPr>
          <t xml:space="preserve">
RSA Workbook/Single Family/183 Tons column S</t>
        </r>
      </text>
    </comment>
    <comment ref="A12" authorId="0" shapeId="0" xr:uid="{00000000-0006-0000-0500-000003000000}">
      <text>
        <r>
          <rPr>
            <b/>
            <sz val="8"/>
            <color indexed="81"/>
            <rFont val="Tahoma"/>
            <family val="2"/>
          </rPr>
          <t>Alex Brenner:</t>
        </r>
        <r>
          <rPr>
            <sz val="8"/>
            <color indexed="81"/>
            <rFont val="Tahoma"/>
            <family val="2"/>
          </rPr>
          <t xml:space="preserve">
From 'ESMMYYTONS' Spreadsheet, 'Prices' tab (where MM=month, YY=Year)</t>
        </r>
      </text>
    </comment>
    <comment ref="A68" authorId="0" shapeId="0" xr:uid="{00000000-0006-0000-0500-00000400000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sharedStrings.xml><?xml version="1.0" encoding="utf-8"?>
<sst xmlns="http://schemas.openxmlformats.org/spreadsheetml/2006/main" count="247" uniqueCount="115">
  <si>
    <t>Deferred Accounting Methodology</t>
  </si>
  <si>
    <t>Single Family</t>
  </si>
  <si>
    <t>Commodity</t>
  </si>
  <si>
    <t>Revenue</t>
  </si>
  <si>
    <t>Annual</t>
  </si>
  <si>
    <t>Month</t>
  </si>
  <si>
    <t>Customers</t>
  </si>
  <si>
    <t>per Customer</t>
  </si>
  <si>
    <t>(b1)</t>
  </si>
  <si>
    <t>(b2)</t>
  </si>
  <si>
    <t>(a)</t>
  </si>
  <si>
    <t>(c)</t>
  </si>
  <si>
    <t>(d)</t>
  </si>
  <si>
    <t>Commodity Gain/Loss Calculation</t>
  </si>
  <si>
    <t>Actual Commodity Revenues</t>
  </si>
  <si>
    <t>Monthly Base Credit per customer</t>
  </si>
  <si>
    <t xml:space="preserve">   Base Credits Billed</t>
  </si>
  <si>
    <t xml:space="preserve">      Total Base Credits Billed</t>
  </si>
  <si>
    <t>Excess Commodity Credits</t>
  </si>
  <si>
    <t>2007 True-up Computation</t>
  </si>
  <si>
    <t>Total Annual Customers</t>
  </si>
  <si>
    <t>Alum</t>
  </si>
  <si>
    <t>Glass</t>
  </si>
  <si>
    <t>ONP</t>
  </si>
  <si>
    <t>MWP</t>
  </si>
  <si>
    <t>Pet</t>
  </si>
  <si>
    <t>HDPE</t>
  </si>
  <si>
    <t>OCC</t>
  </si>
  <si>
    <t>Other</t>
  </si>
  <si>
    <t>Total</t>
  </si>
  <si>
    <t xml:space="preserve">Total </t>
  </si>
  <si>
    <t>Lynnwood Disposal</t>
  </si>
  <si>
    <t>TG-06______</t>
  </si>
  <si>
    <t>For the Year Ended August 31, 2006</t>
  </si>
  <si>
    <t>July-Aug 07</t>
  </si>
  <si>
    <t>Sept 05 - June 06</t>
  </si>
  <si>
    <t>Customers from 7/05 - 8/05</t>
  </si>
  <si>
    <t>Customers from 9/05 - 6/06</t>
  </si>
  <si>
    <t>Sept 1, 2006 Recycle Adjustment Calculation</t>
  </si>
  <si>
    <t>2006 Monthly True-up Charge</t>
  </si>
  <si>
    <t>12 month running average "BASE CREDIT" adjusted for 2 mos of 2005</t>
  </si>
  <si>
    <t>2007-2008 Projected Credit</t>
  </si>
  <si>
    <t>2007 Adjusted Credit</t>
  </si>
  <si>
    <t>Commodity Value Timeframe:  October - September</t>
  </si>
  <si>
    <t>Total Tons</t>
  </si>
  <si>
    <t>Sorted Glass Percentage</t>
  </si>
  <si>
    <t>Sorted Glass</t>
  </si>
  <si>
    <t>Sampled Tons</t>
  </si>
  <si>
    <t>Sampling Percentages</t>
  </si>
  <si>
    <t>Magazines</t>
  </si>
  <si>
    <t>Tin</t>
  </si>
  <si>
    <t>Plastic</t>
  </si>
  <si>
    <t>Aluminum</t>
  </si>
  <si>
    <t>Ferris Metal</t>
  </si>
  <si>
    <t>Trash</t>
  </si>
  <si>
    <t>Mixed Paper</t>
  </si>
  <si>
    <t>Sampled Tonnage</t>
  </si>
  <si>
    <t>Recovery Percentages</t>
  </si>
  <si>
    <t>Recovered Tonnages</t>
  </si>
  <si>
    <t xml:space="preserve">Product Sales Rates </t>
  </si>
  <si>
    <t>Product Value</t>
  </si>
  <si>
    <t>Total Value</t>
  </si>
  <si>
    <t>Value per Ton</t>
  </si>
  <si>
    <t>C</t>
  </si>
  <si>
    <t>D</t>
  </si>
  <si>
    <t>E</t>
  </si>
  <si>
    <t>F</t>
  </si>
  <si>
    <t>G</t>
  </si>
  <si>
    <t>H</t>
  </si>
  <si>
    <t>I</t>
  </si>
  <si>
    <t>J</t>
  </si>
  <si>
    <t>K</t>
  </si>
  <si>
    <t>L</t>
  </si>
  <si>
    <t>M</t>
  </si>
  <si>
    <t>N</t>
  </si>
  <si>
    <t>East Side</t>
  </si>
  <si>
    <t>TG-12______</t>
  </si>
  <si>
    <t>For use in Budget Calculation</t>
  </si>
  <si>
    <t>Total Trailing 12 Mo. Commodity Value / Customer</t>
  </si>
  <si>
    <t>Most recent Total # of Customers</t>
  </si>
  <si>
    <t>Budget total Revenue</t>
  </si>
  <si>
    <t>Budget Revenue Passed Back</t>
  </si>
  <si>
    <t>Current Plan Part A Total</t>
  </si>
  <si>
    <t>% of Revenue Passed Back</t>
  </si>
  <si>
    <t>% Passed Back</t>
  </si>
  <si>
    <t xml:space="preserve"> True-up Computation</t>
  </si>
  <si>
    <t xml:space="preserve"> Projected Debit</t>
  </si>
  <si>
    <t>Material Shrinkage</t>
  </si>
  <si>
    <t>Shrinkage</t>
  </si>
  <si>
    <t>Metal</t>
  </si>
  <si>
    <t>Prior six months</t>
  </si>
  <si>
    <t>Customers from 11/18 - 01/19</t>
  </si>
  <si>
    <t>Excess Commodity Value</t>
  </si>
  <si>
    <t>Underspent RSA per King County report</t>
  </si>
  <si>
    <t>Allocation to Divisions:</t>
  </si>
  <si>
    <t>SF portion</t>
  </si>
  <si>
    <t>MF portion</t>
  </si>
  <si>
    <t>Bellevue</t>
  </si>
  <si>
    <t>Kent</t>
  </si>
  <si>
    <t>SeaTac</t>
  </si>
  <si>
    <t>RSA Rev breakdown:</t>
  </si>
  <si>
    <t>SF $</t>
  </si>
  <si>
    <t>MF $</t>
  </si>
  <si>
    <t>SF %</t>
  </si>
  <si>
    <t>MF %</t>
  </si>
  <si>
    <t>Credit per customer</t>
  </si>
  <si>
    <t>Seatac SF RSA Unspent</t>
  </si>
  <si>
    <t>Rabanco Ltd (dba Allied Waste of Seatac)</t>
  </si>
  <si>
    <t>Commodity Value versus Credits</t>
  </si>
  <si>
    <t>2019/2020 Monthly True-up Amount</t>
  </si>
  <si>
    <t>8/1/20 - 7/31/21 Adjusted Credit</t>
  </si>
  <si>
    <t>Unspent RSA dollars</t>
  </si>
  <si>
    <t>Total Passback at end of 2 year plan year 2021</t>
  </si>
  <si>
    <t>use for 6 month calculation</t>
  </si>
  <si>
    <t xml:space="preserve">12 month running average "BASE CREDIT"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</si>
</sst>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0_);_(* \(#,##0.00\);_(* &quot;-&quot;_);_(@_)"/>
    <numFmt numFmtId="168" formatCode="_(* #,##0.000_);_(* \(#,##0.000\);_(* &quot;-&quot;_);_(@_)"/>
    <numFmt numFmtId="169" formatCode="mmmm"/>
    <numFmt numFmtId="170" formatCode="#,##0.000"/>
    <numFmt numFmtId="171" formatCode="#,##0.0000"/>
    <numFmt numFmtId="172" formatCode="mmmm\-yy"/>
    <numFmt numFmtId="173" formatCode="&quot;$&quot;#,##0.00"/>
  </numFmts>
  <fonts count="23" x14ac:knownFonts="1">
    <font>
      <sz val="10"/>
      <name val="Arial"/>
    </font>
    <font>
      <sz val="10"/>
      <name val="Arial"/>
      <family val="2"/>
    </font>
    <font>
      <sz val="10"/>
      <name val="MS Sans Serif"/>
      <family val="2"/>
    </font>
    <font>
      <b/>
      <sz val="10"/>
      <name val="Arial"/>
      <family val="2"/>
    </font>
    <font>
      <sz val="8"/>
      <name val="Arial"/>
      <family val="2"/>
    </font>
    <font>
      <sz val="8"/>
      <name val="Helv"/>
    </font>
    <font>
      <b/>
      <sz val="8"/>
      <name val="Arial"/>
      <family val="2"/>
    </font>
    <font>
      <u/>
      <sz val="8"/>
      <name val="Arial"/>
      <family val="2"/>
    </font>
    <font>
      <b/>
      <u/>
      <sz val="8"/>
      <name val="Arial"/>
      <family val="2"/>
    </font>
    <font>
      <sz val="8"/>
      <color indexed="12"/>
      <name val="Arial"/>
      <family val="2"/>
    </font>
    <font>
      <i/>
      <sz val="8"/>
      <name val="Arial"/>
      <family val="2"/>
    </font>
    <font>
      <b/>
      <i/>
      <sz val="14"/>
      <name val="Arial"/>
      <family val="2"/>
    </font>
    <font>
      <b/>
      <sz val="8"/>
      <color indexed="81"/>
      <name val="Tahoma"/>
      <family val="2"/>
    </font>
    <font>
      <sz val="8"/>
      <color indexed="81"/>
      <name val="Tahoma"/>
      <family val="2"/>
    </font>
    <font>
      <b/>
      <sz val="8"/>
      <name val="Arial"/>
      <family val="2"/>
    </font>
    <font>
      <b/>
      <i/>
      <sz val="8"/>
      <name val="Arial"/>
      <family val="2"/>
    </font>
    <font>
      <i/>
      <sz val="8"/>
      <color indexed="12"/>
      <name val="Arial"/>
      <family val="2"/>
    </font>
    <font>
      <sz val="9"/>
      <color indexed="81"/>
      <name val="Tahoma"/>
      <family val="2"/>
    </font>
    <font>
      <b/>
      <sz val="9"/>
      <color indexed="81"/>
      <name val="Tahoma"/>
      <family val="2"/>
    </font>
    <font>
      <sz val="10"/>
      <color indexed="10"/>
      <name val="Arial"/>
      <family val="2"/>
    </font>
    <font>
      <sz val="11"/>
      <color theme="1"/>
      <name val="Calibri"/>
      <family val="2"/>
      <scheme val="minor"/>
    </font>
    <font>
      <sz val="8"/>
      <color rgb="FFFF0000"/>
      <name val="Arial"/>
      <family val="2"/>
    </font>
    <font>
      <sz val="10"/>
      <color rgb="FF0000FF"/>
      <name val="Arial"/>
      <family val="2"/>
    </font>
  </fonts>
  <fills count="10">
    <fill>
      <patternFill patternType="none"/>
    </fill>
    <fill>
      <patternFill patternType="gray125"/>
    </fill>
    <fill>
      <patternFill patternType="solid">
        <fgColor indexed="43"/>
        <bgColor indexed="43"/>
      </patternFill>
    </fill>
    <fill>
      <patternFill patternType="solid">
        <fgColor indexed="43"/>
        <bgColor indexed="64"/>
      </patternFill>
    </fill>
    <fill>
      <patternFill patternType="solid">
        <fgColor rgb="FFFFFFCC"/>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99"/>
        <bgColor indexed="64"/>
      </patternFill>
    </fill>
    <fill>
      <patternFill patternType="solid">
        <fgColor rgb="FFFFFFCC"/>
        <bgColor indexed="64"/>
      </patternFill>
    </fill>
  </fills>
  <borders count="18">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0" fontId="20" fillId="0" borderId="0"/>
    <xf numFmtId="0" fontId="2" fillId="0" borderId="0"/>
    <xf numFmtId="0" fontId="1" fillId="4" borderId="11" applyNumberFormat="0" applyFont="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185">
    <xf numFmtId="0" fontId="0" fillId="0" borderId="0" xfId="0"/>
    <xf numFmtId="0" fontId="3" fillId="0" borderId="0" xfId="5" applyFont="1"/>
    <xf numFmtId="0" fontId="4" fillId="0" borderId="0" xfId="5" applyFont="1"/>
    <xf numFmtId="0" fontId="4" fillId="0" borderId="0" xfId="5" applyFont="1" applyAlignment="1">
      <alignment horizontal="center"/>
    </xf>
    <xf numFmtId="0" fontId="5" fillId="0" borderId="0" xfId="5" applyFont="1" applyAlignment="1">
      <alignment horizontal="center"/>
    </xf>
    <xf numFmtId="0" fontId="2" fillId="0" borderId="0" xfId="5"/>
    <xf numFmtId="0" fontId="6" fillId="0" borderId="0" xfId="5" applyFont="1"/>
    <xf numFmtId="14" fontId="4" fillId="0" borderId="0" xfId="5" applyNumberFormat="1" applyFont="1" applyAlignment="1">
      <alignment horizontal="center"/>
    </xf>
    <xf numFmtId="0" fontId="7" fillId="0" borderId="0" xfId="5" applyFont="1"/>
    <xf numFmtId="0" fontId="8" fillId="0" borderId="0" xfId="5" applyFont="1"/>
    <xf numFmtId="0" fontId="8" fillId="0" borderId="0" xfId="5" applyFont="1" applyAlignment="1">
      <alignment horizontal="center"/>
    </xf>
    <xf numFmtId="0" fontId="6" fillId="0" borderId="0" xfId="5" applyFont="1" applyAlignment="1">
      <alignment horizontal="center"/>
    </xf>
    <xf numFmtId="167" fontId="6" fillId="0" borderId="0" xfId="5" applyNumberFormat="1" applyFont="1" applyAlignment="1">
      <alignment horizontal="center"/>
    </xf>
    <xf numFmtId="1" fontId="4" fillId="0" borderId="0" xfId="5" applyNumberFormat="1" applyFont="1"/>
    <xf numFmtId="41" fontId="4" fillId="0" borderId="0" xfId="5" applyNumberFormat="1" applyFont="1"/>
    <xf numFmtId="167" fontId="6" fillId="0" borderId="0" xfId="5" applyNumberFormat="1" applyFont="1"/>
    <xf numFmtId="167" fontId="4" fillId="0" borderId="0" xfId="5" applyNumberFormat="1" applyFont="1"/>
    <xf numFmtId="169" fontId="4" fillId="0" borderId="0" xfId="5" applyNumberFormat="1" applyFont="1" applyAlignment="1">
      <alignment horizontal="right"/>
    </xf>
    <xf numFmtId="167" fontId="4" fillId="0" borderId="0" xfId="5" applyNumberFormat="1" applyFont="1" applyFill="1" applyAlignment="1">
      <alignment horizontal="center"/>
    </xf>
    <xf numFmtId="41" fontId="9" fillId="0" borderId="0" xfId="5" applyNumberFormat="1" applyFont="1"/>
    <xf numFmtId="41" fontId="10" fillId="0" borderId="0" xfId="5" applyNumberFormat="1" applyFont="1" applyAlignment="1">
      <alignment horizontal="left"/>
    </xf>
    <xf numFmtId="41" fontId="4" fillId="0" borderId="1" xfId="5" applyNumberFormat="1" applyFont="1" applyBorder="1"/>
    <xf numFmtId="167" fontId="4" fillId="0" borderId="1" xfId="5" applyNumberFormat="1" applyFont="1" applyBorder="1"/>
    <xf numFmtId="168" fontId="4" fillId="0" borderId="0" xfId="5" applyNumberFormat="1" applyFont="1"/>
    <xf numFmtId="17" fontId="4" fillId="0" borderId="0" xfId="5" applyNumberFormat="1" applyFont="1" applyAlignment="1">
      <alignment horizontal="right"/>
    </xf>
    <xf numFmtId="167" fontId="2" fillId="0" borderId="0" xfId="5" applyNumberFormat="1"/>
    <xf numFmtId="169" fontId="4" fillId="0" borderId="0" xfId="5" applyNumberFormat="1" applyFont="1"/>
    <xf numFmtId="41" fontId="4" fillId="0" borderId="2" xfId="5" applyNumberFormat="1" applyFont="1" applyBorder="1"/>
    <xf numFmtId="167" fontId="4" fillId="0" borderId="2" xfId="5" applyNumberFormat="1" applyFont="1" applyBorder="1"/>
    <xf numFmtId="41" fontId="6" fillId="0" borderId="3" xfId="5" applyNumberFormat="1" applyFont="1" applyBorder="1"/>
    <xf numFmtId="41" fontId="4" fillId="0" borderId="3" xfId="5" applyNumberFormat="1" applyFont="1" applyBorder="1"/>
    <xf numFmtId="41" fontId="7" fillId="0" borderId="0" xfId="5" applyNumberFormat="1" applyFont="1"/>
    <xf numFmtId="41" fontId="4" fillId="0" borderId="0" xfId="5" applyNumberFormat="1" applyFont="1" applyAlignment="1">
      <alignment horizontal="right"/>
    </xf>
    <xf numFmtId="1" fontId="7" fillId="0" borderId="0" xfId="5" applyNumberFormat="1" applyFont="1"/>
    <xf numFmtId="168" fontId="9" fillId="0" borderId="0" xfId="5" applyNumberFormat="1" applyFont="1"/>
    <xf numFmtId="41" fontId="4" fillId="0" borderId="0" xfId="5" applyNumberFormat="1" applyFont="1" applyBorder="1"/>
    <xf numFmtId="41" fontId="4" fillId="0" borderId="4" xfId="5" applyNumberFormat="1" applyFont="1" applyBorder="1"/>
    <xf numFmtId="41" fontId="4" fillId="0" borderId="5" xfId="5" applyNumberFormat="1" applyFont="1" applyBorder="1"/>
    <xf numFmtId="41" fontId="4" fillId="0" borderId="6" xfId="5" applyNumberFormat="1" applyFont="1" applyBorder="1"/>
    <xf numFmtId="168" fontId="4" fillId="0" borderId="2" xfId="5" applyNumberFormat="1" applyFont="1" applyBorder="1"/>
    <xf numFmtId="168" fontId="4" fillId="0" borderId="6" xfId="5" applyNumberFormat="1" applyFont="1" applyBorder="1"/>
    <xf numFmtId="167" fontId="4" fillId="0" borderId="0" xfId="5" applyNumberFormat="1" applyFont="1" applyFill="1" applyBorder="1"/>
    <xf numFmtId="167" fontId="11" fillId="0" borderId="0" xfId="5" applyNumberFormat="1" applyFont="1" applyFill="1" applyBorder="1" applyAlignment="1">
      <alignment horizontal="centerContinuous"/>
    </xf>
    <xf numFmtId="167" fontId="4" fillId="0" borderId="0" xfId="5" applyNumberFormat="1" applyFont="1" applyFill="1" applyBorder="1" applyAlignment="1">
      <alignment horizontal="centerContinuous"/>
    </xf>
    <xf numFmtId="167" fontId="4" fillId="0" borderId="0" xfId="5" applyNumberFormat="1" applyFont="1" applyAlignment="1">
      <alignment horizontal="centerContinuous"/>
    </xf>
    <xf numFmtId="169" fontId="4" fillId="0" borderId="0" xfId="5" applyNumberFormat="1" applyFont="1" applyFill="1" applyBorder="1" applyAlignment="1">
      <alignment horizontal="right"/>
    </xf>
    <xf numFmtId="41" fontId="9" fillId="0" borderId="0" xfId="5" applyNumberFormat="1" applyFont="1" applyFill="1" applyBorder="1" applyAlignment="1">
      <alignment horizontal="center"/>
    </xf>
    <xf numFmtId="167" fontId="4" fillId="0" borderId="0" xfId="5" applyNumberFormat="1" applyFont="1" applyFill="1" applyBorder="1" applyAlignment="1">
      <alignment horizontal="center"/>
    </xf>
    <xf numFmtId="41" fontId="10" fillId="0" borderId="0" xfId="5" applyNumberFormat="1" applyFont="1" applyFill="1" applyBorder="1" applyAlignment="1">
      <alignment horizontal="left"/>
    </xf>
    <xf numFmtId="41" fontId="4" fillId="0" borderId="0" xfId="5" applyNumberFormat="1" applyFont="1" applyFill="1" applyBorder="1"/>
    <xf numFmtId="41" fontId="9" fillId="0" borderId="0" xfId="5" applyNumberFormat="1" applyFont="1" applyFill="1" applyBorder="1"/>
    <xf numFmtId="1" fontId="4" fillId="0" borderId="0" xfId="5" applyNumberFormat="1" applyFont="1" applyFill="1" applyBorder="1"/>
    <xf numFmtId="0" fontId="2" fillId="0" borderId="0" xfId="5" applyFill="1" applyBorder="1"/>
    <xf numFmtId="167" fontId="2" fillId="0" borderId="0" xfId="5" applyNumberFormat="1" applyFill="1" applyBorder="1"/>
    <xf numFmtId="169" fontId="4" fillId="0" borderId="0" xfId="5" applyNumberFormat="1" applyFont="1" applyFill="1" applyBorder="1"/>
    <xf numFmtId="168" fontId="4" fillId="0" borderId="0" xfId="5" applyNumberFormat="1" applyFont="1" applyFill="1" applyBorder="1"/>
    <xf numFmtId="167" fontId="4" fillId="0" borderId="4" xfId="5" applyNumberFormat="1" applyFont="1" applyBorder="1"/>
    <xf numFmtId="167" fontId="4" fillId="0" borderId="6" xfId="5" applyNumberFormat="1" applyFont="1" applyBorder="1"/>
    <xf numFmtId="2" fontId="2" fillId="0" borderId="0" xfId="5" applyNumberFormat="1"/>
    <xf numFmtId="0" fontId="3" fillId="0" borderId="0" xfId="0" applyFont="1" applyBorder="1"/>
    <xf numFmtId="0" fontId="0" fillId="0" borderId="0" xfId="0" applyBorder="1"/>
    <xf numFmtId="0" fontId="3" fillId="0" borderId="0" xfId="0" applyFont="1" applyFill="1" applyBorder="1"/>
    <xf numFmtId="17" fontId="0" fillId="0" borderId="0" xfId="0" applyNumberFormat="1" applyBorder="1"/>
    <xf numFmtId="17" fontId="3" fillId="0" borderId="0" xfId="0" applyNumberFormat="1" applyFont="1" applyAlignment="1">
      <alignment horizontal="center"/>
    </xf>
    <xf numFmtId="170" fontId="0" fillId="0" borderId="0" xfId="0" applyNumberFormat="1"/>
    <xf numFmtId="17" fontId="4" fillId="0" borderId="0" xfId="0" applyNumberFormat="1" applyFont="1"/>
    <xf numFmtId="0" fontId="4" fillId="0" borderId="0" xfId="0" applyFont="1"/>
    <xf numFmtId="2" fontId="4" fillId="0" borderId="0" xfId="0" applyNumberFormat="1" applyFont="1"/>
    <xf numFmtId="2" fontId="0" fillId="0" borderId="0" xfId="0" applyNumberFormat="1"/>
    <xf numFmtId="0" fontId="4" fillId="0" borderId="0" xfId="0" applyFont="1" applyAlignment="1">
      <alignment horizontal="center"/>
    </xf>
    <xf numFmtId="17" fontId="0" fillId="0" borderId="0" xfId="0" applyNumberFormat="1"/>
    <xf numFmtId="4" fontId="4" fillId="0" borderId="0" xfId="0" applyNumberFormat="1" applyFont="1"/>
    <xf numFmtId="4" fontId="0" fillId="0" borderId="0" xfId="0" applyNumberFormat="1"/>
    <xf numFmtId="4" fontId="3" fillId="0" borderId="0" xfId="0" applyNumberFormat="1" applyFont="1" applyAlignment="1">
      <alignment horizontal="center"/>
    </xf>
    <xf numFmtId="40" fontId="4" fillId="0" borderId="0" xfId="0" applyNumberFormat="1" applyFont="1"/>
    <xf numFmtId="43" fontId="4" fillId="0" borderId="0" xfId="1" applyFont="1"/>
    <xf numFmtId="172" fontId="4" fillId="0" borderId="0" xfId="5" applyNumberFormat="1" applyFont="1" applyAlignment="1">
      <alignment horizontal="right"/>
    </xf>
    <xf numFmtId="169" fontId="4" fillId="0" borderId="0" xfId="5" applyNumberFormat="1" applyFont="1" applyAlignment="1">
      <alignment horizontal="right" wrapText="1"/>
    </xf>
    <xf numFmtId="17" fontId="4" fillId="0" borderId="0" xfId="5" applyNumberFormat="1" applyFont="1" applyFill="1" applyBorder="1" applyAlignment="1">
      <alignment horizontal="right"/>
    </xf>
    <xf numFmtId="169" fontId="4" fillId="0" borderId="0" xfId="5" applyNumberFormat="1" applyFont="1" applyFill="1" applyBorder="1" applyAlignment="1">
      <alignment horizontal="right" wrapText="1"/>
    </xf>
    <xf numFmtId="164" fontId="0" fillId="0" borderId="0" xfId="1" applyNumberFormat="1" applyFont="1"/>
    <xf numFmtId="171" fontId="0" fillId="0" borderId="0" xfId="0" applyNumberFormat="1"/>
    <xf numFmtId="166" fontId="0" fillId="0" borderId="0" xfId="7" applyNumberFormat="1" applyFont="1"/>
    <xf numFmtId="0" fontId="14" fillId="0" borderId="0" xfId="0" applyFont="1"/>
    <xf numFmtId="0" fontId="4" fillId="0" borderId="0" xfId="0" applyFont="1" applyFill="1" applyBorder="1" applyAlignment="1">
      <alignment horizontal="center"/>
    </xf>
    <xf numFmtId="0" fontId="14" fillId="0" borderId="0" xfId="0" applyFont="1" applyAlignment="1">
      <alignment horizontal="center"/>
    </xf>
    <xf numFmtId="0" fontId="14" fillId="0" borderId="0" xfId="0" applyFont="1" applyAlignment="1">
      <alignment horizontal="centerContinuous"/>
    </xf>
    <xf numFmtId="17" fontId="4" fillId="0" borderId="0" xfId="0" applyNumberFormat="1" applyFont="1" applyFill="1" applyBorder="1" applyAlignment="1">
      <alignment horizontal="center"/>
    </xf>
    <xf numFmtId="2" fontId="14" fillId="0" borderId="0" xfId="0" applyNumberFormat="1" applyFont="1"/>
    <xf numFmtId="9" fontId="4" fillId="0" borderId="0" xfId="7" applyFont="1" applyFill="1"/>
    <xf numFmtId="43" fontId="4" fillId="0" borderId="5" xfId="1" applyFont="1" applyBorder="1"/>
    <xf numFmtId="43" fontId="4" fillId="0" borderId="0" xfId="0" applyNumberFormat="1" applyFont="1"/>
    <xf numFmtId="0" fontId="4" fillId="0" borderId="0" xfId="0" applyFont="1" applyFill="1"/>
    <xf numFmtId="10" fontId="4" fillId="0" borderId="0" xfId="7" applyNumberFormat="1" applyFont="1"/>
    <xf numFmtId="10" fontId="14" fillId="2" borderId="0" xfId="7" applyNumberFormat="1" applyFont="1" applyFill="1"/>
    <xf numFmtId="9" fontId="4" fillId="0" borderId="0" xfId="7" applyFont="1"/>
    <xf numFmtId="43" fontId="4" fillId="0" borderId="0" xfId="1" applyNumberFormat="1" applyFont="1"/>
    <xf numFmtId="0" fontId="14" fillId="0" borderId="0" xfId="0" quotePrefix="1" applyFont="1" applyAlignment="1">
      <alignment horizontal="left"/>
    </xf>
    <xf numFmtId="44" fontId="4" fillId="0" borderId="0" xfId="3" applyFont="1"/>
    <xf numFmtId="44" fontId="4" fillId="0" borderId="5" xfId="3" applyFont="1" applyBorder="1"/>
    <xf numFmtId="44" fontId="14" fillId="0" borderId="0" xfId="3" applyFont="1" applyBorder="1"/>
    <xf numFmtId="43" fontId="14" fillId="0" borderId="0" xfId="1" applyFont="1" applyBorder="1"/>
    <xf numFmtId="44" fontId="4" fillId="0" borderId="0" xfId="3" applyFont="1" applyBorder="1"/>
    <xf numFmtId="0" fontId="4" fillId="0" borderId="0" xfId="0" applyFont="1" applyBorder="1"/>
    <xf numFmtId="44" fontId="14" fillId="0" borderId="0" xfId="0" applyNumberFormat="1" applyFont="1" applyBorder="1"/>
    <xf numFmtId="44" fontId="4" fillId="0" borderId="0" xfId="3" applyNumberFormat="1" applyFont="1" applyBorder="1"/>
    <xf numFmtId="4" fontId="4" fillId="0" borderId="0" xfId="0" quotePrefix="1" applyNumberFormat="1" applyFont="1"/>
    <xf numFmtId="40" fontId="4" fillId="0" borderId="0" xfId="0" quotePrefix="1" applyNumberFormat="1" applyFont="1"/>
    <xf numFmtId="43" fontId="4" fillId="0" borderId="0" xfId="1" quotePrefix="1" applyFont="1"/>
    <xf numFmtId="43" fontId="4" fillId="0" borderId="0" xfId="1" quotePrefix="1" applyNumberFormat="1" applyFont="1"/>
    <xf numFmtId="43" fontId="14" fillId="0" borderId="4" xfId="1" applyFont="1" applyBorder="1"/>
    <xf numFmtId="44" fontId="4" fillId="0" borderId="0" xfId="0" applyNumberFormat="1" applyFont="1"/>
    <xf numFmtId="167" fontId="4" fillId="0" borderId="0" xfId="5" applyNumberFormat="1" applyFont="1" applyBorder="1"/>
    <xf numFmtId="167" fontId="4" fillId="0" borderId="0" xfId="5" applyNumberFormat="1" applyFont="1" applyAlignment="1">
      <alignment horizontal="center"/>
    </xf>
    <xf numFmtId="167" fontId="9" fillId="0" borderId="0" xfId="5" applyNumberFormat="1" applyFont="1" applyFill="1" applyAlignment="1">
      <alignment horizontal="center"/>
    </xf>
    <xf numFmtId="169" fontId="4" fillId="0" borderId="0" xfId="5" applyNumberFormat="1" applyFont="1" applyBorder="1" applyAlignment="1">
      <alignment horizontal="right"/>
    </xf>
    <xf numFmtId="41" fontId="9" fillId="0" borderId="0" xfId="5" applyNumberFormat="1" applyFont="1" applyBorder="1"/>
    <xf numFmtId="41" fontId="10" fillId="0" borderId="0" xfId="5" applyNumberFormat="1" applyFont="1" applyBorder="1" applyAlignment="1">
      <alignment horizontal="left"/>
    </xf>
    <xf numFmtId="1" fontId="4" fillId="0" borderId="0" xfId="5" applyNumberFormat="1" applyFont="1" applyBorder="1"/>
    <xf numFmtId="0" fontId="2" fillId="0" borderId="0" xfId="5" applyBorder="1"/>
    <xf numFmtId="167" fontId="2" fillId="0" borderId="0" xfId="5" applyNumberFormat="1" applyBorder="1"/>
    <xf numFmtId="169" fontId="4" fillId="0" borderId="0" xfId="5" applyNumberFormat="1" applyFont="1" applyBorder="1"/>
    <xf numFmtId="168" fontId="4" fillId="0" borderId="0" xfId="5" applyNumberFormat="1" applyFont="1" applyBorder="1"/>
    <xf numFmtId="10" fontId="4" fillId="3" borderId="0" xfId="0" applyNumberFormat="1" applyFont="1" applyFill="1"/>
    <xf numFmtId="10" fontId="4" fillId="3" borderId="0" xfId="7" applyNumberFormat="1" applyFont="1" applyFill="1"/>
    <xf numFmtId="17" fontId="4" fillId="3" borderId="0" xfId="0" applyNumberFormat="1" applyFont="1" applyFill="1" applyBorder="1" applyAlignment="1">
      <alignment horizontal="center"/>
    </xf>
    <xf numFmtId="2" fontId="14" fillId="3" borderId="0" xfId="0" applyNumberFormat="1" applyFont="1" applyFill="1" applyBorder="1"/>
    <xf numFmtId="169" fontId="4" fillId="0" borderId="0" xfId="5" applyNumberFormat="1" applyFont="1" applyFill="1" applyAlignment="1">
      <alignment horizontal="right"/>
    </xf>
    <xf numFmtId="17" fontId="4" fillId="0" borderId="0" xfId="0" applyNumberFormat="1" applyFont="1" applyFill="1"/>
    <xf numFmtId="40" fontId="14" fillId="0" borderId="0" xfId="0" applyNumberFormat="1" applyFont="1"/>
    <xf numFmtId="9" fontId="1" fillId="0" borderId="0" xfId="7"/>
    <xf numFmtId="4" fontId="4" fillId="0" borderId="1" xfId="0" applyNumberFormat="1" applyFont="1" applyBorder="1"/>
    <xf numFmtId="40" fontId="4" fillId="0" borderId="1" xfId="0" applyNumberFormat="1" applyFont="1" applyBorder="1"/>
    <xf numFmtId="4" fontId="14" fillId="0" borderId="1" xfId="0" applyNumberFormat="1" applyFont="1" applyBorder="1"/>
    <xf numFmtId="43" fontId="14" fillId="0" borderId="0" xfId="1" applyFont="1"/>
    <xf numFmtId="43" fontId="4" fillId="0" borderId="1" xfId="1" applyFont="1" applyBorder="1"/>
    <xf numFmtId="43" fontId="14" fillId="0" borderId="1" xfId="1" applyFont="1" applyBorder="1"/>
    <xf numFmtId="165" fontId="3" fillId="0" borderId="0" xfId="7" applyNumberFormat="1" applyFont="1"/>
    <xf numFmtId="0" fontId="15" fillId="0" borderId="8" xfId="5" applyFont="1" applyBorder="1" applyAlignment="1">
      <alignment horizontal="center"/>
    </xf>
    <xf numFmtId="0" fontId="4" fillId="0" borderId="0" xfId="5" applyFont="1" applyBorder="1"/>
    <xf numFmtId="167" fontId="15" fillId="0" borderId="9" xfId="5" applyNumberFormat="1" applyFont="1" applyBorder="1" applyAlignment="1">
      <alignment horizontal="center"/>
    </xf>
    <xf numFmtId="167" fontId="16" fillId="0" borderId="9" xfId="5" applyNumberFormat="1" applyFont="1" applyFill="1" applyBorder="1" applyAlignment="1">
      <alignment horizontal="center"/>
    </xf>
    <xf numFmtId="41" fontId="10" fillId="0" borderId="9" xfId="5" applyNumberFormat="1" applyFont="1" applyBorder="1"/>
    <xf numFmtId="167" fontId="6" fillId="0" borderId="0" xfId="5" applyNumberFormat="1" applyFont="1" applyBorder="1"/>
    <xf numFmtId="168" fontId="6" fillId="0" borderId="9" xfId="5" applyNumberFormat="1" applyFont="1" applyBorder="1"/>
    <xf numFmtId="41" fontId="4" fillId="0" borderId="10" xfId="5" applyNumberFormat="1" applyFont="1" applyBorder="1"/>
    <xf numFmtId="165" fontId="4" fillId="0" borderId="0" xfId="7" applyNumberFormat="1" applyFont="1"/>
    <xf numFmtId="0" fontId="20" fillId="0" borderId="0" xfId="4"/>
    <xf numFmtId="43" fontId="20" fillId="0" borderId="0" xfId="2" applyNumberFormat="1" applyFont="1"/>
    <xf numFmtId="7" fontId="19" fillId="0" borderId="0" xfId="0" applyNumberFormat="1" applyFont="1" applyFill="1" applyBorder="1"/>
    <xf numFmtId="7" fontId="1" fillId="0" borderId="0" xfId="3" applyNumberFormat="1" applyBorder="1"/>
    <xf numFmtId="0" fontId="20" fillId="0" borderId="0" xfId="4" applyBorder="1"/>
    <xf numFmtId="43" fontId="4" fillId="0" borderId="5" xfId="1" applyNumberFormat="1" applyFont="1" applyBorder="1"/>
    <xf numFmtId="4" fontId="4" fillId="0" borderId="0" xfId="6" applyNumberFormat="1" applyFont="1" applyFill="1" applyBorder="1"/>
    <xf numFmtId="43" fontId="0" fillId="0" borderId="0" xfId="1" applyFont="1"/>
    <xf numFmtId="168" fontId="9" fillId="6" borderId="0" xfId="5" applyNumberFormat="1" applyFont="1" applyFill="1"/>
    <xf numFmtId="41" fontId="9" fillId="5" borderId="0" xfId="5" applyNumberFormat="1" applyFont="1" applyFill="1" applyAlignment="1">
      <alignment horizontal="center"/>
    </xf>
    <xf numFmtId="41" fontId="9" fillId="5" borderId="0" xfId="5" applyNumberFormat="1" applyFont="1" applyFill="1"/>
    <xf numFmtId="167" fontId="4" fillId="7" borderId="0" xfId="5" applyNumberFormat="1" applyFont="1" applyFill="1"/>
    <xf numFmtId="9" fontId="4" fillId="7" borderId="7" xfId="7" applyFont="1" applyFill="1" applyBorder="1"/>
    <xf numFmtId="165" fontId="22" fillId="8" borderId="12" xfId="7" applyNumberFormat="1" applyFont="1" applyFill="1" applyBorder="1"/>
    <xf numFmtId="39" fontId="4" fillId="5" borderId="2" xfId="5" applyNumberFormat="1" applyFont="1" applyFill="1" applyBorder="1"/>
    <xf numFmtId="37" fontId="4" fillId="0" borderId="0" xfId="5" applyNumberFormat="1" applyFont="1" applyFill="1" applyAlignment="1">
      <alignment horizontal="center"/>
    </xf>
    <xf numFmtId="168" fontId="4" fillId="0" borderId="6" xfId="5" applyNumberFormat="1" applyFont="1" applyFill="1" applyBorder="1"/>
    <xf numFmtId="0" fontId="3" fillId="0" borderId="13" xfId="0" applyFont="1" applyBorder="1"/>
    <xf numFmtId="0" fontId="3" fillId="0" borderId="14" xfId="0" applyFont="1" applyBorder="1"/>
    <xf numFmtId="173" fontId="3" fillId="0" borderId="15" xfId="0" applyNumberFormat="1" applyFont="1" applyBorder="1"/>
    <xf numFmtId="173" fontId="0" fillId="0" borderId="0" xfId="0" applyNumberFormat="1"/>
    <xf numFmtId="0" fontId="3" fillId="0" borderId="0" xfId="0" applyFont="1"/>
    <xf numFmtId="0" fontId="1" fillId="0" borderId="0" xfId="0" applyFont="1" applyBorder="1"/>
    <xf numFmtId="173" fontId="0" fillId="0" borderId="0" xfId="0" applyNumberFormat="1" applyBorder="1"/>
    <xf numFmtId="173" fontId="0" fillId="0" borderId="0" xfId="0" applyNumberFormat="1" applyFill="1" applyBorder="1"/>
    <xf numFmtId="0" fontId="1" fillId="0" borderId="16" xfId="0" applyFont="1" applyBorder="1"/>
    <xf numFmtId="0" fontId="0" fillId="0" borderId="1" xfId="0" applyBorder="1"/>
    <xf numFmtId="173" fontId="0" fillId="0" borderId="17" xfId="0" applyNumberFormat="1" applyBorder="1"/>
    <xf numFmtId="173" fontId="0" fillId="9" borderId="7" xfId="0" applyNumberFormat="1" applyFill="1" applyBorder="1"/>
    <xf numFmtId="173" fontId="0" fillId="0" borderId="7" xfId="0" applyNumberFormat="1" applyBorder="1"/>
    <xf numFmtId="0" fontId="1" fillId="0" borderId="0" xfId="0" applyFont="1"/>
    <xf numFmtId="10" fontId="0" fillId="0" borderId="0" xfId="0" applyNumberFormat="1"/>
    <xf numFmtId="41" fontId="0" fillId="0" borderId="0" xfId="0" applyNumberFormat="1"/>
    <xf numFmtId="44" fontId="4" fillId="3" borderId="7" xfId="3" applyFont="1" applyFill="1" applyBorder="1"/>
    <xf numFmtId="44" fontId="4" fillId="3" borderId="7" xfId="3" applyFont="1" applyFill="1" applyBorder="1" applyAlignment="1">
      <alignment horizontal="center"/>
    </xf>
    <xf numFmtId="44" fontId="21" fillId="3" borderId="7" xfId="3" applyFont="1" applyFill="1" applyBorder="1"/>
    <xf numFmtId="44" fontId="21" fillId="3" borderId="7" xfId="3" applyFont="1" applyFill="1" applyBorder="1" applyAlignment="1">
      <alignment horizontal="center"/>
    </xf>
    <xf numFmtId="167" fontId="4" fillId="0" borderId="0" xfId="5" applyNumberFormat="1" applyFont="1" applyAlignment="1">
      <alignment horizontal="right"/>
    </xf>
  </cellXfs>
  <cellStyles count="11">
    <cellStyle name="Comma" xfId="1" builtinId="3"/>
    <cellStyle name="Comma 2" xfId="2" xr:uid="{00000000-0005-0000-0000-000001000000}"/>
    <cellStyle name="Comma 27" xfId="10" xr:uid="{00000000-0005-0000-0000-000002000000}"/>
    <cellStyle name="Currency" xfId="3" builtinId="4"/>
    <cellStyle name="Currency 2" xfId="9" xr:uid="{00000000-0005-0000-0000-000004000000}"/>
    <cellStyle name="Normal" xfId="0" builtinId="0"/>
    <cellStyle name="Normal 2" xfId="4" xr:uid="{00000000-0005-0000-0000-000006000000}"/>
    <cellStyle name="Normal 3" xfId="8" xr:uid="{00000000-0005-0000-0000-000007000000}"/>
    <cellStyle name="Normal_98REC_CR" xfId="5" xr:uid="{00000000-0005-0000-0000-000008000000}"/>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istrict\Accounting\WUTC%20Files\RSA\2013-14%20Plan%20Year\WUTC%20Filing%20Working%20Documents\SeaTac%20Multi%20Family%20Commodity%20Credit%20Template%20-%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_MF"/>
      <sheetName val="Value"/>
      <sheetName val="Commodity Tonnages"/>
      <sheetName val="Pricing"/>
      <sheetName val="Multi_Family"/>
    </sheetNames>
    <sheetDataSet>
      <sheetData sheetId="0">
        <row r="56">
          <cell r="O56">
            <v>0.5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6"/>
  <sheetViews>
    <sheetView zoomScaleNormal="100" workbookViewId="0">
      <pane ySplit="4" topLeftCell="A5" activePane="bottomLeft" state="frozenSplit"/>
      <selection activeCell="G25" sqref="G25"/>
      <selection pane="bottomLeft" activeCell="K65" sqref="K65"/>
    </sheetView>
  </sheetViews>
  <sheetFormatPr defaultColWidth="9.109375" defaultRowHeight="12.6" x14ac:dyDescent="0.25"/>
  <cols>
    <col min="1" max="1" width="10" style="5" customWidth="1"/>
    <col min="2" max="2" width="10.109375" style="5" customWidth="1"/>
    <col min="3" max="3" width="4.44140625" style="5" customWidth="1"/>
    <col min="4" max="4" width="11.33203125" style="5" customWidth="1"/>
    <col min="5" max="5" width="5.5546875" style="5" customWidth="1"/>
    <col min="6" max="6" width="13" style="5" customWidth="1"/>
    <col min="7" max="7" width="8.6640625" style="5" customWidth="1"/>
    <col min="8" max="8" width="4.6640625" style="5" bestFit="1" customWidth="1"/>
    <col min="9" max="9" width="8.6640625" style="5" bestFit="1" customWidth="1"/>
    <col min="10" max="10" width="9.44140625" style="5" customWidth="1"/>
    <col min="11" max="11" width="4.6640625" style="5" bestFit="1" customWidth="1"/>
    <col min="12" max="22" width="9.5546875" style="5" customWidth="1"/>
    <col min="23" max="24" width="10.44140625" style="5" customWidth="1"/>
    <col min="25" max="25" width="9.88671875" style="5" customWidth="1"/>
    <col min="26" max="26" width="9.109375" style="5"/>
    <col min="27" max="27" width="10.44140625" style="5" customWidth="1"/>
    <col min="28" max="16384" width="9.109375" style="5"/>
  </cols>
  <sheetData>
    <row r="1" spans="1:27" ht="13.2" x14ac:dyDescent="0.25">
      <c r="A1" s="1" t="s">
        <v>31</v>
      </c>
      <c r="B1" s="2"/>
      <c r="C1" s="2"/>
      <c r="D1" s="2"/>
      <c r="E1" s="2"/>
      <c r="F1" s="2"/>
      <c r="G1" s="3"/>
      <c r="H1" s="2"/>
      <c r="I1" s="2"/>
      <c r="J1" s="1" t="s">
        <v>32</v>
      </c>
      <c r="K1" s="2"/>
      <c r="L1" s="2"/>
      <c r="M1" s="2"/>
      <c r="N1" s="2"/>
      <c r="O1" s="2"/>
      <c r="P1" s="2"/>
      <c r="Q1" s="2"/>
      <c r="R1" s="2"/>
      <c r="S1" s="2"/>
      <c r="T1" s="2"/>
      <c r="U1" s="2"/>
      <c r="V1" s="2"/>
      <c r="W1" s="4"/>
      <c r="X1" s="4"/>
      <c r="Y1" s="4"/>
      <c r="Z1" s="4"/>
      <c r="AA1" s="4"/>
    </row>
    <row r="2" spans="1:27" x14ac:dyDescent="0.25">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5">
      <c r="A3" s="6" t="s">
        <v>33</v>
      </c>
      <c r="B3" s="2"/>
      <c r="C3" s="2"/>
      <c r="D3" s="2"/>
      <c r="E3" s="2"/>
      <c r="F3" s="3"/>
      <c r="G3" s="3"/>
      <c r="H3" s="2"/>
      <c r="I3" s="2"/>
      <c r="J3" s="2"/>
      <c r="K3" s="2"/>
      <c r="L3" s="2"/>
      <c r="M3" s="2"/>
      <c r="N3" s="2"/>
      <c r="O3" s="2"/>
      <c r="P3" s="2"/>
      <c r="Q3" s="2"/>
      <c r="R3" s="2"/>
      <c r="S3" s="2"/>
      <c r="T3" s="2"/>
      <c r="U3" s="2"/>
      <c r="V3" s="2"/>
      <c r="W3" s="3"/>
      <c r="X3" s="3"/>
      <c r="Y3" s="3"/>
      <c r="Z3" s="3"/>
      <c r="AA3" s="3"/>
    </row>
    <row r="4" spans="1:27" x14ac:dyDescent="0.25">
      <c r="A4" s="6" t="s">
        <v>1</v>
      </c>
      <c r="B4" s="8"/>
      <c r="C4" s="8"/>
      <c r="D4" s="8"/>
      <c r="E4" s="8"/>
      <c r="F4" s="8"/>
      <c r="G4" s="2"/>
      <c r="H4" s="8"/>
      <c r="I4" s="2"/>
      <c r="J4" s="2"/>
      <c r="K4" s="8"/>
      <c r="L4" s="2"/>
      <c r="M4" s="2"/>
      <c r="N4" s="2"/>
      <c r="O4" s="2"/>
      <c r="P4" s="2"/>
      <c r="Q4" s="2"/>
      <c r="R4" s="2"/>
      <c r="S4" s="2"/>
      <c r="T4" s="2"/>
      <c r="U4" s="2"/>
      <c r="V4" s="2"/>
    </row>
    <row r="5" spans="1:27" x14ac:dyDescent="0.25">
      <c r="A5" s="9"/>
      <c r="B5" s="10"/>
      <c r="C5" s="11"/>
      <c r="D5" s="11"/>
      <c r="E5" s="11"/>
      <c r="F5" s="12" t="s">
        <v>2</v>
      </c>
      <c r="G5" s="11"/>
      <c r="H5" s="11"/>
      <c r="I5" s="11"/>
      <c r="J5" s="11"/>
      <c r="K5" s="11"/>
      <c r="L5" s="2"/>
      <c r="M5" s="2"/>
      <c r="N5" s="2"/>
      <c r="O5" s="2"/>
      <c r="P5" s="2"/>
      <c r="Q5" s="2"/>
      <c r="R5" s="2"/>
      <c r="S5" s="2"/>
      <c r="T5" s="2"/>
      <c r="U5" s="2"/>
      <c r="V5" s="13"/>
      <c r="W5" s="14"/>
      <c r="X5" s="14"/>
      <c r="Y5" s="14"/>
      <c r="AA5" s="14"/>
    </row>
    <row r="6" spans="1:27" s="16" customFormat="1" ht="10.199999999999999" x14ac:dyDescent="0.2">
      <c r="A6" s="15"/>
      <c r="B6" s="12"/>
      <c r="C6" s="12"/>
      <c r="D6" s="12" t="s">
        <v>2</v>
      </c>
      <c r="E6" s="12"/>
      <c r="F6" s="12" t="s">
        <v>3</v>
      </c>
      <c r="G6" s="12"/>
      <c r="H6" s="12"/>
      <c r="I6" s="12"/>
      <c r="J6" s="12" t="s">
        <v>4</v>
      </c>
      <c r="K6" s="12"/>
    </row>
    <row r="7" spans="1:27" s="16" customFormat="1" ht="10.199999999999999" x14ac:dyDescent="0.2">
      <c r="A7" s="15" t="s">
        <v>5</v>
      </c>
      <c r="B7" s="12" t="s">
        <v>6</v>
      </c>
      <c r="C7" s="12"/>
      <c r="D7" s="12" t="s">
        <v>3</v>
      </c>
      <c r="E7" s="12"/>
      <c r="F7" s="12" t="s">
        <v>7</v>
      </c>
      <c r="G7" s="12"/>
      <c r="H7" s="12"/>
      <c r="I7" s="12"/>
      <c r="J7" s="12" t="s">
        <v>6</v>
      </c>
      <c r="K7" s="12"/>
    </row>
    <row r="8" spans="1:27" s="16" customFormat="1" ht="10.199999999999999" x14ac:dyDescent="0.2">
      <c r="A8" s="76">
        <v>39264</v>
      </c>
      <c r="B8" s="19">
        <v>16678</v>
      </c>
      <c r="C8" s="20"/>
      <c r="D8" s="18">
        <v>35119.9</v>
      </c>
      <c r="E8" s="14"/>
      <c r="F8" s="16">
        <f>ROUND(D8/B8,2)</f>
        <v>2.11</v>
      </c>
      <c r="G8" s="14"/>
      <c r="H8" s="14"/>
      <c r="I8" s="14"/>
      <c r="J8" s="14">
        <f>+B8</f>
        <v>16678</v>
      </c>
      <c r="K8" s="13">
        <v>2007</v>
      </c>
    </row>
    <row r="9" spans="1:27" s="16" customFormat="1" ht="10.199999999999999" x14ac:dyDescent="0.2">
      <c r="A9" s="76">
        <v>39298</v>
      </c>
      <c r="B9" s="19">
        <v>16617</v>
      </c>
      <c r="C9" s="14"/>
      <c r="D9" s="18">
        <v>36121.480000000003</v>
      </c>
      <c r="E9" s="14"/>
      <c r="F9" s="16">
        <f>ROUND(D9/B9,2)</f>
        <v>2.17</v>
      </c>
      <c r="G9" s="14"/>
      <c r="H9" s="14"/>
      <c r="I9" s="14"/>
      <c r="J9" s="14">
        <f>+B9</f>
        <v>16617</v>
      </c>
      <c r="K9" s="13">
        <v>2007</v>
      </c>
    </row>
    <row r="10" spans="1:27" s="16" customFormat="1" ht="10.199999999999999" x14ac:dyDescent="0.2">
      <c r="A10" s="17"/>
      <c r="B10" s="14"/>
      <c r="C10" s="14"/>
      <c r="E10" s="14"/>
      <c r="G10" s="14"/>
      <c r="H10" s="14"/>
      <c r="I10" s="14"/>
      <c r="J10" s="14"/>
      <c r="K10" s="13"/>
    </row>
    <row r="11" spans="1:27" s="16" customFormat="1" ht="10.199999999999999" x14ac:dyDescent="0.2">
      <c r="A11" s="17" t="s">
        <v>34</v>
      </c>
      <c r="B11" s="21">
        <f>SUM(B8:B10)</f>
        <v>33295</v>
      </c>
      <c r="C11" s="20" t="s">
        <v>8</v>
      </c>
      <c r="D11" s="22">
        <f>SUM(D8:D10)</f>
        <v>71241.38</v>
      </c>
      <c r="E11" s="14"/>
      <c r="G11" s="14"/>
      <c r="H11" s="14"/>
      <c r="I11" s="14"/>
      <c r="J11" s="14"/>
      <c r="K11" s="13"/>
    </row>
    <row r="12" spans="1:27" s="16" customFormat="1" ht="10.199999999999999" x14ac:dyDescent="0.2">
      <c r="A12" s="17"/>
      <c r="B12" s="14"/>
      <c r="C12" s="14"/>
      <c r="E12" s="14"/>
      <c r="G12" s="14"/>
      <c r="H12" s="14"/>
      <c r="I12" s="14"/>
      <c r="J12" s="14"/>
      <c r="K12" s="13"/>
    </row>
    <row r="13" spans="1:27" s="16" customFormat="1" ht="10.199999999999999" x14ac:dyDescent="0.2">
      <c r="A13" s="24">
        <v>39329</v>
      </c>
      <c r="B13" s="19">
        <v>16657</v>
      </c>
      <c r="C13" s="14"/>
      <c r="D13" s="16">
        <v>36761.14</v>
      </c>
      <c r="E13" s="14"/>
      <c r="F13" s="16">
        <f t="shared" ref="F13:F22" si="0">ROUND(D13/B13,2)</f>
        <v>2.21</v>
      </c>
      <c r="G13" s="23"/>
      <c r="H13" s="14"/>
      <c r="I13" s="14"/>
      <c r="J13" s="14">
        <f t="shared" ref="J13:J22" si="1">+B13</f>
        <v>16657</v>
      </c>
      <c r="K13" s="13">
        <v>2007</v>
      </c>
    </row>
    <row r="14" spans="1:27" s="16" customFormat="1" ht="10.199999999999999" x14ac:dyDescent="0.2">
      <c r="A14" s="24">
        <v>39359</v>
      </c>
      <c r="B14" s="19">
        <v>16702</v>
      </c>
      <c r="C14" s="14"/>
      <c r="D14" s="16">
        <v>36372.089999999997</v>
      </c>
      <c r="E14" s="14"/>
      <c r="F14" s="16">
        <f t="shared" si="0"/>
        <v>2.1800000000000002</v>
      </c>
      <c r="G14" s="23"/>
      <c r="H14" s="14"/>
      <c r="I14" s="14"/>
      <c r="J14" s="14">
        <f t="shared" si="1"/>
        <v>16702</v>
      </c>
      <c r="K14" s="13">
        <v>2007</v>
      </c>
    </row>
    <row r="15" spans="1:27" s="16" customFormat="1" ht="10.199999999999999" x14ac:dyDescent="0.2">
      <c r="A15" s="24">
        <v>39390</v>
      </c>
      <c r="B15" s="19">
        <v>16708</v>
      </c>
      <c r="C15" s="14"/>
      <c r="D15" s="16">
        <v>43788.67</v>
      </c>
      <c r="E15" s="14"/>
      <c r="F15" s="16">
        <f t="shared" si="0"/>
        <v>2.62</v>
      </c>
      <c r="G15" s="23"/>
      <c r="H15" s="14"/>
      <c r="I15" s="14"/>
      <c r="J15" s="14">
        <f t="shared" si="1"/>
        <v>16708</v>
      </c>
      <c r="K15" s="13">
        <v>2007</v>
      </c>
    </row>
    <row r="16" spans="1:27" s="16" customFormat="1" ht="10.199999999999999" x14ac:dyDescent="0.2">
      <c r="A16" s="24">
        <v>39420</v>
      </c>
      <c r="B16" s="19">
        <v>16699</v>
      </c>
      <c r="C16" s="14"/>
      <c r="D16" s="16">
        <v>38190.370000000003</v>
      </c>
      <c r="E16" s="14"/>
      <c r="F16" s="16">
        <f t="shared" si="0"/>
        <v>2.29</v>
      </c>
      <c r="G16" s="23"/>
      <c r="H16" s="14"/>
      <c r="I16" s="14"/>
      <c r="J16" s="14">
        <f t="shared" si="1"/>
        <v>16699</v>
      </c>
      <c r="K16" s="13">
        <v>2007</v>
      </c>
    </row>
    <row r="17" spans="1:27" s="16" customFormat="1" ht="10.199999999999999" x14ac:dyDescent="0.2">
      <c r="A17" s="24">
        <v>39451</v>
      </c>
      <c r="B17" s="19">
        <v>16649</v>
      </c>
      <c r="C17" s="14"/>
      <c r="D17" s="16">
        <v>42272.42</v>
      </c>
      <c r="E17" s="14"/>
      <c r="F17" s="16">
        <f t="shared" si="0"/>
        <v>2.54</v>
      </c>
      <c r="G17" s="23"/>
      <c r="H17" s="14"/>
      <c r="I17" s="14"/>
      <c r="J17" s="14">
        <f t="shared" si="1"/>
        <v>16649</v>
      </c>
      <c r="K17" s="13">
        <v>2008</v>
      </c>
    </row>
    <row r="18" spans="1:27" s="16" customFormat="1" ht="10.199999999999999" x14ac:dyDescent="0.2">
      <c r="A18" s="24">
        <v>39482</v>
      </c>
      <c r="B18" s="19">
        <v>16642</v>
      </c>
      <c r="C18" s="14"/>
      <c r="D18" s="16">
        <v>40138.230000000003</v>
      </c>
      <c r="E18" s="14"/>
      <c r="F18" s="16">
        <f t="shared" si="0"/>
        <v>2.41</v>
      </c>
      <c r="G18" s="23"/>
      <c r="H18" s="14"/>
      <c r="I18" s="14"/>
      <c r="J18" s="14">
        <f t="shared" si="1"/>
        <v>16642</v>
      </c>
      <c r="K18" s="13">
        <v>2008</v>
      </c>
    </row>
    <row r="19" spans="1:27" s="16" customFormat="1" ht="10.199999999999999" x14ac:dyDescent="0.2">
      <c r="A19" s="24">
        <v>39511</v>
      </c>
      <c r="B19" s="19">
        <v>16686</v>
      </c>
      <c r="C19" s="14"/>
      <c r="D19" s="16">
        <v>35853.629999999997</v>
      </c>
      <c r="E19" s="14"/>
      <c r="F19" s="16">
        <f t="shared" si="0"/>
        <v>2.15</v>
      </c>
      <c r="G19" s="23"/>
      <c r="H19" s="14"/>
      <c r="I19" s="14"/>
      <c r="J19" s="14">
        <f t="shared" si="1"/>
        <v>16686</v>
      </c>
      <c r="K19" s="13">
        <v>2008</v>
      </c>
      <c r="X19" s="14"/>
      <c r="Y19" s="14"/>
    </row>
    <row r="20" spans="1:27" s="16" customFormat="1" ht="10.199999999999999" x14ac:dyDescent="0.2">
      <c r="A20" s="24">
        <v>39542</v>
      </c>
      <c r="B20" s="19">
        <v>16748</v>
      </c>
      <c r="C20" s="14"/>
      <c r="D20" s="16">
        <v>43498.77</v>
      </c>
      <c r="E20" s="14"/>
      <c r="F20" s="16">
        <f t="shared" si="0"/>
        <v>2.6</v>
      </c>
      <c r="G20" s="23"/>
      <c r="H20" s="14"/>
      <c r="I20" s="14"/>
      <c r="J20" s="14">
        <f t="shared" si="1"/>
        <v>16748</v>
      </c>
      <c r="K20" s="13">
        <v>2008</v>
      </c>
      <c r="L20" s="14"/>
      <c r="M20" s="14"/>
      <c r="N20" s="14"/>
      <c r="O20" s="14"/>
      <c r="P20" s="14"/>
      <c r="Q20" s="14"/>
      <c r="R20" s="14"/>
      <c r="S20" s="14"/>
      <c r="T20" s="14"/>
      <c r="U20" s="14"/>
      <c r="V20" s="14"/>
      <c r="W20" s="14"/>
      <c r="Y20" s="14"/>
      <c r="AA20" s="14"/>
    </row>
    <row r="21" spans="1:27" s="16" customFormat="1" ht="10.199999999999999" x14ac:dyDescent="0.2">
      <c r="A21" s="24">
        <v>39572</v>
      </c>
      <c r="B21" s="19">
        <v>16877</v>
      </c>
      <c r="C21" s="14"/>
      <c r="D21" s="16">
        <v>37997.629999999997</v>
      </c>
      <c r="E21" s="14"/>
      <c r="F21" s="16">
        <f t="shared" si="0"/>
        <v>2.25</v>
      </c>
      <c r="G21" s="23"/>
      <c r="H21" s="20"/>
      <c r="I21" s="14"/>
      <c r="J21" s="14">
        <f t="shared" si="1"/>
        <v>16877</v>
      </c>
      <c r="K21" s="13">
        <v>2008</v>
      </c>
    </row>
    <row r="22" spans="1:27" s="16" customFormat="1" ht="10.199999999999999" x14ac:dyDescent="0.2">
      <c r="A22" s="24">
        <v>39603</v>
      </c>
      <c r="B22" s="19">
        <v>16697</v>
      </c>
      <c r="C22" s="14"/>
      <c r="D22" s="16">
        <v>37285.46</v>
      </c>
      <c r="E22" s="14"/>
      <c r="F22" s="16">
        <f t="shared" si="0"/>
        <v>2.23</v>
      </c>
      <c r="G22" s="23"/>
      <c r="H22" s="20"/>
      <c r="I22" s="14"/>
      <c r="J22" s="14">
        <f t="shared" si="1"/>
        <v>16697</v>
      </c>
      <c r="K22" s="13">
        <v>2008</v>
      </c>
    </row>
    <row r="23" spans="1:27" s="16" customFormat="1" ht="10.199999999999999" x14ac:dyDescent="0.2">
      <c r="A23" s="17"/>
      <c r="B23" s="14"/>
      <c r="C23" s="14"/>
      <c r="E23" s="14"/>
      <c r="G23" s="14"/>
      <c r="H23" s="14"/>
      <c r="I23" s="14"/>
      <c r="J23" s="14"/>
      <c r="K23" s="13"/>
    </row>
    <row r="24" spans="1:27" s="16" customFormat="1" ht="20.399999999999999" x14ac:dyDescent="0.2">
      <c r="A24" s="77" t="s">
        <v>35</v>
      </c>
      <c r="B24" s="21">
        <f>SUM(B12:B23)</f>
        <v>167065</v>
      </c>
      <c r="C24" s="20" t="s">
        <v>9</v>
      </c>
      <c r="D24" s="22">
        <f>SUM(D12:D23)</f>
        <v>392158.41000000003</v>
      </c>
      <c r="E24" s="14"/>
      <c r="G24" s="14"/>
      <c r="H24" s="14"/>
      <c r="I24" s="14"/>
      <c r="J24" s="14"/>
      <c r="K24" s="13"/>
    </row>
    <row r="25" spans="1:27" x14ac:dyDescent="0.25">
      <c r="D25" s="25"/>
    </row>
    <row r="26" spans="1:27" s="16" customFormat="1" ht="10.8" thickBot="1" x14ac:dyDescent="0.25">
      <c r="A26" s="26"/>
      <c r="B26" s="27">
        <f>+B11+B24</f>
        <v>200360</v>
      </c>
      <c r="C26" s="20"/>
      <c r="D26" s="28">
        <f>+D11+D24</f>
        <v>463399.79000000004</v>
      </c>
      <c r="E26" s="20" t="s">
        <v>10</v>
      </c>
      <c r="F26" s="23">
        <f>ROUND(D26/B26,3)</f>
        <v>2.3130000000000002</v>
      </c>
      <c r="G26" s="20" t="s">
        <v>11</v>
      </c>
      <c r="H26" s="14"/>
      <c r="I26" s="14"/>
      <c r="J26" s="27">
        <f>SUM(J8:J25)</f>
        <v>200360</v>
      </c>
      <c r="K26" s="20" t="s">
        <v>12</v>
      </c>
    </row>
    <row r="27" spans="1:27" s="16" customFormat="1" ht="10.8" thickTop="1" x14ac:dyDescent="0.2">
      <c r="B27" s="14"/>
      <c r="C27" s="14"/>
      <c r="D27" s="14"/>
      <c r="E27" s="14"/>
      <c r="F27" s="14"/>
      <c r="G27" s="14"/>
      <c r="H27" s="14"/>
      <c r="I27" s="14"/>
      <c r="J27" s="14"/>
      <c r="K27" s="14"/>
    </row>
    <row r="28" spans="1:27" s="16" customFormat="1" ht="10.199999999999999" x14ac:dyDescent="0.2">
      <c r="B28" s="14"/>
      <c r="C28" s="14"/>
      <c r="D28" s="14"/>
      <c r="E28" s="14"/>
      <c r="F28" s="14"/>
      <c r="G28" s="14"/>
      <c r="H28" s="14"/>
      <c r="I28" s="14"/>
      <c r="J28" s="14"/>
      <c r="K28" s="14"/>
    </row>
    <row r="29" spans="1:27" s="16" customFormat="1" ht="10.8" thickBot="1" x14ac:dyDescent="0.25">
      <c r="B29" s="29" t="s">
        <v>13</v>
      </c>
      <c r="C29" s="30"/>
      <c r="D29" s="30"/>
      <c r="E29" s="30"/>
      <c r="F29" s="14"/>
      <c r="G29" s="14"/>
      <c r="H29" s="14"/>
      <c r="I29" s="14"/>
      <c r="J29" s="14"/>
      <c r="K29" s="14"/>
    </row>
    <row r="30" spans="1:27" s="16" customFormat="1" ht="10.8" thickTop="1" x14ac:dyDescent="0.2">
      <c r="A30" s="6"/>
      <c r="B30" s="31"/>
      <c r="C30" s="14"/>
      <c r="D30" s="14"/>
      <c r="E30" s="14"/>
      <c r="F30" s="14"/>
      <c r="G30" s="14"/>
      <c r="H30" s="14"/>
      <c r="I30" s="14"/>
      <c r="J30" s="14"/>
      <c r="K30" s="14"/>
      <c r="X30" s="14"/>
      <c r="Y30" s="14"/>
    </row>
    <row r="31" spans="1:27" s="16" customFormat="1" ht="10.199999999999999" x14ac:dyDescent="0.2">
      <c r="A31" s="8"/>
      <c r="B31" s="31"/>
      <c r="C31" s="14"/>
      <c r="D31" s="14"/>
      <c r="E31" s="14"/>
      <c r="F31" s="32" t="s">
        <v>14</v>
      </c>
      <c r="G31" s="14">
        <f>ROUND(D26,0)</f>
        <v>463400</v>
      </c>
      <c r="H31" s="20" t="s">
        <v>10</v>
      </c>
      <c r="I31" s="14"/>
      <c r="J31" s="14"/>
      <c r="K31" s="14"/>
    </row>
    <row r="32" spans="1:27" s="13" customFormat="1" ht="10.199999999999999" x14ac:dyDescent="0.2">
      <c r="A32" s="33"/>
      <c r="B32" s="31"/>
      <c r="C32" s="14"/>
      <c r="D32" s="14"/>
      <c r="E32" s="14"/>
      <c r="F32" s="14"/>
      <c r="G32" s="14"/>
      <c r="H32" s="20"/>
      <c r="I32" s="14"/>
      <c r="J32" s="14"/>
      <c r="K32" s="14"/>
      <c r="W32" s="14"/>
      <c r="X32" s="16"/>
      <c r="Y32" s="16"/>
      <c r="AA32" s="14"/>
    </row>
    <row r="33" spans="2:27" s="16" customFormat="1" ht="10.199999999999999" x14ac:dyDescent="0.2">
      <c r="B33" s="14" t="s">
        <v>15</v>
      </c>
      <c r="C33" s="14"/>
      <c r="D33" s="14"/>
      <c r="E33" s="14"/>
      <c r="F33" s="34">
        <v>1.55</v>
      </c>
      <c r="G33" s="14"/>
      <c r="H33" s="14"/>
      <c r="I33" s="14"/>
      <c r="J33" s="14"/>
      <c r="K33" s="14"/>
    </row>
    <row r="34" spans="2:27" s="16" customFormat="1" ht="10.199999999999999" x14ac:dyDescent="0.2">
      <c r="B34" s="14"/>
      <c r="C34" s="14" t="s">
        <v>36</v>
      </c>
      <c r="D34" s="14"/>
      <c r="E34" s="14"/>
      <c r="F34" s="35">
        <f>+B11</f>
        <v>33295</v>
      </c>
      <c r="G34" s="20" t="s">
        <v>8</v>
      </c>
      <c r="H34" s="14"/>
      <c r="I34" s="14"/>
      <c r="J34" s="14"/>
      <c r="K34" s="14"/>
    </row>
    <row r="35" spans="2:27" s="16" customFormat="1" ht="10.199999999999999" x14ac:dyDescent="0.2">
      <c r="B35" s="14"/>
      <c r="C35" s="14" t="s">
        <v>16</v>
      </c>
      <c r="D35" s="14"/>
      <c r="E35" s="14"/>
      <c r="F35" s="21">
        <f>ROUND(F33*F34,0)</f>
        <v>51607</v>
      </c>
      <c r="G35" s="20"/>
      <c r="H35" s="14"/>
      <c r="I35" s="14"/>
      <c r="J35" s="14"/>
      <c r="K35" s="14"/>
    </row>
    <row r="36" spans="2:27" s="16" customFormat="1" ht="10.199999999999999" x14ac:dyDescent="0.2">
      <c r="B36" s="14"/>
      <c r="C36" s="14"/>
      <c r="D36" s="14"/>
      <c r="E36" s="14"/>
      <c r="F36" s="35"/>
      <c r="G36" s="20"/>
      <c r="H36" s="14"/>
      <c r="I36" s="14"/>
      <c r="J36" s="14"/>
      <c r="K36" s="14"/>
    </row>
    <row r="37" spans="2:27" s="16" customFormat="1" ht="10.199999999999999" x14ac:dyDescent="0.2">
      <c r="B37" s="14" t="s">
        <v>15</v>
      </c>
      <c r="C37" s="14"/>
      <c r="D37" s="14"/>
      <c r="E37" s="14"/>
      <c r="F37" s="34">
        <v>1.8180000000000001</v>
      </c>
      <c r="G37" s="14"/>
      <c r="H37" s="14"/>
      <c r="I37" s="14"/>
      <c r="J37" s="14"/>
      <c r="K37" s="14"/>
    </row>
    <row r="38" spans="2:27" s="16" customFormat="1" ht="10.199999999999999" x14ac:dyDescent="0.2">
      <c r="B38" s="14"/>
      <c r="C38" s="14" t="s">
        <v>37</v>
      </c>
      <c r="D38" s="14"/>
      <c r="E38" s="14"/>
      <c r="F38" s="14">
        <f>+B24</f>
        <v>167065</v>
      </c>
      <c r="G38" s="20" t="s">
        <v>9</v>
      </c>
      <c r="H38" s="14"/>
      <c r="I38" s="14"/>
      <c r="J38" s="14"/>
      <c r="K38" s="14"/>
    </row>
    <row r="39" spans="2:27" s="16" customFormat="1" ht="10.199999999999999" x14ac:dyDescent="0.2">
      <c r="B39" s="14"/>
      <c r="C39" s="14" t="s">
        <v>16</v>
      </c>
      <c r="D39" s="14"/>
      <c r="E39" s="14"/>
      <c r="F39" s="21">
        <f>ROUND(F37*F38,0)</f>
        <v>303724</v>
      </c>
      <c r="G39" s="20"/>
      <c r="H39" s="14"/>
      <c r="I39" s="14"/>
      <c r="J39" s="14"/>
      <c r="K39" s="14"/>
    </row>
    <row r="40" spans="2:27" s="16" customFormat="1" ht="10.199999999999999" x14ac:dyDescent="0.2">
      <c r="B40" s="14"/>
      <c r="C40" s="14"/>
      <c r="D40" s="14"/>
      <c r="E40" s="14"/>
      <c r="F40" s="36"/>
      <c r="G40" s="20"/>
      <c r="H40" s="14"/>
      <c r="I40" s="14"/>
      <c r="J40" s="14"/>
      <c r="K40" s="14"/>
    </row>
    <row r="41" spans="2:27" s="16" customFormat="1" ht="10.8" thickBot="1" x14ac:dyDescent="0.25">
      <c r="B41" s="14"/>
      <c r="C41" s="14" t="s">
        <v>17</v>
      </c>
      <c r="D41" s="14"/>
      <c r="E41" s="14"/>
      <c r="F41" s="27">
        <f>+F35+F39</f>
        <v>355331</v>
      </c>
      <c r="G41" s="37">
        <f>+F41</f>
        <v>355331</v>
      </c>
      <c r="H41" s="14"/>
      <c r="I41" s="14"/>
      <c r="J41" s="14"/>
      <c r="K41" s="14"/>
    </row>
    <row r="42" spans="2:27" s="16" customFormat="1" ht="10.8" thickTop="1" x14ac:dyDescent="0.2">
      <c r="B42" s="14"/>
      <c r="C42" s="14"/>
      <c r="D42" s="14"/>
      <c r="E42" s="14"/>
      <c r="F42" s="14"/>
      <c r="G42" s="14"/>
      <c r="H42" s="14"/>
      <c r="I42" s="14"/>
      <c r="J42" s="14"/>
      <c r="K42" s="14"/>
    </row>
    <row r="43" spans="2:27" s="16" customFormat="1" ht="10.199999999999999" x14ac:dyDescent="0.2">
      <c r="B43" s="14"/>
      <c r="C43" s="14"/>
      <c r="D43" s="14"/>
      <c r="E43" s="14"/>
      <c r="F43" s="14"/>
      <c r="G43" s="14"/>
      <c r="H43" s="14"/>
      <c r="I43" s="14"/>
      <c r="J43" s="14"/>
      <c r="K43" s="14"/>
    </row>
    <row r="44" spans="2:27" s="16" customFormat="1" ht="10.8" thickBot="1" x14ac:dyDescent="0.25">
      <c r="B44" s="14"/>
      <c r="C44" s="14"/>
      <c r="D44" s="14"/>
      <c r="E44" s="14"/>
      <c r="F44" s="32" t="s">
        <v>18</v>
      </c>
      <c r="G44" s="38">
        <f>+G31-G41</f>
        <v>108069</v>
      </c>
      <c r="H44" s="14"/>
      <c r="I44" s="14"/>
      <c r="J44" s="14"/>
      <c r="K44" s="14"/>
    </row>
    <row r="45" spans="2:27" s="16" customFormat="1" ht="10.8" thickTop="1" x14ac:dyDescent="0.2">
      <c r="B45" s="14"/>
      <c r="C45" s="14"/>
      <c r="D45" s="14"/>
      <c r="E45" s="14"/>
      <c r="F45" s="14"/>
      <c r="G45" s="14"/>
      <c r="H45" s="14"/>
      <c r="I45" s="14"/>
      <c r="J45" s="14"/>
      <c r="K45" s="14"/>
      <c r="Y45" s="14"/>
    </row>
    <row r="46" spans="2:27" s="16" customFormat="1" ht="10.199999999999999" x14ac:dyDescent="0.2">
      <c r="B46" s="14"/>
      <c r="C46" s="14"/>
      <c r="D46" s="14"/>
      <c r="E46" s="14"/>
      <c r="F46" s="14"/>
      <c r="G46" s="14"/>
      <c r="H46" s="14"/>
      <c r="I46" s="14"/>
      <c r="J46" s="14"/>
      <c r="K46" s="14"/>
    </row>
    <row r="47" spans="2:27" s="16" customFormat="1" ht="10.8" thickBot="1" x14ac:dyDescent="0.25">
      <c r="B47" s="29" t="s">
        <v>38</v>
      </c>
      <c r="C47" s="30"/>
      <c r="D47" s="30"/>
      <c r="E47" s="30"/>
      <c r="F47" s="30"/>
      <c r="G47" s="14"/>
      <c r="H47" s="14"/>
      <c r="I47" s="14"/>
      <c r="J47" s="14"/>
      <c r="K47" s="14"/>
    </row>
    <row r="48" spans="2:27" s="16" customFormat="1" ht="10.8"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0.199999999999999" x14ac:dyDescent="0.2">
      <c r="B49" s="14" t="s">
        <v>19</v>
      </c>
      <c r="C49" s="14"/>
      <c r="D49" s="14"/>
      <c r="E49" s="14"/>
      <c r="F49" s="14"/>
      <c r="G49" s="14"/>
      <c r="H49" s="14"/>
      <c r="I49" s="14"/>
      <c r="J49" s="14"/>
      <c r="K49" s="14"/>
    </row>
    <row r="50" spans="1:25" s="16" customFormat="1" ht="10.199999999999999" x14ac:dyDescent="0.2">
      <c r="B50" s="14"/>
      <c r="C50" s="14"/>
      <c r="D50" s="14"/>
      <c r="E50" s="14"/>
      <c r="F50" s="32" t="s">
        <v>20</v>
      </c>
      <c r="G50" s="14">
        <f>+J26</f>
        <v>200360</v>
      </c>
      <c r="H50" s="20" t="s">
        <v>12</v>
      </c>
      <c r="I50" s="14"/>
      <c r="J50" s="14"/>
      <c r="K50" s="14"/>
    </row>
    <row r="51" spans="1:25" s="16" customFormat="1" ht="10.199999999999999" x14ac:dyDescent="0.2">
      <c r="B51" s="14"/>
      <c r="C51" s="14"/>
      <c r="D51" s="14"/>
      <c r="E51" s="14"/>
      <c r="F51" s="32" t="s">
        <v>18</v>
      </c>
      <c r="G51" s="14">
        <f>+G44</f>
        <v>108069</v>
      </c>
      <c r="H51" s="14"/>
      <c r="I51" s="14"/>
      <c r="J51" s="14"/>
      <c r="K51" s="14"/>
    </row>
    <row r="52" spans="1:25" s="16" customFormat="1" ht="10.199999999999999" x14ac:dyDescent="0.2">
      <c r="B52" s="14"/>
      <c r="C52" s="14"/>
      <c r="D52" s="14"/>
      <c r="E52" s="14"/>
      <c r="F52" s="32"/>
      <c r="G52" s="14"/>
      <c r="H52" s="14"/>
      <c r="I52" s="14"/>
      <c r="J52" s="14"/>
      <c r="K52" s="14"/>
    </row>
    <row r="53" spans="1:25" s="16" customFormat="1" ht="10.8" thickBot="1" x14ac:dyDescent="0.25">
      <c r="B53" s="14"/>
      <c r="C53" s="14"/>
      <c r="D53" s="14"/>
      <c r="E53" s="14"/>
      <c r="F53" s="32" t="s">
        <v>39</v>
      </c>
      <c r="G53" s="39">
        <f>ROUND(G51/G50,3)</f>
        <v>0.53900000000000003</v>
      </c>
      <c r="H53" s="14"/>
      <c r="I53" s="23">
        <f>+G53</f>
        <v>0.53900000000000003</v>
      </c>
      <c r="J53" s="14"/>
      <c r="K53" s="14"/>
    </row>
    <row r="54" spans="1:25" s="16" customFormat="1" ht="10.8" thickTop="1" x14ac:dyDescent="0.2">
      <c r="B54" s="14"/>
      <c r="C54" s="14"/>
      <c r="D54" s="14"/>
      <c r="E54" s="14"/>
      <c r="F54" s="32"/>
      <c r="G54" s="14"/>
      <c r="H54" s="14"/>
      <c r="I54" s="23"/>
      <c r="J54" s="14"/>
      <c r="K54" s="14"/>
      <c r="Y54" s="14"/>
    </row>
    <row r="55" spans="1:25" s="16" customFormat="1" ht="10.199999999999999" x14ac:dyDescent="0.2">
      <c r="B55" s="14" t="s">
        <v>41</v>
      </c>
      <c r="C55" s="14"/>
      <c r="D55" s="14"/>
      <c r="E55" s="14"/>
      <c r="F55" s="32"/>
      <c r="G55" s="14"/>
      <c r="H55" s="14"/>
      <c r="I55" s="23"/>
      <c r="J55" s="14"/>
      <c r="K55" s="14"/>
    </row>
    <row r="56" spans="1:25" s="16" customFormat="1" ht="10.8" thickBot="1" x14ac:dyDescent="0.25">
      <c r="B56" s="31"/>
      <c r="C56" s="14"/>
      <c r="D56" s="14"/>
      <c r="E56" s="14"/>
      <c r="F56" s="32" t="s">
        <v>40</v>
      </c>
      <c r="G56" s="40">
        <f>+F26</f>
        <v>2.3130000000000002</v>
      </c>
      <c r="H56" s="14"/>
      <c r="I56" s="23">
        <f>+G56</f>
        <v>2.3130000000000002</v>
      </c>
      <c r="J56" s="20" t="s">
        <v>11</v>
      </c>
      <c r="K56" s="14"/>
    </row>
    <row r="57" spans="1:25" s="14" customFormat="1" ht="10.8" thickTop="1" x14ac:dyDescent="0.2">
      <c r="B57" s="31"/>
      <c r="I57" s="23"/>
      <c r="X57" s="16"/>
      <c r="Y57" s="16"/>
    </row>
    <row r="58" spans="1:25" s="16" customFormat="1" ht="10.8" thickBot="1" x14ac:dyDescent="0.25">
      <c r="B58" s="14"/>
      <c r="C58" s="14"/>
      <c r="D58" s="14"/>
      <c r="E58" s="14"/>
      <c r="F58" s="14"/>
      <c r="G58" s="32" t="s">
        <v>42</v>
      </c>
      <c r="H58" s="27"/>
      <c r="I58" s="39">
        <f>+I53+I56</f>
        <v>2.8520000000000003</v>
      </c>
      <c r="J58" s="14"/>
      <c r="K58" s="14"/>
    </row>
    <row r="59" spans="1:25" s="16" customFormat="1" ht="10.8" thickTop="1" x14ac:dyDescent="0.2">
      <c r="I59" s="23"/>
    </row>
    <row r="60" spans="1:25" s="16" customFormat="1" ht="10.199999999999999" x14ac:dyDescent="0.2"/>
    <row r="61" spans="1:25" s="16" customFormat="1" ht="10.199999999999999" x14ac:dyDescent="0.2"/>
    <row r="62" spans="1:25" s="16" customFormat="1" ht="10.199999999999999" x14ac:dyDescent="0.2">
      <c r="A62" s="41"/>
      <c r="B62" s="41"/>
      <c r="C62" s="41"/>
      <c r="D62" s="41"/>
      <c r="E62" s="41"/>
      <c r="F62" s="41"/>
    </row>
    <row r="63" spans="1:25" s="16" customFormat="1" ht="17.399999999999999" x14ac:dyDescent="0.3">
      <c r="A63" s="42"/>
      <c r="B63" s="43"/>
      <c r="C63" s="43"/>
      <c r="D63" s="43"/>
      <c r="E63" s="42"/>
      <c r="F63" s="43"/>
      <c r="G63" s="44"/>
      <c r="H63" s="44"/>
      <c r="I63" s="44"/>
      <c r="J63" s="44"/>
      <c r="K63" s="44"/>
      <c r="Y63" s="14"/>
    </row>
    <row r="64" spans="1:25" s="16" customFormat="1" ht="10.199999999999999" x14ac:dyDescent="0.2">
      <c r="A64" s="78"/>
      <c r="B64" s="46"/>
      <c r="C64" s="48"/>
      <c r="D64" s="47"/>
      <c r="E64" s="41"/>
      <c r="F64" s="41"/>
    </row>
    <row r="65" spans="1:27" s="16" customFormat="1" ht="10.199999999999999" x14ac:dyDescent="0.2">
      <c r="A65" s="78"/>
      <c r="B65" s="46"/>
      <c r="C65" s="49"/>
      <c r="D65" s="47"/>
      <c r="E65" s="41"/>
      <c r="F65" s="41"/>
    </row>
    <row r="66" spans="1:27" s="14" customFormat="1" ht="10.199999999999999" x14ac:dyDescent="0.2">
      <c r="A66" s="78"/>
      <c r="B66" s="49"/>
      <c r="C66" s="49"/>
      <c r="D66" s="41"/>
      <c r="E66" s="49"/>
      <c r="F66" s="41"/>
      <c r="X66" s="16"/>
      <c r="Y66" s="16"/>
    </row>
    <row r="67" spans="1:27" s="16" customFormat="1" ht="10.199999999999999" x14ac:dyDescent="0.2">
      <c r="A67" s="78"/>
      <c r="B67" s="49"/>
      <c r="C67" s="48"/>
      <c r="D67" s="41"/>
      <c r="E67" s="41"/>
      <c r="F67" s="41"/>
    </row>
    <row r="68" spans="1:27" s="16" customFormat="1" ht="10.199999999999999" x14ac:dyDescent="0.2">
      <c r="A68" s="78"/>
      <c r="B68" s="49"/>
      <c r="C68" s="49"/>
      <c r="D68" s="41"/>
      <c r="E68" s="41"/>
      <c r="F68" s="41"/>
    </row>
    <row r="69" spans="1:27" s="16" customFormat="1" ht="10.199999999999999" x14ac:dyDescent="0.2">
      <c r="A69" s="78"/>
      <c r="B69" s="50"/>
      <c r="C69" s="49"/>
      <c r="D69" s="41"/>
      <c r="E69" s="41"/>
      <c r="F69" s="41"/>
    </row>
    <row r="70" spans="1:27" s="16" customFormat="1" ht="10.199999999999999" x14ac:dyDescent="0.2">
      <c r="A70" s="78"/>
      <c r="B70" s="50"/>
      <c r="C70" s="49"/>
      <c r="D70" s="41"/>
      <c r="E70" s="41"/>
      <c r="F70" s="41"/>
    </row>
    <row r="71" spans="1:27" s="16" customFormat="1" ht="10.199999999999999" x14ac:dyDescent="0.2">
      <c r="A71" s="78"/>
      <c r="B71" s="50"/>
      <c r="C71" s="49"/>
      <c r="D71" s="41"/>
      <c r="E71" s="41"/>
      <c r="F71" s="41"/>
    </row>
    <row r="72" spans="1:27" s="16" customFormat="1" ht="10.199999999999999" x14ac:dyDescent="0.2">
      <c r="A72" s="78"/>
      <c r="B72" s="50"/>
      <c r="C72" s="49"/>
      <c r="D72" s="41"/>
      <c r="E72" s="41"/>
      <c r="F72" s="41"/>
    </row>
    <row r="73" spans="1:27" s="16" customFormat="1" ht="10.199999999999999" x14ac:dyDescent="0.2">
      <c r="A73" s="78"/>
      <c r="B73" s="50"/>
      <c r="C73" s="49"/>
      <c r="D73" s="41"/>
      <c r="E73" s="41"/>
      <c r="F73" s="41"/>
      <c r="Y73" s="14"/>
    </row>
    <row r="74" spans="1:27" s="16" customFormat="1" ht="10.199999999999999" x14ac:dyDescent="0.2">
      <c r="A74" s="78"/>
      <c r="B74" s="50"/>
      <c r="C74" s="49"/>
      <c r="D74" s="41"/>
      <c r="E74" s="41"/>
      <c r="F74" s="41"/>
    </row>
    <row r="75" spans="1:27" s="16" customFormat="1" ht="10.199999999999999" x14ac:dyDescent="0.2">
      <c r="A75" s="78"/>
      <c r="B75" s="50"/>
      <c r="C75" s="49"/>
      <c r="D75" s="41"/>
      <c r="E75" s="41"/>
      <c r="F75" s="41"/>
    </row>
    <row r="76" spans="1:27" s="16" customFormat="1" ht="10.199999999999999" x14ac:dyDescent="0.2">
      <c r="A76" s="78"/>
      <c r="B76" s="50"/>
      <c r="C76" s="49"/>
      <c r="D76" s="41"/>
      <c r="E76" s="41"/>
      <c r="F76" s="41"/>
    </row>
    <row r="77" spans="1:27" s="16" customFormat="1" ht="10.199999999999999" x14ac:dyDescent="0.2">
      <c r="A77" s="78"/>
      <c r="B77" s="50"/>
      <c r="C77" s="49"/>
      <c r="D77" s="41"/>
      <c r="E77" s="51"/>
      <c r="F77" s="41"/>
      <c r="G77" s="14"/>
      <c r="H77" s="13"/>
      <c r="I77" s="14"/>
      <c r="J77" s="14"/>
      <c r="K77" s="13"/>
      <c r="L77" s="14"/>
      <c r="M77" s="14"/>
      <c r="N77" s="14"/>
      <c r="O77" s="14"/>
      <c r="P77" s="14"/>
      <c r="Q77" s="14"/>
      <c r="R77" s="14"/>
      <c r="S77" s="14"/>
      <c r="T77" s="14"/>
      <c r="U77" s="14"/>
      <c r="V77" s="13"/>
      <c r="W77" s="14"/>
      <c r="AA77" s="14"/>
    </row>
    <row r="78" spans="1:27" s="16" customFormat="1" ht="10.199999999999999" x14ac:dyDescent="0.2">
      <c r="A78" s="78"/>
      <c r="B78" s="50"/>
      <c r="C78" s="49"/>
      <c r="D78" s="41"/>
      <c r="E78" s="41"/>
      <c r="F78" s="41"/>
    </row>
    <row r="79" spans="1:27" s="16" customFormat="1" ht="10.199999999999999" x14ac:dyDescent="0.2">
      <c r="A79" s="45"/>
      <c r="B79" s="49"/>
      <c r="C79" s="49"/>
      <c r="D79" s="41"/>
      <c r="E79" s="41"/>
      <c r="F79" s="41"/>
    </row>
    <row r="80" spans="1:27" s="16" customFormat="1" ht="10.199999999999999" x14ac:dyDescent="0.2">
      <c r="A80" s="79"/>
      <c r="B80" s="49"/>
      <c r="C80" s="48"/>
      <c r="D80" s="41"/>
      <c r="E80" s="41"/>
      <c r="F80" s="41"/>
    </row>
    <row r="81" spans="1:25" s="16" customFormat="1" x14ac:dyDescent="0.25">
      <c r="A81" s="52"/>
      <c r="B81" s="52"/>
      <c r="C81" s="52"/>
      <c r="D81" s="53"/>
      <c r="E81" s="41"/>
      <c r="F81" s="52"/>
    </row>
    <row r="82" spans="1:25" s="16" customFormat="1" ht="10.199999999999999" x14ac:dyDescent="0.2">
      <c r="A82" s="54"/>
      <c r="B82" s="49"/>
      <c r="C82" s="48"/>
      <c r="D82" s="41"/>
      <c r="E82" s="41"/>
      <c r="F82" s="55"/>
      <c r="Y82" s="14"/>
    </row>
    <row r="83" spans="1:25" s="16" customFormat="1" ht="10.199999999999999" x14ac:dyDescent="0.2"/>
    <row r="84" spans="1:25" s="16" customFormat="1" ht="10.199999999999999" x14ac:dyDescent="0.2"/>
    <row r="85" spans="1:25" s="16" customFormat="1" ht="10.199999999999999" x14ac:dyDescent="0.2"/>
    <row r="86" spans="1:25" s="16" customFormat="1" ht="10.199999999999999" x14ac:dyDescent="0.2">
      <c r="B86" s="8"/>
    </row>
    <row r="87" spans="1:25" s="14" customFormat="1" ht="10.199999999999999" x14ac:dyDescent="0.2">
      <c r="B87" s="31"/>
      <c r="X87" s="16"/>
      <c r="Y87" s="16"/>
    </row>
    <row r="88" spans="1:25" s="16" customFormat="1" ht="10.199999999999999" x14ac:dyDescent="0.2"/>
    <row r="89" spans="1:25" s="16" customFormat="1" ht="10.199999999999999" x14ac:dyDescent="0.2"/>
    <row r="90" spans="1:25" s="16" customFormat="1" ht="10.199999999999999" x14ac:dyDescent="0.2"/>
    <row r="91" spans="1:25" s="16" customFormat="1" ht="10.199999999999999" x14ac:dyDescent="0.2"/>
    <row r="92" spans="1:25" s="16" customFormat="1" ht="10.199999999999999" x14ac:dyDescent="0.2"/>
    <row r="93" spans="1:25" s="16" customFormat="1" ht="10.199999999999999" x14ac:dyDescent="0.2"/>
    <row r="94" spans="1:25" s="16" customFormat="1" ht="10.199999999999999" x14ac:dyDescent="0.2"/>
    <row r="95" spans="1:25" s="16" customFormat="1" ht="10.199999999999999" x14ac:dyDescent="0.2"/>
    <row r="96" spans="1:25" s="16" customFormat="1" ht="10.199999999999999" x14ac:dyDescent="0.2">
      <c r="A96" s="6"/>
    </row>
    <row r="97" spans="7:27" s="16" customFormat="1" x14ac:dyDescent="0.25">
      <c r="AA97" s="5"/>
    </row>
    <row r="98" spans="7:27" s="16" customFormat="1" x14ac:dyDescent="0.25">
      <c r="AA98" s="5"/>
    </row>
    <row r="99" spans="7:27" s="16" customFormat="1" x14ac:dyDescent="0.25">
      <c r="AA99" s="5"/>
    </row>
    <row r="100" spans="7:27" s="16" customFormat="1" x14ac:dyDescent="0.25">
      <c r="AA100" s="5"/>
    </row>
    <row r="101" spans="7:27" s="16" customFormat="1" x14ac:dyDescent="0.25">
      <c r="G101" s="56"/>
      <c r="I101" s="56"/>
      <c r="J101" s="56"/>
      <c r="L101" s="56"/>
      <c r="M101" s="56"/>
      <c r="N101" s="56"/>
      <c r="O101" s="56"/>
      <c r="P101" s="56"/>
      <c r="Q101" s="56"/>
      <c r="R101" s="56"/>
      <c r="S101" s="56"/>
      <c r="T101" s="56"/>
      <c r="U101" s="56"/>
      <c r="V101" s="56"/>
      <c r="W101" s="56"/>
      <c r="X101" s="56"/>
      <c r="Y101" s="56"/>
      <c r="AA101" s="5"/>
    </row>
    <row r="102" spans="7:27" s="16" customFormat="1" x14ac:dyDescent="0.25">
      <c r="AA102" s="5"/>
    </row>
    <row r="103" spans="7:27" s="16" customFormat="1" ht="13.2" thickBot="1" x14ac:dyDescent="0.3">
      <c r="G103" s="57"/>
      <c r="I103" s="57"/>
      <c r="J103" s="57"/>
      <c r="L103" s="57"/>
      <c r="M103" s="57"/>
      <c r="N103" s="57"/>
      <c r="O103" s="57"/>
      <c r="P103" s="57"/>
      <c r="Q103" s="57"/>
      <c r="R103" s="57"/>
      <c r="S103" s="57"/>
      <c r="T103" s="57"/>
      <c r="U103" s="57"/>
      <c r="V103" s="57"/>
      <c r="W103" s="57"/>
      <c r="X103" s="57"/>
      <c r="Y103" s="57"/>
      <c r="AA103" s="5"/>
    </row>
    <row r="104" spans="7:27" ht="13.2" thickTop="1" x14ac:dyDescent="0.25"/>
    <row r="105" spans="7:27" x14ac:dyDescent="0.25">
      <c r="W105" s="58"/>
      <c r="X105" s="58"/>
      <c r="Y105" s="58"/>
    </row>
    <row r="106" spans="7:27" x14ac:dyDescent="0.25">
      <c r="W106" s="58"/>
      <c r="AA106" s="58"/>
    </row>
  </sheetData>
  <phoneticPr fontId="0" type="noConversion"/>
  <printOptions horizontalCentered="1"/>
  <pageMargins left="0" right="0" top="0.52" bottom="0.44" header="0" footer="0"/>
  <pageSetup scale="77" orientation="portrait" horizontalDpi="4294967292" verticalDpi="4294967292" r:id="rId1"/>
  <headerFooter alignWithMargins="0">
    <oddFooter>&amp;R&amp;"Helv,Regular"&amp;6\\SERVER1\PUBLIC\EXCEL&amp;F,&amp;A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
  <sheetViews>
    <sheetView showGridLines="0" zoomScaleNormal="100" workbookViewId="0">
      <pane ySplit="4" topLeftCell="A38" activePane="bottomLeft" state="frozenSplit"/>
      <selection activeCell="G25" sqref="G25"/>
      <selection pane="bottomLeft" activeCell="R8" sqref="R8"/>
    </sheetView>
  </sheetViews>
  <sheetFormatPr defaultColWidth="9.109375" defaultRowHeight="12.6" outlineLevelRow="1" x14ac:dyDescent="0.25"/>
  <cols>
    <col min="1" max="1" width="24.6640625" style="5" customWidth="1"/>
    <col min="2" max="2" width="10.109375" style="5" customWidth="1"/>
    <col min="3" max="3" width="4.44140625" style="5" customWidth="1"/>
    <col min="4" max="4" width="11.33203125" style="5" customWidth="1"/>
    <col min="5" max="5" width="7" style="5" customWidth="1"/>
    <col min="6" max="6" width="13" style="5" customWidth="1"/>
    <col min="7" max="7" width="8.6640625" style="5" customWidth="1"/>
    <col min="8" max="8" width="4.6640625" style="5" bestFit="1" customWidth="1"/>
    <col min="9" max="9" width="9.88671875" style="5" bestFit="1" customWidth="1"/>
    <col min="10" max="10" width="9.44140625" style="5" customWidth="1"/>
    <col min="11" max="11" width="4.6640625" style="5" bestFit="1" customWidth="1"/>
    <col min="12" max="13" width="9.5546875" style="5" customWidth="1"/>
    <col min="14" max="14" width="9.5546875" style="5" hidden="1" customWidth="1"/>
    <col min="15" max="15" width="15.33203125" style="5" hidden="1" customWidth="1"/>
    <col min="16" max="16" width="36.6640625" style="5" hidden="1" customWidth="1"/>
    <col min="17" max="22" width="9.5546875" style="5" customWidth="1"/>
    <col min="23" max="24" width="10.44140625" style="5" customWidth="1"/>
    <col min="25" max="25" width="9.88671875" style="5" customWidth="1"/>
    <col min="26" max="26" width="9.109375" style="5"/>
    <col min="27" max="27" width="10.44140625" style="5" customWidth="1"/>
    <col min="28" max="16384" width="9.109375" style="5"/>
  </cols>
  <sheetData>
    <row r="1" spans="1:27" ht="13.2" x14ac:dyDescent="0.25">
      <c r="A1" s="1" t="s">
        <v>107</v>
      </c>
      <c r="B1" s="2"/>
      <c r="C1" s="2"/>
      <c r="D1" s="2"/>
      <c r="E1" s="2"/>
      <c r="F1" s="2"/>
      <c r="G1" s="3"/>
      <c r="H1" s="2"/>
      <c r="I1" s="2"/>
      <c r="J1" s="1" t="s">
        <v>76</v>
      </c>
      <c r="K1" s="2"/>
      <c r="L1" s="2"/>
      <c r="M1" s="2"/>
      <c r="N1" s="2"/>
      <c r="O1" s="2"/>
      <c r="P1" s="2"/>
      <c r="Q1" s="2"/>
      <c r="R1" s="2"/>
      <c r="S1" s="2"/>
      <c r="T1" s="2"/>
      <c r="U1" s="2"/>
      <c r="V1" s="2"/>
      <c r="W1" s="4"/>
      <c r="X1" s="4"/>
      <c r="Y1" s="4"/>
      <c r="Z1" s="4"/>
      <c r="AA1" s="4"/>
    </row>
    <row r="2" spans="1:27" x14ac:dyDescent="0.25">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5">
      <c r="A3" s="6" t="str">
        <f>"For the Year Ended April "&amp;YEAR(A22)</f>
        <v>For the Year Ended April 2020</v>
      </c>
      <c r="B3" s="2"/>
      <c r="C3" s="2"/>
      <c r="D3" s="2"/>
      <c r="E3" s="2"/>
      <c r="F3" s="3"/>
      <c r="G3" s="3"/>
      <c r="H3" s="2"/>
      <c r="I3" s="2"/>
      <c r="J3" s="2"/>
      <c r="K3" s="2"/>
      <c r="L3" s="2"/>
      <c r="M3" s="2"/>
      <c r="N3" s="2"/>
      <c r="O3" s="2"/>
      <c r="P3" s="2"/>
      <c r="Q3" s="2"/>
      <c r="R3" s="2"/>
      <c r="S3" s="2"/>
      <c r="T3" s="2"/>
      <c r="U3" s="2"/>
      <c r="V3" s="2"/>
      <c r="W3" s="3"/>
      <c r="X3" s="3"/>
      <c r="Y3" s="3"/>
      <c r="Z3" s="3"/>
      <c r="AA3" s="3"/>
    </row>
    <row r="4" spans="1:27" x14ac:dyDescent="0.25">
      <c r="A4" s="6" t="s">
        <v>1</v>
      </c>
      <c r="B4" s="8"/>
      <c r="C4" s="8"/>
      <c r="D4" s="8"/>
      <c r="E4" s="8"/>
      <c r="F4" s="8"/>
      <c r="G4" s="2"/>
      <c r="H4" s="8"/>
      <c r="I4" s="2"/>
      <c r="J4" s="2"/>
      <c r="K4" s="8"/>
      <c r="L4" s="2"/>
      <c r="M4" s="2"/>
      <c r="N4" s="2"/>
      <c r="O4" s="2"/>
      <c r="P4" s="2"/>
      <c r="Q4" s="2"/>
      <c r="R4" s="2"/>
      <c r="S4" s="2"/>
      <c r="T4" s="2"/>
      <c r="U4" s="2"/>
      <c r="V4" s="2"/>
    </row>
    <row r="5" spans="1:27" x14ac:dyDescent="0.25">
      <c r="A5" s="9"/>
      <c r="B5" s="10"/>
      <c r="C5" s="11"/>
      <c r="D5" s="11"/>
      <c r="E5" s="11"/>
      <c r="F5" s="12" t="s">
        <v>2</v>
      </c>
      <c r="G5" s="11"/>
      <c r="H5" s="11"/>
      <c r="I5" s="11"/>
      <c r="J5" s="11"/>
      <c r="K5" s="11"/>
      <c r="L5" s="2"/>
      <c r="M5" s="2"/>
      <c r="N5" s="2"/>
      <c r="O5" s="138" t="str">
        <f>"Total "&amp;F5</f>
        <v>Total Commodity</v>
      </c>
      <c r="P5" s="139"/>
      <c r="Q5" s="2"/>
      <c r="R5" s="2"/>
      <c r="S5" s="2"/>
      <c r="T5" s="2"/>
      <c r="U5" s="2"/>
      <c r="V5" s="13"/>
      <c r="W5" s="14"/>
      <c r="X5" s="14"/>
      <c r="Y5" s="14"/>
      <c r="AA5" s="14"/>
    </row>
    <row r="6" spans="1:27" s="16" customFormat="1" ht="10.199999999999999" x14ac:dyDescent="0.2">
      <c r="A6" s="15"/>
      <c r="B6" s="12"/>
      <c r="C6" s="12"/>
      <c r="D6" s="12" t="s">
        <v>2</v>
      </c>
      <c r="E6" s="12"/>
      <c r="F6" s="12" t="s">
        <v>3</v>
      </c>
      <c r="G6" s="12"/>
      <c r="H6" s="12"/>
      <c r="I6" s="12"/>
      <c r="J6" s="12" t="s">
        <v>4</v>
      </c>
      <c r="K6" s="12"/>
      <c r="O6" s="140" t="str">
        <f>+F6</f>
        <v>Revenue</v>
      </c>
      <c r="P6" s="112"/>
    </row>
    <row r="7" spans="1:27" s="16" customFormat="1" ht="10.199999999999999" x14ac:dyDescent="0.2">
      <c r="A7" s="15" t="s">
        <v>5</v>
      </c>
      <c r="B7" s="12" t="s">
        <v>6</v>
      </c>
      <c r="C7" s="12"/>
      <c r="D7" s="12" t="s">
        <v>3</v>
      </c>
      <c r="E7" s="12"/>
      <c r="F7" s="12" t="s">
        <v>7</v>
      </c>
      <c r="G7" s="12"/>
      <c r="H7" s="12"/>
      <c r="I7" s="12"/>
      <c r="J7" s="12" t="s">
        <v>6</v>
      </c>
      <c r="K7" s="12"/>
      <c r="O7" s="140" t="str">
        <f>+F7</f>
        <v>per Customer</v>
      </c>
      <c r="P7" s="112"/>
    </row>
    <row r="8" spans="1:27" s="16" customFormat="1" ht="10.199999999999999" x14ac:dyDescent="0.2">
      <c r="A8" s="127">
        <f>'Single Family'!$C$6</f>
        <v>43586</v>
      </c>
      <c r="B8" s="156">
        <v>4986</v>
      </c>
      <c r="C8" s="113"/>
      <c r="D8" s="114">
        <f>VLOOKUP(A8,Value!$A$6:$O$17,15,)</f>
        <v>1629.3007697039998</v>
      </c>
      <c r="E8" s="113"/>
      <c r="F8" s="16">
        <f t="shared" ref="F8:F22" si="0">ROUND(D8/B8,2)</f>
        <v>0.33</v>
      </c>
      <c r="G8" s="113"/>
      <c r="H8" s="113"/>
      <c r="I8" s="113"/>
      <c r="J8" s="14">
        <f t="shared" ref="J8:J18" si="1">+B8</f>
        <v>4986</v>
      </c>
      <c r="K8" s="13">
        <f t="shared" ref="K8:K18" si="2">YEAR(A8)</f>
        <v>2019</v>
      </c>
      <c r="O8" s="141">
        <f>VLOOKUP(A8,Value!$A$6:$O$17,13,FALSE)</f>
        <v>3258.6015394079996</v>
      </c>
      <c r="P8" s="112"/>
    </row>
    <row r="9" spans="1:27" s="16" customFormat="1" ht="10.199999999999999" x14ac:dyDescent="0.2">
      <c r="A9" s="17">
        <f t="shared" ref="A9:A18" si="3">EOMONTH(A8,1)</f>
        <v>43646</v>
      </c>
      <c r="B9" s="156">
        <v>5043</v>
      </c>
      <c r="C9" s="20"/>
      <c r="D9" s="114">
        <f>VLOOKUP(A9,Value!$A$6:$O$17,15,)</f>
        <v>1082.7465939220001</v>
      </c>
      <c r="E9" s="14"/>
      <c r="F9" s="16">
        <f t="shared" si="0"/>
        <v>0.21</v>
      </c>
      <c r="G9" s="14"/>
      <c r="H9" s="14"/>
      <c r="I9" s="14"/>
      <c r="J9" s="14">
        <f t="shared" si="1"/>
        <v>5043</v>
      </c>
      <c r="K9" s="13">
        <f t="shared" si="2"/>
        <v>2019</v>
      </c>
      <c r="O9" s="141">
        <f>VLOOKUP(A9,Value!$A$6:$O$17,13,FALSE)</f>
        <v>2165.4931878440002</v>
      </c>
      <c r="P9" s="112"/>
    </row>
    <row r="10" spans="1:27" s="16" customFormat="1" ht="10.199999999999999" x14ac:dyDescent="0.2">
      <c r="A10" s="17">
        <f t="shared" si="3"/>
        <v>43677</v>
      </c>
      <c r="B10" s="156">
        <v>5094</v>
      </c>
      <c r="C10" s="14"/>
      <c r="D10" s="114">
        <f>VLOOKUP(A10,Value!$A$6:$O$17,15,)</f>
        <v>1030.9157946280002</v>
      </c>
      <c r="E10" s="14"/>
      <c r="F10" s="16">
        <f t="shared" si="0"/>
        <v>0.2</v>
      </c>
      <c r="G10" s="14"/>
      <c r="H10" s="14"/>
      <c r="I10" s="14"/>
      <c r="J10" s="14">
        <f t="shared" si="1"/>
        <v>5094</v>
      </c>
      <c r="K10" s="13">
        <f t="shared" si="2"/>
        <v>2019</v>
      </c>
      <c r="O10" s="141">
        <f>VLOOKUP(A10,Value!$A$6:$O$17,13,FALSE)</f>
        <v>2061.8315892560004</v>
      </c>
      <c r="P10" s="112"/>
    </row>
    <row r="11" spans="1:27" s="16" customFormat="1" ht="10.199999999999999" x14ac:dyDescent="0.2">
      <c r="A11" s="17">
        <f>EOMONTH(A10,1)</f>
        <v>43708</v>
      </c>
      <c r="B11" s="157">
        <v>5045</v>
      </c>
      <c r="C11" s="14"/>
      <c r="D11" s="114">
        <f>VLOOKUP(A11,Value!$A$6:$O$17,15,)</f>
        <v>656.00540399199997</v>
      </c>
      <c r="E11" s="14"/>
      <c r="F11" s="16">
        <f t="shared" si="0"/>
        <v>0.13</v>
      </c>
      <c r="G11" s="23"/>
      <c r="H11" s="14"/>
      <c r="I11" s="14"/>
      <c r="J11" s="14">
        <f t="shared" si="1"/>
        <v>5045</v>
      </c>
      <c r="K11" s="13">
        <f t="shared" si="2"/>
        <v>2019</v>
      </c>
      <c r="O11" s="141">
        <f>VLOOKUP(A11,Value!$A$6:$O$17,13,FALSE)</f>
        <v>1312.0108079839999</v>
      </c>
      <c r="P11" s="112"/>
    </row>
    <row r="12" spans="1:27" s="16" customFormat="1" ht="10.199999999999999" x14ac:dyDescent="0.2">
      <c r="A12" s="17">
        <f t="shared" si="3"/>
        <v>43738</v>
      </c>
      <c r="B12" s="157">
        <v>5093</v>
      </c>
      <c r="C12" s="14"/>
      <c r="D12" s="114">
        <f>VLOOKUP(A12,Value!$A$6:$O$17,15,)</f>
        <v>559.63929870800018</v>
      </c>
      <c r="E12" s="14"/>
      <c r="F12" s="16">
        <f t="shared" si="0"/>
        <v>0.11</v>
      </c>
      <c r="G12" s="23"/>
      <c r="H12" s="14"/>
      <c r="I12" s="14"/>
      <c r="J12" s="14">
        <f t="shared" si="1"/>
        <v>5093</v>
      </c>
      <c r="K12" s="13">
        <f t="shared" si="2"/>
        <v>2019</v>
      </c>
      <c r="O12" s="141">
        <f>VLOOKUP(A12,Value!$A$6:$O$17,13,FALSE)</f>
        <v>1119.2785974160004</v>
      </c>
      <c r="P12" s="112"/>
    </row>
    <row r="13" spans="1:27" s="16" customFormat="1" ht="10.199999999999999" x14ac:dyDescent="0.2">
      <c r="A13" s="17">
        <f t="shared" si="3"/>
        <v>43769</v>
      </c>
      <c r="B13" s="157">
        <v>5113</v>
      </c>
      <c r="C13" s="14"/>
      <c r="D13" s="114">
        <f>VLOOKUP(A13,Value!$A$6:$O$17,15,)</f>
        <v>77.217286300000524</v>
      </c>
      <c r="E13" s="14"/>
      <c r="F13" s="16">
        <f t="shared" si="0"/>
        <v>0.02</v>
      </c>
      <c r="G13" s="23"/>
      <c r="H13" s="14"/>
      <c r="I13" s="14"/>
      <c r="J13" s="14">
        <f t="shared" si="1"/>
        <v>5113</v>
      </c>
      <c r="K13" s="13">
        <f t="shared" si="2"/>
        <v>2019</v>
      </c>
      <c r="O13" s="141">
        <f>VLOOKUP(A13,Value!$A$6:$O$17,13,FALSE)</f>
        <v>154.43457260000105</v>
      </c>
      <c r="P13" s="112"/>
    </row>
    <row r="14" spans="1:27" s="16" customFormat="1" ht="10.199999999999999" x14ac:dyDescent="0.2">
      <c r="A14" s="17"/>
      <c r="B14" s="114"/>
      <c r="C14" s="14"/>
      <c r="D14" s="114"/>
      <c r="E14" s="14"/>
      <c r="G14" s="23"/>
      <c r="H14" s="14"/>
      <c r="I14" s="14"/>
      <c r="J14" s="14"/>
      <c r="K14" s="13"/>
      <c r="O14" s="141"/>
      <c r="P14" s="112"/>
    </row>
    <row r="15" spans="1:27" s="16" customFormat="1" ht="10.199999999999999" x14ac:dyDescent="0.2">
      <c r="A15" s="17" t="s">
        <v>90</v>
      </c>
      <c r="B15" s="162">
        <f>SUM(B8:B13)</f>
        <v>30374</v>
      </c>
      <c r="C15" s="14"/>
      <c r="D15" s="18">
        <f>SUM(D8:D13)</f>
        <v>5035.8251472540005</v>
      </c>
      <c r="E15" s="14"/>
      <c r="G15" s="23"/>
      <c r="H15" s="14"/>
      <c r="I15" s="14"/>
      <c r="J15" s="14"/>
      <c r="K15" s="13"/>
      <c r="O15" s="141"/>
      <c r="P15" s="112"/>
    </row>
    <row r="16" spans="1:27" s="16" customFormat="1" ht="10.199999999999999" x14ac:dyDescent="0.2">
      <c r="A16" s="17"/>
      <c r="B16" s="114"/>
      <c r="C16" s="14"/>
      <c r="D16" s="114"/>
      <c r="E16" s="14"/>
      <c r="G16" s="23"/>
      <c r="H16" s="14"/>
      <c r="I16" s="14"/>
      <c r="J16" s="14"/>
      <c r="K16" s="13"/>
      <c r="O16" s="141"/>
      <c r="P16" s="112"/>
    </row>
    <row r="17" spans="1:27" s="16" customFormat="1" ht="10.199999999999999" x14ac:dyDescent="0.2">
      <c r="A17" s="17">
        <f>EOMONTH(A13,1)</f>
        <v>43799</v>
      </c>
      <c r="B17" s="157">
        <v>5088</v>
      </c>
      <c r="C17" s="14"/>
      <c r="D17" s="114">
        <f>VLOOKUP(A17,Value!$A$6:$O$17,15,)</f>
        <v>616.0409501200005</v>
      </c>
      <c r="E17" s="14"/>
      <c r="F17" s="16">
        <f t="shared" si="0"/>
        <v>0.12</v>
      </c>
      <c r="G17" s="23"/>
      <c r="H17" s="14"/>
      <c r="I17" s="14"/>
      <c r="J17" s="14">
        <f t="shared" si="1"/>
        <v>5088</v>
      </c>
      <c r="K17" s="13">
        <f t="shared" si="2"/>
        <v>2019</v>
      </c>
      <c r="O17" s="141">
        <f>VLOOKUP(A17,Value!$A$6:$O$17,13,FALSE)</f>
        <v>1232.081900240001</v>
      </c>
      <c r="P17" s="112"/>
    </row>
    <row r="18" spans="1:27" s="16" customFormat="1" ht="10.199999999999999" x14ac:dyDescent="0.2">
      <c r="A18" s="17">
        <f t="shared" si="3"/>
        <v>43830</v>
      </c>
      <c r="B18" s="157">
        <v>5143</v>
      </c>
      <c r="C18" s="14"/>
      <c r="D18" s="114">
        <f>VLOOKUP(A18,Value!$A$6:$O$17,15,)</f>
        <v>698.58092930400028</v>
      </c>
      <c r="E18" s="14"/>
      <c r="F18" s="16">
        <f t="shared" si="0"/>
        <v>0.14000000000000001</v>
      </c>
      <c r="G18" s="23"/>
      <c r="H18" s="14"/>
      <c r="I18" s="14"/>
      <c r="J18" s="14">
        <f t="shared" si="1"/>
        <v>5143</v>
      </c>
      <c r="K18" s="13">
        <f t="shared" si="2"/>
        <v>2019</v>
      </c>
      <c r="O18" s="141">
        <f>VLOOKUP(A18,Value!$A$6:$O$17,13,FALSE)</f>
        <v>1397.1618586080006</v>
      </c>
      <c r="P18" s="112"/>
    </row>
    <row r="19" spans="1:27" s="16" customFormat="1" ht="10.199999999999999" x14ac:dyDescent="0.2">
      <c r="A19" s="17">
        <f>EOMONTH(A18,1)</f>
        <v>43861</v>
      </c>
      <c r="B19" s="157">
        <v>5149</v>
      </c>
      <c r="C19" s="14"/>
      <c r="D19" s="114">
        <f>VLOOKUP(A19,Value!$A$6:$O$17,15,)</f>
        <v>38.742365024000037</v>
      </c>
      <c r="E19" s="14"/>
      <c r="F19" s="16">
        <f t="shared" si="0"/>
        <v>0.01</v>
      </c>
      <c r="G19" s="23"/>
      <c r="H19" s="14"/>
      <c r="I19" s="14"/>
      <c r="J19" s="14">
        <f>+B19</f>
        <v>5149</v>
      </c>
      <c r="K19" s="13">
        <f>YEAR(A19)</f>
        <v>2020</v>
      </c>
      <c r="O19" s="141">
        <f>VLOOKUP(A19,Value!$A$6:$O$17,13,FALSE)</f>
        <v>77.484730048000074</v>
      </c>
      <c r="P19" s="112"/>
      <c r="X19" s="14"/>
      <c r="Y19" s="14"/>
    </row>
    <row r="20" spans="1:27" s="16" customFormat="1" ht="10.199999999999999" x14ac:dyDescent="0.2">
      <c r="A20" s="17">
        <f>EOMONTH(A19,1)</f>
        <v>43890</v>
      </c>
      <c r="B20" s="157">
        <v>5084</v>
      </c>
      <c r="C20" s="14"/>
      <c r="D20" s="114">
        <f>VLOOKUP(A20,Value!$A$6:$O$17,15,)</f>
        <v>326.52579506400025</v>
      </c>
      <c r="E20" s="14"/>
      <c r="F20" s="16">
        <f t="shared" si="0"/>
        <v>0.06</v>
      </c>
      <c r="G20" s="23"/>
      <c r="H20" s="14"/>
      <c r="I20" s="14"/>
      <c r="J20" s="14">
        <f>+B20</f>
        <v>5084</v>
      </c>
      <c r="K20" s="13">
        <f>YEAR(A20)</f>
        <v>2020</v>
      </c>
      <c r="L20" s="14"/>
      <c r="M20" s="14"/>
      <c r="N20" s="14"/>
      <c r="O20" s="141">
        <f>VLOOKUP(A20,Value!$A$6:$O$17,13,FALSE)</f>
        <v>653.0515901280005</v>
      </c>
      <c r="P20" s="35"/>
      <c r="Q20" s="14"/>
      <c r="R20" s="14"/>
      <c r="S20" s="14"/>
      <c r="T20" s="14"/>
      <c r="U20" s="14"/>
      <c r="V20" s="14"/>
      <c r="W20" s="14"/>
      <c r="Y20" s="14"/>
      <c r="AA20" s="14"/>
    </row>
    <row r="21" spans="1:27" s="16" customFormat="1" ht="10.199999999999999" x14ac:dyDescent="0.2">
      <c r="A21" s="17">
        <f>EOMONTH(A20,1)</f>
        <v>43921</v>
      </c>
      <c r="B21" s="157">
        <v>5149</v>
      </c>
      <c r="C21" s="14"/>
      <c r="D21" s="114">
        <f>VLOOKUP(A21,Value!$A$6:$O$17,15,)</f>
        <v>782.49652546000038</v>
      </c>
      <c r="E21" s="14"/>
      <c r="F21" s="16">
        <f t="shared" si="0"/>
        <v>0.15</v>
      </c>
      <c r="G21" s="23"/>
      <c r="H21" s="20"/>
      <c r="I21" s="14"/>
      <c r="J21" s="14">
        <f>+B21</f>
        <v>5149</v>
      </c>
      <c r="K21" s="13">
        <f>YEAR(A21)</f>
        <v>2020</v>
      </c>
      <c r="O21" s="141">
        <f>VLOOKUP(A21,Value!$A$6:$O$17,13,FALSE)</f>
        <v>1564.9930509200008</v>
      </c>
      <c r="P21" s="112"/>
    </row>
    <row r="22" spans="1:27" s="16" customFormat="1" ht="10.199999999999999" x14ac:dyDescent="0.2">
      <c r="A22" s="17">
        <f>EOMONTH(A21,1)</f>
        <v>43951</v>
      </c>
      <c r="B22" s="157">
        <v>5176</v>
      </c>
      <c r="C22" s="14"/>
      <c r="D22" s="114">
        <f>VLOOKUP(A22,Value!$A$6:$O$17,15,)</f>
        <v>566.916614656001</v>
      </c>
      <c r="E22" s="14"/>
      <c r="F22" s="16">
        <f t="shared" si="0"/>
        <v>0.11</v>
      </c>
      <c r="G22" s="23"/>
      <c r="H22" s="20"/>
      <c r="I22" s="14"/>
      <c r="J22" s="14">
        <f>+B22</f>
        <v>5176</v>
      </c>
      <c r="K22" s="13">
        <f>YEAR(A22)</f>
        <v>2020</v>
      </c>
      <c r="O22" s="141">
        <f>VLOOKUP(A22,Value!$A$6:$O$17,13,FALSE)</f>
        <v>1133.833229312002</v>
      </c>
      <c r="P22" s="112"/>
    </row>
    <row r="23" spans="1:27" s="16" customFormat="1" ht="10.199999999999999" x14ac:dyDescent="0.2">
      <c r="A23" s="17"/>
      <c r="B23" s="14"/>
      <c r="C23" s="14"/>
      <c r="E23" s="14"/>
      <c r="G23" s="14"/>
      <c r="H23" s="14"/>
      <c r="I23" s="14"/>
      <c r="J23" s="14"/>
      <c r="K23" s="13"/>
      <c r="O23" s="142"/>
    </row>
    <row r="24" spans="1:27" s="16" customFormat="1" ht="10.199999999999999" x14ac:dyDescent="0.2">
      <c r="A24" s="17" t="s">
        <v>82</v>
      </c>
      <c r="B24" s="21">
        <f>SUM(B17:B22)</f>
        <v>30789</v>
      </c>
      <c r="D24" s="22">
        <f>SUM(D17:D22)</f>
        <v>3029.3031796280025</v>
      </c>
      <c r="E24" s="14"/>
      <c r="G24" s="14"/>
      <c r="H24" s="14"/>
      <c r="I24" s="14"/>
      <c r="J24" s="14"/>
      <c r="K24" s="13"/>
      <c r="O24" s="142"/>
      <c r="P24" s="143" t="s">
        <v>77</v>
      </c>
    </row>
    <row r="25" spans="1:27" x14ac:dyDescent="0.25">
      <c r="D25" s="25"/>
      <c r="O25" s="142">
        <f>SUM(O8:O24)</f>
        <v>16130.256653764005</v>
      </c>
      <c r="P25" s="119"/>
    </row>
    <row r="26" spans="1:27" s="16" customFormat="1" ht="10.8" thickBot="1" x14ac:dyDescent="0.25">
      <c r="A26" s="26"/>
      <c r="B26" s="27">
        <f>B15+B24</f>
        <v>61163</v>
      </c>
      <c r="C26" s="20" t="s">
        <v>9</v>
      </c>
      <c r="D26" s="28">
        <f>D15+D24</f>
        <v>8065.1283268820025</v>
      </c>
      <c r="E26" s="20" t="s">
        <v>10</v>
      </c>
      <c r="F26" s="23">
        <f>ROUND(D26/B26,3)</f>
        <v>0.13200000000000001</v>
      </c>
      <c r="H26" s="14"/>
      <c r="I26" s="14"/>
      <c r="J26" s="27">
        <f>SUM(J8:J25)</f>
        <v>61163</v>
      </c>
      <c r="K26" s="20" t="s">
        <v>12</v>
      </c>
      <c r="O26" s="144">
        <f>ROUND(O25/J26,3)</f>
        <v>0.26400000000000001</v>
      </c>
      <c r="P26" s="112" t="s">
        <v>78</v>
      </c>
    </row>
    <row r="27" spans="1:27" s="16" customFormat="1" ht="10.8" thickTop="1" x14ac:dyDescent="0.2">
      <c r="B27" s="14"/>
      <c r="C27" s="14"/>
      <c r="D27" s="14"/>
      <c r="E27" s="14"/>
      <c r="F27" s="14"/>
      <c r="G27" s="14"/>
      <c r="H27" s="14"/>
      <c r="I27" s="14"/>
      <c r="J27" s="14"/>
      <c r="K27" s="14"/>
      <c r="O27" s="145">
        <f>J22</f>
        <v>5176</v>
      </c>
      <c r="P27" s="112" t="s">
        <v>79</v>
      </c>
    </row>
    <row r="28" spans="1:27" s="16" customFormat="1" ht="10.199999999999999" x14ac:dyDescent="0.2">
      <c r="B28" s="14"/>
      <c r="C28" s="14"/>
      <c r="D28" s="14"/>
      <c r="E28" s="14"/>
      <c r="F28" s="14"/>
      <c r="G28" s="14"/>
      <c r="H28" s="14"/>
      <c r="I28" s="14"/>
      <c r="J28" s="14"/>
      <c r="K28" s="14"/>
      <c r="O28" s="112"/>
      <c r="P28" s="112"/>
    </row>
    <row r="29" spans="1:27" s="16" customFormat="1" ht="10.199999999999999" x14ac:dyDescent="0.2">
      <c r="B29" s="14"/>
      <c r="C29" s="14"/>
      <c r="D29" s="14"/>
      <c r="E29" s="14"/>
      <c r="F29" s="14"/>
      <c r="G29" s="14"/>
      <c r="H29" s="14"/>
      <c r="I29" s="14"/>
      <c r="J29" s="14"/>
      <c r="K29" s="14"/>
      <c r="O29" s="112"/>
      <c r="P29" s="112"/>
    </row>
    <row r="30" spans="1:27" s="16" customFormat="1" ht="10.8" thickBot="1" x14ac:dyDescent="0.25">
      <c r="B30" s="29" t="s">
        <v>108</v>
      </c>
      <c r="C30" s="30"/>
      <c r="D30" s="30"/>
      <c r="E30" s="30"/>
      <c r="F30" s="14"/>
      <c r="G30" s="14"/>
      <c r="H30" s="14"/>
      <c r="I30" s="14"/>
      <c r="J30" s="14"/>
      <c r="K30" s="14"/>
    </row>
    <row r="31" spans="1:27" s="16" customFormat="1" ht="10.8" thickTop="1" x14ac:dyDescent="0.2">
      <c r="A31" s="6"/>
      <c r="B31" s="31"/>
      <c r="C31" s="14"/>
      <c r="D31" s="14"/>
      <c r="E31" s="14"/>
      <c r="F31" s="14"/>
      <c r="G31" s="14"/>
      <c r="H31" s="14"/>
      <c r="I31" s="14"/>
      <c r="J31" s="14"/>
      <c r="K31" s="14"/>
      <c r="X31" s="14"/>
      <c r="Y31" s="14"/>
    </row>
    <row r="32" spans="1:27" s="16" customFormat="1" ht="10.199999999999999" x14ac:dyDescent="0.2">
      <c r="A32" s="8"/>
      <c r="B32" s="31"/>
      <c r="C32" s="14"/>
      <c r="D32" s="14"/>
      <c r="E32" s="14"/>
      <c r="F32" s="32" t="s">
        <v>14</v>
      </c>
      <c r="G32" s="14">
        <f>D26</f>
        <v>8065.1283268820025</v>
      </c>
      <c r="H32" s="20" t="s">
        <v>10</v>
      </c>
      <c r="I32" s="14"/>
      <c r="J32" s="14"/>
      <c r="K32" s="14"/>
    </row>
    <row r="33" spans="1:27" s="13" customFormat="1" ht="10.199999999999999" x14ac:dyDescent="0.2">
      <c r="A33" s="33"/>
      <c r="B33" s="31"/>
      <c r="C33" s="14"/>
      <c r="D33" s="14"/>
      <c r="E33" s="14"/>
      <c r="F33" s="14"/>
      <c r="G33" s="14"/>
      <c r="H33" s="20"/>
      <c r="I33" s="14"/>
      <c r="J33" s="14"/>
      <c r="K33" s="14"/>
      <c r="O33" s="16">
        <f>12*O27*O26</f>
        <v>16397.567999999999</v>
      </c>
      <c r="P33" s="13" t="s">
        <v>80</v>
      </c>
      <c r="W33" s="14"/>
      <c r="X33" s="16"/>
      <c r="Y33" s="16"/>
      <c r="AA33" s="14"/>
    </row>
    <row r="34" spans="1:27" s="16" customFormat="1" ht="10.199999999999999" hidden="1" outlineLevel="1" x14ac:dyDescent="0.2">
      <c r="A34" s="16" t="s">
        <v>113</v>
      </c>
      <c r="B34" s="14" t="s">
        <v>15</v>
      </c>
      <c r="C34" s="14"/>
      <c r="D34" s="14"/>
      <c r="E34" s="14"/>
      <c r="F34" s="155"/>
      <c r="G34" s="14"/>
      <c r="H34" s="14"/>
      <c r="I34" s="14"/>
      <c r="J34" s="14"/>
      <c r="K34" s="14"/>
      <c r="O34" s="16">
        <f>12*O27*G57</f>
        <v>8198.7839999999997</v>
      </c>
      <c r="P34" s="16" t="s">
        <v>81</v>
      </c>
    </row>
    <row r="35" spans="1:27" s="16" customFormat="1" ht="10.199999999999999" hidden="1" outlineLevel="1" x14ac:dyDescent="0.2">
      <c r="B35" s="14"/>
      <c r="C35" s="14" t="s">
        <v>91</v>
      </c>
      <c r="D35" s="14"/>
      <c r="E35" s="14"/>
      <c r="F35" s="14">
        <f>SUM(B8:B13)</f>
        <v>30374</v>
      </c>
      <c r="G35" s="20" t="s">
        <v>8</v>
      </c>
      <c r="H35" s="14"/>
      <c r="I35" s="14"/>
      <c r="J35" s="14"/>
      <c r="K35" s="14"/>
      <c r="O35" s="146">
        <f>+O34/O33</f>
        <v>0.5</v>
      </c>
    </row>
    <row r="36" spans="1:27" s="16" customFormat="1" ht="10.199999999999999" hidden="1" outlineLevel="1" x14ac:dyDescent="0.2">
      <c r="B36" s="14"/>
      <c r="C36" s="14" t="s">
        <v>16</v>
      </c>
      <c r="D36" s="14"/>
      <c r="E36" s="14"/>
      <c r="F36" s="21">
        <f>ROUND(F34*F35,0)</f>
        <v>0</v>
      </c>
      <c r="G36" s="20"/>
      <c r="H36" s="14"/>
      <c r="I36" s="14"/>
      <c r="J36" s="14"/>
      <c r="K36" s="14"/>
    </row>
    <row r="37" spans="1:27" s="16" customFormat="1" ht="10.199999999999999" hidden="1" outlineLevel="1" x14ac:dyDescent="0.2">
      <c r="B37" s="14"/>
      <c r="C37" s="14"/>
      <c r="D37" s="14"/>
      <c r="E37" s="14"/>
      <c r="F37" s="35"/>
      <c r="G37" s="20"/>
      <c r="H37" s="14"/>
      <c r="I37" s="14"/>
      <c r="J37" s="14"/>
      <c r="K37" s="14"/>
      <c r="L37" s="14"/>
      <c r="M37" s="14"/>
      <c r="N37" s="14"/>
      <c r="O37" s="14"/>
      <c r="P37" s="14"/>
      <c r="Q37" s="14"/>
    </row>
    <row r="38" spans="1:27" s="16" customFormat="1" ht="10.8" collapsed="1" thickBot="1" x14ac:dyDescent="0.25">
      <c r="B38" s="14" t="s">
        <v>15</v>
      </c>
      <c r="C38" s="14"/>
      <c r="D38" s="14"/>
      <c r="E38" s="14"/>
      <c r="F38" s="40">
        <v>0.27700000000000002</v>
      </c>
      <c r="G38" s="14"/>
      <c r="H38" s="14"/>
      <c r="I38" s="14"/>
      <c r="J38" s="14"/>
      <c r="K38" s="14"/>
      <c r="L38" s="14"/>
      <c r="M38" s="14"/>
      <c r="N38" s="14"/>
      <c r="O38" s="14"/>
      <c r="P38" s="14"/>
      <c r="Q38" s="14"/>
    </row>
    <row r="39" spans="1:27" s="16" customFormat="1" ht="10.8" thickTop="1" x14ac:dyDescent="0.2">
      <c r="B39" s="14"/>
      <c r="C39" s="14" t="str">
        <f>"Customers from "&amp;TEXT($A$21,"mm/yy")&amp;" - "&amp;TEXT($A$22,"mm/yy")</f>
        <v>Customers from 03/20 - 04/20</v>
      </c>
      <c r="D39" s="14"/>
      <c r="E39" s="14"/>
      <c r="F39" s="14">
        <f>B26</f>
        <v>61163</v>
      </c>
      <c r="G39" s="20" t="s">
        <v>9</v>
      </c>
      <c r="H39" s="14"/>
      <c r="I39" s="14"/>
      <c r="J39" s="14"/>
      <c r="K39" s="14"/>
    </row>
    <row r="40" spans="1:27" s="16" customFormat="1" ht="10.199999999999999" x14ac:dyDescent="0.2">
      <c r="B40" s="14"/>
      <c r="C40" s="14" t="s">
        <v>16</v>
      </c>
      <c r="D40" s="14"/>
      <c r="E40" s="14"/>
      <c r="F40" s="21">
        <f>ROUND(F38*F39,0)</f>
        <v>16942</v>
      </c>
      <c r="G40" s="20"/>
      <c r="H40" s="14"/>
      <c r="I40" s="14"/>
      <c r="J40" s="14"/>
      <c r="K40" s="14"/>
    </row>
    <row r="41" spans="1:27" s="16" customFormat="1" ht="10.199999999999999" x14ac:dyDescent="0.2">
      <c r="B41" s="14"/>
      <c r="C41" s="14"/>
      <c r="D41" s="14"/>
      <c r="E41" s="14"/>
      <c r="F41" s="36"/>
      <c r="G41" s="20"/>
      <c r="H41" s="14"/>
      <c r="I41" s="14"/>
      <c r="J41" s="14"/>
      <c r="K41" s="14"/>
    </row>
    <row r="42" spans="1:27" s="16" customFormat="1" ht="10.8" thickBot="1" x14ac:dyDescent="0.25">
      <c r="B42" s="14"/>
      <c r="C42" s="14" t="s">
        <v>17</v>
      </c>
      <c r="D42" s="14"/>
      <c r="E42" s="14"/>
      <c r="F42" s="27">
        <f>+F36+F40</f>
        <v>16942</v>
      </c>
      <c r="G42" s="37">
        <f>+F42</f>
        <v>16942</v>
      </c>
      <c r="H42" s="14"/>
      <c r="I42" s="14"/>
      <c r="J42" s="14"/>
      <c r="K42" s="14"/>
    </row>
    <row r="43" spans="1:27" s="16" customFormat="1" ht="10.8" thickTop="1" x14ac:dyDescent="0.2">
      <c r="B43" s="14"/>
      <c r="C43" s="14"/>
      <c r="D43" s="14"/>
      <c r="E43" s="14"/>
      <c r="F43" s="14"/>
      <c r="G43" s="14"/>
      <c r="H43" s="14"/>
      <c r="I43" s="14"/>
      <c r="J43" s="14"/>
      <c r="K43" s="14"/>
    </row>
    <row r="44" spans="1:27" s="16" customFormat="1" ht="10.199999999999999" x14ac:dyDescent="0.2">
      <c r="B44" s="14"/>
      <c r="C44" s="14"/>
      <c r="D44" s="14"/>
      <c r="E44" s="14"/>
      <c r="F44" s="14"/>
      <c r="G44" s="14"/>
      <c r="H44" s="14"/>
      <c r="I44" s="14"/>
      <c r="J44" s="14"/>
      <c r="K44" s="14"/>
    </row>
    <row r="45" spans="1:27" s="16" customFormat="1" ht="10.8" thickBot="1" x14ac:dyDescent="0.25">
      <c r="B45" s="14"/>
      <c r="C45" s="14"/>
      <c r="D45" s="14"/>
      <c r="E45" s="14"/>
      <c r="F45" s="32" t="s">
        <v>92</v>
      </c>
      <c r="G45" s="38">
        <f>+G32-G42</f>
        <v>-8876.8716731179975</v>
      </c>
      <c r="H45" s="14"/>
      <c r="I45" s="14"/>
      <c r="J45" s="14"/>
      <c r="K45" s="14"/>
    </row>
    <row r="46" spans="1:27" s="16" customFormat="1" ht="10.8" thickTop="1" x14ac:dyDescent="0.2">
      <c r="B46" s="14"/>
      <c r="C46" s="14"/>
      <c r="D46" s="14"/>
      <c r="E46" s="14"/>
      <c r="F46" s="14"/>
      <c r="G46" s="14"/>
      <c r="H46" s="14"/>
      <c r="I46" s="14"/>
      <c r="J46" s="14"/>
      <c r="K46" s="14"/>
      <c r="Y46" s="14"/>
    </row>
    <row r="47" spans="1:27" s="16" customFormat="1" ht="10.199999999999999" x14ac:dyDescent="0.2">
      <c r="B47" s="14"/>
      <c r="C47" s="14"/>
      <c r="D47" s="14"/>
      <c r="E47" s="14"/>
      <c r="F47" s="14"/>
      <c r="G47" s="14"/>
      <c r="H47" s="14"/>
      <c r="I47" s="14"/>
      <c r="J47" s="14"/>
      <c r="K47" s="14"/>
    </row>
    <row r="48" spans="1:27" s="16" customFormat="1" ht="10.8" thickBot="1" x14ac:dyDescent="0.25">
      <c r="B48" s="29" t="str">
        <f>$K$22+1&amp;" Recycle Adjustment Calculation"</f>
        <v>2021 Recycle Adjustment Calculation</v>
      </c>
      <c r="C48" s="30"/>
      <c r="D48" s="30"/>
      <c r="E48" s="30"/>
      <c r="F48" s="30"/>
      <c r="G48" s="14"/>
      <c r="H48" s="14"/>
      <c r="I48" s="14"/>
      <c r="J48" s="14"/>
      <c r="K48" s="14"/>
    </row>
    <row r="49" spans="1:27" s="16" customFormat="1" ht="10.8" thickTop="1" x14ac:dyDescent="0.2">
      <c r="B49" s="31"/>
      <c r="C49" s="14"/>
      <c r="D49" s="14"/>
      <c r="E49" s="14"/>
      <c r="F49" s="14"/>
      <c r="G49" s="14"/>
      <c r="H49" s="14"/>
      <c r="I49" s="14"/>
      <c r="J49" s="14"/>
      <c r="K49" s="14"/>
      <c r="L49" s="14"/>
      <c r="M49" s="14"/>
      <c r="N49" s="14"/>
      <c r="O49" s="14"/>
      <c r="P49" s="14"/>
      <c r="Q49" s="14"/>
      <c r="R49" s="14"/>
      <c r="S49" s="14"/>
      <c r="T49" s="14"/>
      <c r="U49" s="14"/>
      <c r="V49" s="14"/>
      <c r="W49" s="14"/>
      <c r="AA49" s="14"/>
    </row>
    <row r="50" spans="1:27" s="16" customFormat="1" ht="10.199999999999999" x14ac:dyDescent="0.2">
      <c r="B50" s="14" t="s">
        <v>85</v>
      </c>
      <c r="C50" s="14"/>
      <c r="D50" s="14"/>
      <c r="E50" s="14"/>
      <c r="F50" s="14"/>
      <c r="G50" s="14"/>
      <c r="H50" s="14"/>
      <c r="I50" s="14"/>
      <c r="J50" s="14"/>
      <c r="K50" s="14"/>
    </row>
    <row r="51" spans="1:27" s="16" customFormat="1" ht="10.199999999999999" x14ac:dyDescent="0.2">
      <c r="B51" s="14"/>
      <c r="C51" s="14"/>
      <c r="D51" s="14"/>
      <c r="E51" s="14"/>
      <c r="F51" s="32" t="s">
        <v>20</v>
      </c>
      <c r="G51" s="14">
        <f>+J26</f>
        <v>61163</v>
      </c>
      <c r="H51" s="20" t="s">
        <v>12</v>
      </c>
      <c r="I51" s="14"/>
      <c r="J51" s="14"/>
      <c r="K51" s="14"/>
    </row>
    <row r="52" spans="1:27" s="16" customFormat="1" ht="10.199999999999999" x14ac:dyDescent="0.2">
      <c r="B52" s="14"/>
      <c r="C52" s="14"/>
      <c r="D52" s="14"/>
      <c r="E52" s="14"/>
      <c r="F52" s="32" t="s">
        <v>18</v>
      </c>
      <c r="G52" s="14">
        <f>+G45</f>
        <v>-8876.8716731179975</v>
      </c>
      <c r="H52" s="14"/>
      <c r="I52" s="14"/>
      <c r="J52" s="14"/>
      <c r="K52" s="14"/>
    </row>
    <row r="53" spans="1:27" s="16" customFormat="1" ht="10.199999999999999" x14ac:dyDescent="0.2">
      <c r="B53" s="14"/>
      <c r="C53" s="14"/>
      <c r="D53" s="14"/>
      <c r="E53" s="14"/>
      <c r="F53" s="32"/>
      <c r="G53" s="14"/>
      <c r="H53" s="14"/>
      <c r="I53" s="14"/>
      <c r="J53" s="14"/>
      <c r="K53" s="14"/>
    </row>
    <row r="54" spans="1:27" s="16" customFormat="1" ht="10.8" thickBot="1" x14ac:dyDescent="0.25">
      <c r="B54" s="14"/>
      <c r="C54" s="14"/>
      <c r="D54" s="14"/>
      <c r="E54" s="14"/>
      <c r="F54" s="32" t="s">
        <v>109</v>
      </c>
      <c r="G54" s="39">
        <f>ROUND(G52/G51,3)</f>
        <v>-0.14499999999999999</v>
      </c>
      <c r="H54" s="14"/>
      <c r="I54" s="23">
        <f>+G54</f>
        <v>-0.14499999999999999</v>
      </c>
      <c r="J54" s="14"/>
      <c r="K54" s="14"/>
    </row>
    <row r="55" spans="1:27" s="16" customFormat="1" ht="10.8" thickTop="1" x14ac:dyDescent="0.2">
      <c r="B55" s="14"/>
      <c r="C55" s="14"/>
      <c r="D55" s="14"/>
      <c r="E55" s="14"/>
      <c r="F55" s="32"/>
      <c r="G55" s="14"/>
      <c r="H55" s="14"/>
      <c r="I55" s="23"/>
      <c r="J55" s="14"/>
      <c r="K55" s="14"/>
      <c r="N55" s="158" t="s">
        <v>83</v>
      </c>
      <c r="Y55" s="14"/>
    </row>
    <row r="56" spans="1:27" s="16" customFormat="1" ht="10.199999999999999" x14ac:dyDescent="0.2">
      <c r="B56" s="14" t="s">
        <v>86</v>
      </c>
      <c r="C56" s="14"/>
      <c r="D56" s="14"/>
      <c r="E56" s="14"/>
      <c r="F56" s="32"/>
      <c r="G56" s="14"/>
      <c r="H56" s="14"/>
      <c r="I56" s="23"/>
      <c r="J56" s="14"/>
      <c r="K56" s="14"/>
      <c r="N56" s="159">
        <f>+'[1]WUTC_AW of Kent_MF'!$O$56</f>
        <v>0.5</v>
      </c>
    </row>
    <row r="57" spans="1:27" s="16" customFormat="1" ht="10.8" thickBot="1" x14ac:dyDescent="0.25">
      <c r="B57" s="31"/>
      <c r="C57" s="14"/>
      <c r="D57" s="14"/>
      <c r="E57" s="14"/>
      <c r="F57" s="32" t="s">
        <v>114</v>
      </c>
      <c r="G57" s="163">
        <f>F26</f>
        <v>0.13200000000000001</v>
      </c>
      <c r="H57" s="14"/>
      <c r="I57" s="23">
        <f>+G57</f>
        <v>0.13200000000000001</v>
      </c>
      <c r="J57" s="20" t="s">
        <v>11</v>
      </c>
      <c r="K57" s="14"/>
    </row>
    <row r="58" spans="1:27" s="14" customFormat="1" ht="10.8" thickTop="1" x14ac:dyDescent="0.2">
      <c r="B58" s="31"/>
      <c r="I58" s="23"/>
      <c r="X58" s="16"/>
      <c r="Y58" s="16"/>
    </row>
    <row r="59" spans="1:27" s="16" customFormat="1" ht="10.8" thickBot="1" x14ac:dyDescent="0.25">
      <c r="B59" s="14"/>
      <c r="C59" s="14"/>
      <c r="D59" s="14"/>
      <c r="E59" s="14"/>
      <c r="F59" s="14"/>
      <c r="G59" s="32" t="s">
        <v>110</v>
      </c>
      <c r="H59" s="27"/>
      <c r="I59" s="39">
        <f>+I54+I57</f>
        <v>-1.2999999999999984E-2</v>
      </c>
      <c r="J59" s="14"/>
      <c r="K59" s="14"/>
    </row>
    <row r="60" spans="1:27" s="16" customFormat="1" ht="10.8" thickTop="1" x14ac:dyDescent="0.2">
      <c r="I60" s="23"/>
    </row>
    <row r="61" spans="1:27" s="16" customFormat="1" ht="10.199999999999999" x14ac:dyDescent="0.2"/>
    <row r="62" spans="1:27" s="16" customFormat="1" ht="10.199999999999999" x14ac:dyDescent="0.2">
      <c r="B62" s="184" t="s">
        <v>112</v>
      </c>
      <c r="F62" s="112"/>
      <c r="G62" s="184" t="s">
        <v>111</v>
      </c>
      <c r="I62" s="16">
        <v>0</v>
      </c>
    </row>
    <row r="63" spans="1:27" s="16" customFormat="1" ht="10.199999999999999" x14ac:dyDescent="0.2"/>
    <row r="64" spans="1:27" s="16" customFormat="1" ht="10.199999999999999" x14ac:dyDescent="0.2">
      <c r="A64" s="115"/>
      <c r="B64" s="35"/>
      <c r="C64" s="35"/>
      <c r="D64" s="112"/>
      <c r="E64" s="112"/>
      <c r="F64" s="112"/>
    </row>
    <row r="65" spans="1:27" s="16" customFormat="1" ht="10.8" thickBot="1" x14ac:dyDescent="0.25">
      <c r="A65" s="115"/>
      <c r="B65" s="116"/>
      <c r="C65" s="35"/>
      <c r="D65" s="112"/>
      <c r="E65" s="112"/>
      <c r="F65" s="112"/>
      <c r="G65" s="32" t="str">
        <f>G59</f>
        <v>8/1/20 - 7/31/21 Adjusted Credit</v>
      </c>
      <c r="H65" s="27"/>
      <c r="I65" s="161">
        <f>I59+I62</f>
        <v>-1.2999999999999984E-2</v>
      </c>
    </row>
    <row r="66" spans="1:27" s="16" customFormat="1" ht="10.8" thickTop="1" x14ac:dyDescent="0.2">
      <c r="A66" s="115"/>
      <c r="B66" s="116"/>
      <c r="C66" s="35"/>
      <c r="D66" s="112"/>
      <c r="E66" s="112"/>
      <c r="F66" s="112"/>
    </row>
    <row r="67" spans="1:27" s="16" customFormat="1" ht="10.199999999999999" x14ac:dyDescent="0.2">
      <c r="A67" s="115"/>
      <c r="B67" s="116"/>
      <c r="C67" s="35"/>
      <c r="D67" s="112"/>
      <c r="E67" s="112"/>
      <c r="F67" s="112"/>
    </row>
    <row r="68" spans="1:27" s="16" customFormat="1" ht="10.199999999999999" x14ac:dyDescent="0.2">
      <c r="A68" s="115"/>
      <c r="B68" s="116"/>
      <c r="C68" s="35"/>
      <c r="D68" s="112"/>
      <c r="E68" s="112"/>
      <c r="F68" s="112"/>
      <c r="Y68" s="14"/>
    </row>
    <row r="69" spans="1:27" s="16" customFormat="1" ht="10.199999999999999" x14ac:dyDescent="0.2">
      <c r="A69" s="115"/>
      <c r="B69" s="116"/>
      <c r="C69" s="35"/>
      <c r="D69" s="112"/>
      <c r="E69" s="112"/>
      <c r="F69" s="112"/>
    </row>
    <row r="70" spans="1:27" s="16" customFormat="1" ht="10.199999999999999" x14ac:dyDescent="0.2">
      <c r="A70" s="115"/>
      <c r="B70" s="116"/>
      <c r="C70" s="35"/>
      <c r="D70" s="112"/>
      <c r="E70" s="112"/>
      <c r="F70" s="112"/>
    </row>
    <row r="71" spans="1:27" s="16" customFormat="1" ht="10.199999999999999" x14ac:dyDescent="0.2">
      <c r="A71" s="115"/>
      <c r="B71" s="116"/>
      <c r="C71" s="35"/>
      <c r="D71" s="112"/>
      <c r="E71" s="112"/>
      <c r="F71" s="112"/>
    </row>
    <row r="72" spans="1:27" s="16" customFormat="1" ht="10.199999999999999" x14ac:dyDescent="0.2">
      <c r="A72" s="115"/>
      <c r="B72" s="116"/>
      <c r="C72" s="35"/>
      <c r="D72" s="112"/>
      <c r="E72" s="118"/>
      <c r="F72" s="112"/>
      <c r="G72" s="14"/>
      <c r="H72" s="13"/>
      <c r="I72" s="14"/>
      <c r="J72" s="14"/>
      <c r="K72" s="13"/>
      <c r="L72" s="14"/>
      <c r="M72" s="14"/>
      <c r="N72" s="14"/>
      <c r="O72" s="14"/>
      <c r="P72" s="14"/>
      <c r="Q72" s="14"/>
      <c r="R72" s="14"/>
      <c r="S72" s="14"/>
      <c r="T72" s="14"/>
      <c r="U72" s="14"/>
      <c r="V72" s="13"/>
      <c r="W72" s="14"/>
      <c r="AA72" s="14"/>
    </row>
    <row r="73" spans="1:27" s="16" customFormat="1" ht="10.199999999999999" x14ac:dyDescent="0.2">
      <c r="A73" s="115"/>
      <c r="B73" s="116"/>
      <c r="C73" s="35"/>
      <c r="D73" s="112"/>
      <c r="E73" s="112"/>
      <c r="F73" s="112"/>
    </row>
    <row r="74" spans="1:27" s="16" customFormat="1" ht="10.199999999999999" x14ac:dyDescent="0.2">
      <c r="A74" s="115"/>
      <c r="B74" s="35"/>
      <c r="C74" s="35"/>
      <c r="D74" s="112"/>
      <c r="E74" s="112"/>
      <c r="F74" s="112"/>
    </row>
    <row r="75" spans="1:27" s="16" customFormat="1" ht="10.199999999999999" x14ac:dyDescent="0.2">
      <c r="A75" s="115"/>
      <c r="B75" s="35"/>
      <c r="C75" s="117"/>
      <c r="D75" s="112"/>
      <c r="E75" s="112"/>
      <c r="F75" s="112"/>
    </row>
    <row r="76" spans="1:27" s="16" customFormat="1" x14ac:dyDescent="0.25">
      <c r="A76" s="119"/>
      <c r="B76" s="119"/>
      <c r="C76" s="119"/>
      <c r="D76" s="120"/>
      <c r="E76" s="112"/>
      <c r="F76" s="119"/>
    </row>
    <row r="77" spans="1:27" s="16" customFormat="1" ht="10.199999999999999" x14ac:dyDescent="0.2">
      <c r="A77" s="121"/>
      <c r="B77" s="35"/>
      <c r="C77" s="117"/>
      <c r="D77" s="112"/>
      <c r="E77" s="112"/>
      <c r="F77" s="122"/>
      <c r="Y77" s="14"/>
    </row>
    <row r="78" spans="1:27" s="16" customFormat="1" ht="10.199999999999999" x14ac:dyDescent="0.2"/>
    <row r="79" spans="1:27" s="16" customFormat="1" ht="10.199999999999999" x14ac:dyDescent="0.2"/>
    <row r="80" spans="1:27" s="16" customFormat="1" ht="10.199999999999999" x14ac:dyDescent="0.2"/>
    <row r="81" spans="1:27" s="16" customFormat="1" ht="10.199999999999999" x14ac:dyDescent="0.2">
      <c r="B81" s="8"/>
    </row>
    <row r="82" spans="1:27" s="14" customFormat="1" ht="10.199999999999999" x14ac:dyDescent="0.2">
      <c r="B82" s="31"/>
      <c r="X82" s="16"/>
      <c r="Y82" s="16"/>
    </row>
    <row r="83" spans="1:27" s="16" customFormat="1" ht="10.199999999999999" x14ac:dyDescent="0.2"/>
    <row r="84" spans="1:27" s="16" customFormat="1" ht="10.199999999999999" x14ac:dyDescent="0.2"/>
    <row r="85" spans="1:27" s="16" customFormat="1" ht="10.199999999999999" x14ac:dyDescent="0.2"/>
    <row r="86" spans="1:27" s="16" customFormat="1" ht="10.199999999999999" x14ac:dyDescent="0.2"/>
    <row r="87" spans="1:27" s="16" customFormat="1" ht="10.199999999999999" x14ac:dyDescent="0.2"/>
    <row r="88" spans="1:27" s="16" customFormat="1" ht="10.199999999999999" x14ac:dyDescent="0.2"/>
    <row r="89" spans="1:27" s="16" customFormat="1" ht="10.199999999999999" x14ac:dyDescent="0.2"/>
    <row r="90" spans="1:27" s="16" customFormat="1" ht="10.199999999999999" x14ac:dyDescent="0.2"/>
    <row r="91" spans="1:27" s="16" customFormat="1" ht="10.199999999999999" x14ac:dyDescent="0.2">
      <c r="A91" s="6"/>
    </row>
    <row r="92" spans="1:27" s="16" customFormat="1" x14ac:dyDescent="0.25">
      <c r="AA92" s="5"/>
    </row>
    <row r="93" spans="1:27" s="16" customFormat="1" x14ac:dyDescent="0.25">
      <c r="AA93" s="5"/>
    </row>
    <row r="94" spans="1:27" s="16" customFormat="1" x14ac:dyDescent="0.25">
      <c r="AA94" s="5"/>
    </row>
    <row r="95" spans="1:27" s="16" customFormat="1" x14ac:dyDescent="0.25">
      <c r="AA95" s="5"/>
    </row>
    <row r="96" spans="1:27" s="16" customFormat="1" x14ac:dyDescent="0.25">
      <c r="G96" s="56"/>
      <c r="I96" s="56"/>
      <c r="J96" s="56"/>
      <c r="L96" s="56"/>
      <c r="M96" s="56"/>
      <c r="N96" s="56"/>
      <c r="O96" s="56"/>
      <c r="P96" s="56"/>
      <c r="Q96" s="56"/>
      <c r="R96" s="56"/>
      <c r="S96" s="56"/>
      <c r="T96" s="56"/>
      <c r="U96" s="56"/>
      <c r="V96" s="56"/>
      <c r="W96" s="56"/>
      <c r="X96" s="56"/>
      <c r="Y96" s="56"/>
      <c r="AA96" s="5"/>
    </row>
    <row r="97" spans="7:27" s="16" customFormat="1" x14ac:dyDescent="0.25">
      <c r="AA97" s="5"/>
    </row>
    <row r="98" spans="7:27" s="16" customFormat="1" ht="13.2" thickBot="1" x14ac:dyDescent="0.3">
      <c r="G98" s="57"/>
      <c r="I98" s="57"/>
      <c r="J98" s="57"/>
      <c r="L98" s="57"/>
      <c r="M98" s="57"/>
      <c r="N98" s="57"/>
      <c r="O98" s="57"/>
      <c r="P98" s="57"/>
      <c r="Q98" s="57"/>
      <c r="R98" s="57"/>
      <c r="S98" s="57"/>
      <c r="T98" s="57"/>
      <c r="U98" s="57"/>
      <c r="V98" s="57"/>
      <c r="W98" s="57"/>
      <c r="X98" s="57"/>
      <c r="Y98" s="57"/>
      <c r="AA98" s="5"/>
    </row>
    <row r="99" spans="7:27" ht="13.2" thickTop="1" x14ac:dyDescent="0.25"/>
    <row r="100" spans="7:27" x14ac:dyDescent="0.25">
      <c r="W100" s="58"/>
      <c r="X100" s="58"/>
      <c r="Y100" s="58"/>
    </row>
    <row r="101" spans="7:27" x14ac:dyDescent="0.25">
      <c r="W101" s="58"/>
      <c r="AA101" s="58"/>
    </row>
  </sheetData>
  <phoneticPr fontId="0" type="noConversion"/>
  <printOptions horizontalCentered="1"/>
  <pageMargins left="0" right="0" top="0.52" bottom="0.44" header="0" footer="0"/>
  <pageSetup scale="98" orientation="portrait" horizontalDpi="1200" verticalDpi="1200" r:id="rId1"/>
  <headerFooter alignWithMargins="0">
    <oddFooter>&amp;R&amp;"Helv,Regular"&amp;6\\SERVER1\PUBLIC\EXCEL&amp;F,&amp;A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GridLines="0" zoomScaleNormal="100" workbookViewId="0">
      <selection activeCell="P28" sqref="P28"/>
    </sheetView>
  </sheetViews>
  <sheetFormatPr defaultRowHeight="13.2" x14ac:dyDescent="0.25"/>
  <cols>
    <col min="1" max="1" width="8.109375" customWidth="1"/>
    <col min="2" max="2" width="2.109375" customWidth="1"/>
    <col min="3" max="13" width="11.6640625" customWidth="1"/>
    <col min="14" max="14" width="3" customWidth="1"/>
    <col min="15" max="15" width="11.6640625" style="72" customWidth="1"/>
    <col min="16" max="16" width="14.5546875" bestFit="1" customWidth="1"/>
  </cols>
  <sheetData>
    <row r="1" spans="1:17" x14ac:dyDescent="0.25">
      <c r="A1" s="59" t="s">
        <v>43</v>
      </c>
      <c r="B1" s="60"/>
    </row>
    <row r="2" spans="1:17" x14ac:dyDescent="0.25">
      <c r="A2" s="61" t="str">
        <f>'WUTC_AW of Kent (SeaTac)_SF'!A1</f>
        <v>Rabanco Ltd (dba Allied Waste of Seatac)</v>
      </c>
      <c r="B2" s="61"/>
      <c r="O2" s="73"/>
    </row>
    <row r="3" spans="1:17" x14ac:dyDescent="0.25">
      <c r="A3" s="61"/>
      <c r="B3" s="61"/>
      <c r="O3" s="73"/>
    </row>
    <row r="4" spans="1:17" x14ac:dyDescent="0.25">
      <c r="A4" s="61"/>
      <c r="B4" s="61"/>
      <c r="O4" s="73" t="str">
        <f>+TEXT(P18,"00.0%")&amp;" of"</f>
        <v>50.0% of</v>
      </c>
    </row>
    <row r="5" spans="1:17" x14ac:dyDescent="0.25">
      <c r="B5" s="70"/>
      <c r="C5" s="63" t="s">
        <v>21</v>
      </c>
      <c r="D5" s="63" t="s">
        <v>22</v>
      </c>
      <c r="E5" s="63" t="s">
        <v>88</v>
      </c>
      <c r="F5" s="63" t="s">
        <v>50</v>
      </c>
      <c r="G5" s="63" t="s">
        <v>89</v>
      </c>
      <c r="H5" s="63" t="s">
        <v>24</v>
      </c>
      <c r="I5" s="63" t="s">
        <v>25</v>
      </c>
      <c r="J5" s="63" t="s">
        <v>26</v>
      </c>
      <c r="K5" s="63" t="s">
        <v>27</v>
      </c>
      <c r="L5" s="63" t="s">
        <v>28</v>
      </c>
      <c r="M5" s="63" t="s">
        <v>29</v>
      </c>
      <c r="O5" s="73" t="s">
        <v>29</v>
      </c>
      <c r="P5" s="63" t="s">
        <v>84</v>
      </c>
    </row>
    <row r="6" spans="1:17" ht="15.75" customHeight="1" x14ac:dyDescent="0.25">
      <c r="A6" s="65">
        <f>+Pricing!A6</f>
        <v>43586</v>
      </c>
      <c r="B6" s="66"/>
      <c r="C6" s="71">
        <f>'Commodity Tonnages'!C6*Pricing!C6</f>
        <v>1514.873664</v>
      </c>
      <c r="D6" s="74">
        <f>'Commodity Tonnages'!D6*Pricing!D6</f>
        <v>-101.55212999999999</v>
      </c>
      <c r="E6" s="74">
        <f>'Commodity Tonnages'!E6*Pricing!E6</f>
        <v>0</v>
      </c>
      <c r="F6" s="74">
        <f>'Commodity Tonnages'!F6*Pricing!F6</f>
        <v>235.57534560000002</v>
      </c>
      <c r="G6" s="74">
        <f>'Commodity Tonnages'!G6*Pricing!G6</f>
        <v>34.057013760000004</v>
      </c>
      <c r="H6" s="74">
        <f>'Commodity Tonnages'!H6*Pricing!H6</f>
        <v>1037.5969967999999</v>
      </c>
      <c r="I6" s="74">
        <f>'Commodity Tonnages'!I6*Pricing!I6</f>
        <v>482.11151270399989</v>
      </c>
      <c r="J6" s="74">
        <f>'Commodity Tonnages'!J6*Pricing!J6</f>
        <v>482.11151270399989</v>
      </c>
      <c r="K6" s="74">
        <f>'Commodity Tonnages'!K6*Pricing!K6</f>
        <v>1465.0966108799998</v>
      </c>
      <c r="L6" s="74">
        <f>'Commodity Tonnages'!L6*Pricing!L6</f>
        <v>-1891.2689870400002</v>
      </c>
      <c r="M6" s="129">
        <f>SUM(C6:L6)</f>
        <v>3258.6015394079996</v>
      </c>
      <c r="O6" s="153">
        <f>M6*P6</f>
        <v>1629.3007697039998</v>
      </c>
      <c r="P6" s="160">
        <v>0.5</v>
      </c>
      <c r="Q6" s="130"/>
    </row>
    <row r="7" spans="1:17" ht="15.75" customHeight="1" x14ac:dyDescent="0.25">
      <c r="A7" s="65">
        <f>+Pricing!A7</f>
        <v>43646</v>
      </c>
      <c r="B7" s="66"/>
      <c r="C7" s="71">
        <f>'Commodity Tonnages'!C7*Pricing!C7</f>
        <v>1021.1568860160003</v>
      </c>
      <c r="D7" s="74">
        <f>'Commodity Tonnages'!D7*Pricing!D7</f>
        <v>-83.095312500000006</v>
      </c>
      <c r="E7" s="74">
        <f>'Commodity Tonnages'!E7*Pricing!E7</f>
        <v>0</v>
      </c>
      <c r="F7" s="74">
        <f>'Commodity Tonnages'!F7*Pricing!F7</f>
        <v>164.17801960000006</v>
      </c>
      <c r="G7" s="74">
        <f>'Commodity Tonnages'!G7*Pricing!G7</f>
        <v>23.765714368000005</v>
      </c>
      <c r="H7" s="74">
        <f>'Commodity Tonnages'!H7*Pricing!H7</f>
        <v>698.63525159999995</v>
      </c>
      <c r="I7" s="74">
        <f>'Commodity Tonnages'!I7*Pricing!I7</f>
        <v>319.13705375999996</v>
      </c>
      <c r="J7" s="74">
        <f>'Commodity Tonnages'!J7*Pricing!J7</f>
        <v>319.13705375999996</v>
      </c>
      <c r="K7" s="74">
        <f>'Commodity Tonnages'!K7*Pricing!K7</f>
        <v>1012.4130787200002</v>
      </c>
      <c r="L7" s="74">
        <f>'Commodity Tonnages'!L7*Pricing!L7</f>
        <v>-1309.8345574800003</v>
      </c>
      <c r="M7" s="129">
        <f t="shared" ref="M7:M17" si="0">SUM(C7:L7)</f>
        <v>2165.4931878440002</v>
      </c>
      <c r="O7" s="153">
        <f t="shared" ref="O7:O17" si="1">M7*P7</f>
        <v>1082.7465939220001</v>
      </c>
      <c r="P7" s="160">
        <v>0.5</v>
      </c>
      <c r="Q7" s="130"/>
    </row>
    <row r="8" spans="1:17" ht="15.75" customHeight="1" x14ac:dyDescent="0.25">
      <c r="A8" s="65">
        <f>+Pricing!A8</f>
        <v>43677</v>
      </c>
      <c r="B8" s="66"/>
      <c r="C8" s="71">
        <f>'Commodity Tonnages'!C8*Pricing!C8</f>
        <v>1002.3302344320003</v>
      </c>
      <c r="D8" s="74">
        <f>'Commodity Tonnages'!D8*Pricing!D8</f>
        <v>17.282700000000006</v>
      </c>
      <c r="E8" s="74">
        <f>'Commodity Tonnages'!E8*Pricing!E8</f>
        <v>0</v>
      </c>
      <c r="F8" s="74">
        <f>'Commodity Tonnages'!F8*Pricing!F8</f>
        <v>173.20593920000005</v>
      </c>
      <c r="G8" s="74">
        <f>'Commodity Tonnages'!G8*Pricing!G8</f>
        <v>25.749021056000007</v>
      </c>
      <c r="H8" s="74">
        <f>'Commodity Tonnages'!H8*Pricing!H8</f>
        <v>581.55901440000002</v>
      </c>
      <c r="I8" s="74">
        <f>'Commodity Tonnages'!I8*Pricing!I8</f>
        <v>291.28380358400017</v>
      </c>
      <c r="J8" s="74">
        <f>'Commodity Tonnages'!J8*Pricing!J8</f>
        <v>291.28380358400017</v>
      </c>
      <c r="K8" s="74">
        <f>'Commodity Tonnages'!K8*Pricing!K8</f>
        <v>1098.0321487200001</v>
      </c>
      <c r="L8" s="74">
        <f>'Commodity Tonnages'!L8*Pricing!L8</f>
        <v>-1418.8950757200002</v>
      </c>
      <c r="M8" s="129">
        <f t="shared" si="0"/>
        <v>2061.8315892560004</v>
      </c>
      <c r="O8" s="153">
        <f t="shared" si="1"/>
        <v>1030.9157946280002</v>
      </c>
      <c r="P8" s="160">
        <v>0.5</v>
      </c>
      <c r="Q8" s="130"/>
    </row>
    <row r="9" spans="1:17" ht="15.75" customHeight="1" x14ac:dyDescent="0.25">
      <c r="A9" s="65">
        <f>+Pricing!A9</f>
        <v>43708</v>
      </c>
      <c r="B9" s="66"/>
      <c r="C9" s="71">
        <f>'Commodity Tonnages'!C9*Pricing!C9</f>
        <v>822.13004160000014</v>
      </c>
      <c r="D9" s="74">
        <f>'Commodity Tonnages'!D9*Pricing!D9</f>
        <v>34.638047999999998</v>
      </c>
      <c r="E9" s="74">
        <f>'Commodity Tonnages'!E9*Pricing!E9</f>
        <v>0</v>
      </c>
      <c r="F9" s="74">
        <f>'Commodity Tonnages'!F9*Pricing!F9</f>
        <v>155.12833280000004</v>
      </c>
      <c r="G9" s="74">
        <f>'Commodity Tonnages'!G9*Pricing!G9</f>
        <v>24.270978688</v>
      </c>
      <c r="H9" s="74">
        <f>'Commodity Tonnages'!H9*Pricing!H9</f>
        <v>194.37136159999997</v>
      </c>
      <c r="I9" s="74">
        <f>'Commodity Tonnages'!I9*Pricing!I9</f>
        <v>154.767363168</v>
      </c>
      <c r="J9" s="74">
        <f>'Commodity Tonnages'!J9*Pricing!J9</f>
        <v>154.767363168</v>
      </c>
      <c r="K9" s="74">
        <f>'Commodity Tonnages'!K9*Pricing!K9</f>
        <v>1011.94654464</v>
      </c>
      <c r="L9" s="74">
        <f>'Commodity Tonnages'!L9*Pricing!L9</f>
        <v>-1240.0092256800001</v>
      </c>
      <c r="M9" s="129">
        <f t="shared" si="0"/>
        <v>1312.0108079839999</v>
      </c>
      <c r="O9" s="153">
        <f t="shared" si="1"/>
        <v>656.00540399199997</v>
      </c>
      <c r="P9" s="160">
        <v>0.5</v>
      </c>
      <c r="Q9" s="130"/>
    </row>
    <row r="10" spans="1:17" ht="15.75" customHeight="1" x14ac:dyDescent="0.25">
      <c r="A10" s="65">
        <f>+Pricing!A10</f>
        <v>43738</v>
      </c>
      <c r="B10" s="66"/>
      <c r="C10" s="71">
        <f>'Commodity Tonnages'!C10*Pricing!C10</f>
        <v>900.22721241600016</v>
      </c>
      <c r="D10" s="74">
        <f>'Commodity Tonnages'!D10*Pricing!D10</f>
        <v>85.539887999999991</v>
      </c>
      <c r="E10" s="74">
        <f>'Commodity Tonnages'!E10*Pricing!E10</f>
        <v>0</v>
      </c>
      <c r="F10" s="74">
        <f>'Commodity Tonnages'!F10*Pricing!F10</f>
        <v>159.97367120000004</v>
      </c>
      <c r="G10" s="74">
        <f>'Commodity Tonnages'!G10*Pricing!G10</f>
        <v>24.498704384000003</v>
      </c>
      <c r="H10" s="74">
        <f>'Commodity Tonnages'!H10*Pricing!H10</f>
        <v>-39.837524999999999</v>
      </c>
      <c r="I10" s="74">
        <f>'Commodity Tonnages'!I10*Pricing!I10</f>
        <v>195.50194204799999</v>
      </c>
      <c r="J10" s="74">
        <f>'Commodity Tonnages'!J10*Pricing!J10</f>
        <v>195.50194204799999</v>
      </c>
      <c r="K10" s="74">
        <f>'Commodity Tonnages'!K10*Pricing!K10</f>
        <v>991.27605024000002</v>
      </c>
      <c r="L10" s="74">
        <f>'Commodity Tonnages'!L10*Pricing!L10</f>
        <v>-1393.4032879200001</v>
      </c>
      <c r="M10" s="129">
        <f t="shared" si="0"/>
        <v>1119.2785974160004</v>
      </c>
      <c r="O10" s="153">
        <f t="shared" si="1"/>
        <v>559.63929870800018</v>
      </c>
      <c r="P10" s="160">
        <v>0.5</v>
      </c>
      <c r="Q10" s="130"/>
    </row>
    <row r="11" spans="1:17" ht="15.75" customHeight="1" x14ac:dyDescent="0.25">
      <c r="A11" s="65">
        <f>+Pricing!A11</f>
        <v>43769</v>
      </c>
      <c r="B11" s="66"/>
      <c r="C11" s="71">
        <f>'Commodity Tonnages'!C11*Pricing!C11</f>
        <v>1032.1855488000003</v>
      </c>
      <c r="D11" s="74">
        <f>'Commodity Tonnages'!D11*Pricing!D11</f>
        <v>93.485700000000008</v>
      </c>
      <c r="E11" s="74">
        <f>'Commodity Tonnages'!E11*Pricing!E11</f>
        <v>0</v>
      </c>
      <c r="F11" s="74">
        <f>'Commodity Tonnages'!F11*Pricing!F11</f>
        <v>148.73656</v>
      </c>
      <c r="G11" s="74">
        <f>'Commodity Tonnages'!G11*Pricing!G11</f>
        <v>23.749756800000004</v>
      </c>
      <c r="H11" s="74">
        <f>'Commodity Tonnages'!H11*Pricing!H11</f>
        <v>-829.96322499999985</v>
      </c>
      <c r="I11" s="74">
        <f>'Commodity Tonnages'!I11*Pricing!I11</f>
        <v>132.73346800000002</v>
      </c>
      <c r="J11" s="74">
        <f>'Commodity Tonnages'!J11*Pricing!J11</f>
        <v>132.73346800000002</v>
      </c>
      <c r="K11" s="74">
        <f>'Commodity Tonnages'!K11*Pricing!K11</f>
        <v>971.72460000000001</v>
      </c>
      <c r="L11" s="74">
        <f>'Commodity Tonnages'!L11*Pricing!L11</f>
        <v>-1550.9513039999997</v>
      </c>
      <c r="M11" s="129">
        <f t="shared" si="0"/>
        <v>154.43457260000105</v>
      </c>
      <c r="O11" s="153">
        <f t="shared" si="1"/>
        <v>77.217286300000524</v>
      </c>
      <c r="P11" s="160">
        <v>0.5</v>
      </c>
      <c r="Q11" s="130"/>
    </row>
    <row r="12" spans="1:17" ht="15.75" customHeight="1" x14ac:dyDescent="0.25">
      <c r="A12" s="65">
        <f>+Pricing!A12</f>
        <v>43799</v>
      </c>
      <c r="B12" s="66"/>
      <c r="C12" s="71">
        <f>'Commodity Tonnages'!C12*Pricing!C12</f>
        <v>976.18665715200029</v>
      </c>
      <c r="D12" s="74">
        <f>'Commodity Tonnages'!D12*Pricing!D12</f>
        <v>48.526056000000004</v>
      </c>
      <c r="E12" s="74">
        <f>'Commodity Tonnages'!E12*Pricing!E12</f>
        <v>0</v>
      </c>
      <c r="F12" s="74">
        <f>'Commodity Tonnages'!F12*Pricing!F12</f>
        <v>176.71705520000003</v>
      </c>
      <c r="G12" s="74">
        <f>'Commodity Tonnages'!G12*Pricing!G12</f>
        <v>29.126310400000005</v>
      </c>
      <c r="H12" s="74">
        <f>'Commodity Tonnages'!H12*Pricing!H12</f>
        <v>222.84083120000003</v>
      </c>
      <c r="I12" s="74">
        <f>'Commodity Tonnages'!I12*Pricing!I12</f>
        <v>181.92738698400018</v>
      </c>
      <c r="J12" s="74">
        <f>'Commodity Tonnages'!J12*Pricing!J12</f>
        <v>181.92738698400018</v>
      </c>
      <c r="K12" s="74">
        <f>'Commodity Tonnages'!K12*Pricing!K12</f>
        <v>971.14571279999996</v>
      </c>
      <c r="L12" s="74">
        <f>'Commodity Tonnages'!L12*Pricing!L12</f>
        <v>-1556.3154964799999</v>
      </c>
      <c r="M12" s="129">
        <f t="shared" si="0"/>
        <v>1232.081900240001</v>
      </c>
      <c r="O12" s="153">
        <f t="shared" si="1"/>
        <v>616.0409501200005</v>
      </c>
      <c r="P12" s="160">
        <v>0.5</v>
      </c>
      <c r="Q12" s="130"/>
    </row>
    <row r="13" spans="1:17" ht="15.75" customHeight="1" x14ac:dyDescent="0.25">
      <c r="A13" s="65">
        <f>+Pricing!A13</f>
        <v>43830</v>
      </c>
      <c r="B13" s="66"/>
      <c r="C13" s="71">
        <f>'Commodity Tonnages'!C13*Pricing!C13</f>
        <v>1005.44106384</v>
      </c>
      <c r="D13" s="74">
        <f>'Commodity Tonnages'!D13*Pricing!D13</f>
        <v>77.602644000000012</v>
      </c>
      <c r="E13" s="74">
        <f>'Commodity Tonnages'!E13*Pricing!E13</f>
        <v>0</v>
      </c>
      <c r="F13" s="74">
        <f>'Commodity Tonnages'!F13*Pricing!F13</f>
        <v>198.99267359999999</v>
      </c>
      <c r="G13" s="74">
        <f>'Commodity Tonnages'!G13*Pricing!G13</f>
        <v>33.782267904000001</v>
      </c>
      <c r="H13" s="74">
        <f>'Commodity Tonnages'!H13*Pricing!H13</f>
        <v>250.71170279999998</v>
      </c>
      <c r="I13" s="74">
        <f>'Commodity Tonnages'!I13*Pricing!I13</f>
        <v>278.40615307199994</v>
      </c>
      <c r="J13" s="74">
        <f>'Commodity Tonnages'!J13*Pricing!J13</f>
        <v>278.40615307199994</v>
      </c>
      <c r="K13" s="74">
        <f>'Commodity Tonnages'!K13*Pricing!K13</f>
        <v>835.14905063999993</v>
      </c>
      <c r="L13" s="74">
        <f>'Commodity Tonnages'!L13*Pricing!L13</f>
        <v>-1561.3298503199997</v>
      </c>
      <c r="M13" s="129">
        <f t="shared" si="0"/>
        <v>1397.1618586080006</v>
      </c>
      <c r="O13" s="153">
        <f t="shared" si="1"/>
        <v>698.58092930400028</v>
      </c>
      <c r="P13" s="160">
        <v>0.5</v>
      </c>
      <c r="Q13" s="130"/>
    </row>
    <row r="14" spans="1:17" ht="15.75" customHeight="1" x14ac:dyDescent="0.25">
      <c r="A14" s="65">
        <f>+Pricing!A14</f>
        <v>43861</v>
      </c>
      <c r="B14" s="66"/>
      <c r="C14" s="71">
        <f>'Commodity Tonnages'!C14*Pricing!C14</f>
        <v>1065.8088293600001</v>
      </c>
      <c r="D14" s="74">
        <f>'Commodity Tonnages'!D14*Pricing!D14</f>
        <v>59.714605456000001</v>
      </c>
      <c r="E14" s="74">
        <f>'Commodity Tonnages'!E14*Pricing!E14</f>
        <v>0</v>
      </c>
      <c r="F14" s="74">
        <f>'Commodity Tonnages'!F14*Pricing!F14</f>
        <v>241.57320756800002</v>
      </c>
      <c r="G14" s="74">
        <f>'Commodity Tonnages'!G14*Pricing!G14</f>
        <v>32.021158400000004</v>
      </c>
      <c r="H14" s="74">
        <f>'Commodity Tonnages'!H14*Pricing!H14</f>
        <v>309.01723300800006</v>
      </c>
      <c r="I14" s="74">
        <f>'Commodity Tonnages'!I14*Pricing!I14</f>
        <v>419.18202044399993</v>
      </c>
      <c r="J14" s="74">
        <f>'Commodity Tonnages'!J14*Pricing!J14</f>
        <v>419.18202044399993</v>
      </c>
      <c r="K14" s="74">
        <f>'Commodity Tonnages'!K14*Pricing!K14</f>
        <v>1448.2675817280003</v>
      </c>
      <c r="L14" s="74">
        <f>'Commodity Tonnages'!L14*Pricing!L14</f>
        <v>-3917.2819263600009</v>
      </c>
      <c r="M14" s="129">
        <f t="shared" si="0"/>
        <v>77.484730048000074</v>
      </c>
      <c r="O14" s="153">
        <f t="shared" si="1"/>
        <v>38.742365024000037</v>
      </c>
      <c r="P14" s="160">
        <v>0.5</v>
      </c>
      <c r="Q14" s="130"/>
    </row>
    <row r="15" spans="1:17" ht="15.75" customHeight="1" x14ac:dyDescent="0.25">
      <c r="A15" s="65">
        <f>+Pricing!A15</f>
        <v>43890</v>
      </c>
      <c r="B15" s="66"/>
      <c r="C15" s="71">
        <f>'Commodity Tonnages'!C15*Pricing!C15</f>
        <v>929.61325296000007</v>
      </c>
      <c r="D15" s="74">
        <f>'Commodity Tonnages'!D15*Pricing!D15</f>
        <v>21.913946207999999</v>
      </c>
      <c r="E15" s="74">
        <f>'Commodity Tonnages'!E15*Pricing!E15</f>
        <v>0</v>
      </c>
      <c r="F15" s="74">
        <f>'Commodity Tonnages'!F15*Pricing!F15</f>
        <v>194.75324870400001</v>
      </c>
      <c r="G15" s="74">
        <f>'Commodity Tonnages'!G15*Pricing!G15</f>
        <v>25.944629760000005</v>
      </c>
      <c r="H15" s="74">
        <f>'Commodity Tonnages'!H15*Pricing!H15</f>
        <v>482.824185984</v>
      </c>
      <c r="I15" s="74">
        <f>'Commodity Tonnages'!I15*Pricing!I15</f>
        <v>410.40980920800007</v>
      </c>
      <c r="J15" s="74">
        <f>'Commodity Tonnages'!J15*Pricing!J15</f>
        <v>410.40980920800007</v>
      </c>
      <c r="K15" s="74">
        <f>'Commodity Tonnages'!K15*Pricing!K15</f>
        <v>1654.2229354560002</v>
      </c>
      <c r="L15" s="74">
        <f>'Commodity Tonnages'!L15*Pricing!L15</f>
        <v>-3477.0402273600002</v>
      </c>
      <c r="M15" s="129">
        <f t="shared" si="0"/>
        <v>653.0515901280005</v>
      </c>
      <c r="O15" s="153">
        <f t="shared" si="1"/>
        <v>326.52579506400025</v>
      </c>
      <c r="P15" s="160">
        <v>0.5</v>
      </c>
      <c r="Q15" s="130"/>
    </row>
    <row r="16" spans="1:17" ht="15.75" customHeight="1" x14ac:dyDescent="0.25">
      <c r="A16" s="65">
        <f>+Pricing!A16</f>
        <v>43921</v>
      </c>
      <c r="B16" s="66"/>
      <c r="C16" s="71">
        <f>'Commodity Tonnages'!C16*Pricing!C16</f>
        <v>1210.07046068</v>
      </c>
      <c r="D16" s="74">
        <f>'Commodity Tonnages'!D16*Pricing!D16</f>
        <v>71.451967224000001</v>
      </c>
      <c r="E16" s="74">
        <f>'Commodity Tonnages'!E16*Pricing!E16</f>
        <v>0</v>
      </c>
      <c r="F16" s="74">
        <f>'Commodity Tonnages'!F16*Pricing!F16</f>
        <v>237.79503595199995</v>
      </c>
      <c r="G16" s="74">
        <f>'Commodity Tonnages'!G16*Pricing!G16</f>
        <v>32.065499760000002</v>
      </c>
      <c r="H16" s="74">
        <f>'Commodity Tonnages'!H16*Pricing!H16</f>
        <v>657.04396684800008</v>
      </c>
      <c r="I16" s="74">
        <f>'Commodity Tonnages'!I16*Pricing!I16</f>
        <v>387.28524639599999</v>
      </c>
      <c r="J16" s="74">
        <f>'Commodity Tonnages'!J16*Pricing!J16</f>
        <v>387.28524639599999</v>
      </c>
      <c r="K16" s="74">
        <f>'Commodity Tonnages'!K16*Pricing!K16</f>
        <v>2555.6470010640001</v>
      </c>
      <c r="L16" s="74">
        <f>'Commodity Tonnages'!L16*Pricing!L16</f>
        <v>-3973.6513733999996</v>
      </c>
      <c r="M16" s="129">
        <f t="shared" si="0"/>
        <v>1564.9930509200008</v>
      </c>
      <c r="O16" s="153">
        <f t="shared" si="1"/>
        <v>782.49652546000038</v>
      </c>
      <c r="P16" s="160">
        <v>0.5</v>
      </c>
      <c r="Q16" s="130"/>
    </row>
    <row r="17" spans="1:17" ht="15.75" customHeight="1" x14ac:dyDescent="0.25">
      <c r="A17" s="65">
        <f>+Pricing!A17</f>
        <v>43951</v>
      </c>
      <c r="B17" s="66"/>
      <c r="C17" s="71">
        <f>'Commodity Tonnages'!C17*Pricing!C17</f>
        <v>1138.7184816000001</v>
      </c>
      <c r="D17" s="74">
        <f>'Commodity Tonnages'!D17*Pricing!D17</f>
        <v>46.145727936000007</v>
      </c>
      <c r="E17" s="74">
        <f>'Commodity Tonnages'!E17*Pricing!E17</f>
        <v>0</v>
      </c>
      <c r="F17" s="74">
        <f>'Commodity Tonnages'!F17*Pricing!F17</f>
        <v>173.16740672000003</v>
      </c>
      <c r="G17" s="74">
        <f>'Commodity Tonnages'!G17*Pricing!G17</f>
        <v>21.896147840000001</v>
      </c>
      <c r="H17" s="74">
        <f>'Commodity Tonnages'!H17*Pricing!H17</f>
        <v>176.38179955200002</v>
      </c>
      <c r="I17" s="74">
        <f>'Commodity Tonnages'!I17*Pricing!I17</f>
        <v>338.42704347200004</v>
      </c>
      <c r="J17" s="74">
        <f>'Commodity Tonnages'!J17*Pricing!J17</f>
        <v>338.42704347200004</v>
      </c>
      <c r="K17" s="74">
        <f>'Commodity Tonnages'!K17*Pricing!K17</f>
        <v>3134.8520985600012</v>
      </c>
      <c r="L17" s="74">
        <f>'Commodity Tonnages'!L17*Pricing!L17</f>
        <v>-4234.1825198400002</v>
      </c>
      <c r="M17" s="129">
        <f t="shared" si="0"/>
        <v>1133.833229312002</v>
      </c>
      <c r="O17" s="153">
        <f t="shared" si="1"/>
        <v>566.916614656001</v>
      </c>
      <c r="P17" s="160">
        <v>0.5</v>
      </c>
      <c r="Q17" s="130"/>
    </row>
    <row r="18" spans="1:17" ht="15.75" customHeight="1" x14ac:dyDescent="0.25">
      <c r="A18" s="69" t="s">
        <v>30</v>
      </c>
      <c r="B18" s="66"/>
      <c r="C18" s="131">
        <f t="shared" ref="C18:L18" si="2">SUM(C6:C17)</f>
        <v>12618.742332856</v>
      </c>
      <c r="D18" s="132">
        <f t="shared" si="2"/>
        <v>371.65384032400004</v>
      </c>
      <c r="E18" s="132">
        <f t="shared" si="2"/>
        <v>0</v>
      </c>
      <c r="F18" s="131">
        <f t="shared" si="2"/>
        <v>2259.7964961440002</v>
      </c>
      <c r="G18" s="131">
        <f t="shared" si="2"/>
        <v>330.92720312000006</v>
      </c>
      <c r="H18" s="131">
        <f t="shared" si="2"/>
        <v>3741.1815937919996</v>
      </c>
      <c r="I18" s="131">
        <f t="shared" si="2"/>
        <v>3591.1728028400003</v>
      </c>
      <c r="J18" s="131">
        <f t="shared" si="2"/>
        <v>3591.1728028400003</v>
      </c>
      <c r="K18" s="131">
        <f t="shared" si="2"/>
        <v>17149.773413448002</v>
      </c>
      <c r="L18" s="132">
        <f t="shared" si="2"/>
        <v>-27524.163831600003</v>
      </c>
      <c r="M18" s="133">
        <f>SUM(C18:L18)</f>
        <v>16130.256653763994</v>
      </c>
      <c r="O18" s="152">
        <f>SUM(O6:O17)</f>
        <v>8065.1283268820025</v>
      </c>
      <c r="P18" s="137">
        <f>+O18/M18</f>
        <v>0.50000000000000033</v>
      </c>
    </row>
    <row r="19" spans="1:17" x14ac:dyDescent="0.25">
      <c r="A19" s="66"/>
      <c r="B19" s="66"/>
      <c r="C19" s="71"/>
      <c r="D19" s="71"/>
      <c r="E19" s="71"/>
      <c r="F19" s="71"/>
      <c r="G19" s="71"/>
      <c r="H19" s="71"/>
      <c r="I19" s="71"/>
      <c r="J19" s="71"/>
      <c r="K19" s="71"/>
      <c r="L19" s="71"/>
      <c r="M19" s="71"/>
      <c r="O19" s="80"/>
    </row>
    <row r="20" spans="1:17" x14ac:dyDescent="0.25">
      <c r="A20" s="66"/>
      <c r="B20" s="66"/>
      <c r="C20" s="66"/>
      <c r="D20" s="66"/>
      <c r="E20" s="66"/>
      <c r="F20" s="66"/>
      <c r="G20" s="66"/>
      <c r="H20" s="66"/>
      <c r="I20" s="66"/>
      <c r="J20" s="66"/>
      <c r="K20" s="66"/>
      <c r="L20" s="66"/>
      <c r="M20" s="67"/>
      <c r="O20" s="81"/>
    </row>
    <row r="21" spans="1:17" x14ac:dyDescent="0.25">
      <c r="A21" s="66"/>
      <c r="B21" s="66"/>
      <c r="C21" s="66"/>
      <c r="D21" s="66"/>
      <c r="E21" s="66"/>
      <c r="F21" s="66"/>
      <c r="G21" s="66"/>
      <c r="H21" s="66"/>
      <c r="I21" s="66"/>
      <c r="J21" s="66"/>
      <c r="K21" s="66"/>
      <c r="L21" s="66"/>
      <c r="M21" s="67"/>
      <c r="O21" s="82"/>
    </row>
    <row r="22" spans="1:17" x14ac:dyDescent="0.25">
      <c r="A22" s="66"/>
      <c r="B22" s="66"/>
      <c r="C22" s="66"/>
      <c r="D22" s="66"/>
      <c r="E22" s="66"/>
      <c r="F22" s="66"/>
      <c r="G22" s="66"/>
      <c r="H22" s="66"/>
      <c r="I22" s="66"/>
      <c r="J22" s="66"/>
      <c r="K22" s="66"/>
      <c r="L22" s="66"/>
      <c r="M22" s="67"/>
    </row>
    <row r="23" spans="1:17" x14ac:dyDescent="0.25">
      <c r="A23" s="66"/>
      <c r="B23" s="66"/>
      <c r="C23" s="66"/>
      <c r="D23" s="66"/>
      <c r="E23" s="66"/>
      <c r="F23" s="66"/>
      <c r="G23" s="66"/>
      <c r="H23" s="66"/>
      <c r="I23" s="66"/>
      <c r="J23" s="66"/>
      <c r="K23" s="66"/>
      <c r="L23" s="66"/>
      <c r="M23" s="67"/>
    </row>
    <row r="24" spans="1:17" x14ac:dyDescent="0.25">
      <c r="A24" s="66"/>
      <c r="B24" s="66"/>
      <c r="C24" s="66"/>
      <c r="D24" s="66"/>
      <c r="E24" s="66"/>
      <c r="F24" s="66"/>
      <c r="G24" s="66"/>
      <c r="H24" s="66"/>
      <c r="I24" s="66"/>
      <c r="J24" s="66"/>
      <c r="K24" s="66"/>
      <c r="L24" s="66"/>
      <c r="M24" s="67"/>
    </row>
    <row r="25" spans="1:17" x14ac:dyDescent="0.25">
      <c r="A25" s="66"/>
      <c r="B25" s="66"/>
      <c r="C25" s="66"/>
      <c r="D25" s="66"/>
      <c r="E25" s="66"/>
      <c r="F25" s="66"/>
      <c r="G25" s="66"/>
      <c r="H25" s="66"/>
      <c r="I25" s="66"/>
      <c r="J25" s="66"/>
      <c r="K25" s="66"/>
      <c r="L25" s="66"/>
      <c r="M25" s="67"/>
    </row>
    <row r="26" spans="1:17" x14ac:dyDescent="0.25">
      <c r="A26" s="66"/>
      <c r="B26" s="66"/>
      <c r="C26" s="66"/>
      <c r="D26" s="66"/>
      <c r="E26" s="66"/>
      <c r="F26" s="66"/>
      <c r="G26" s="66"/>
      <c r="H26" s="66"/>
      <c r="I26" s="66"/>
      <c r="J26" s="66"/>
      <c r="K26" s="66"/>
      <c r="L26" s="66"/>
      <c r="M26" s="67"/>
    </row>
    <row r="27" spans="1:17" x14ac:dyDescent="0.25">
      <c r="A27" s="66"/>
      <c r="B27" s="66"/>
      <c r="C27" s="66"/>
      <c r="D27" s="66"/>
      <c r="E27" s="66"/>
      <c r="F27" s="66"/>
      <c r="G27" s="66"/>
      <c r="H27" s="66"/>
      <c r="I27" s="66"/>
      <c r="J27" s="66"/>
      <c r="K27" s="66"/>
      <c r="L27" s="66"/>
      <c r="M27" s="67"/>
    </row>
    <row r="28" spans="1:17" x14ac:dyDescent="0.25">
      <c r="A28" s="66"/>
      <c r="B28" s="66"/>
      <c r="C28" s="66"/>
      <c r="D28" s="66"/>
      <c r="E28" s="66"/>
      <c r="F28" s="66"/>
      <c r="G28" s="66"/>
      <c r="H28" s="66"/>
      <c r="I28" s="66"/>
      <c r="J28" s="66"/>
      <c r="K28" s="66"/>
      <c r="L28" s="66"/>
      <c r="M28" s="66"/>
    </row>
    <row r="29" spans="1:17" x14ac:dyDescent="0.25">
      <c r="A29" s="66"/>
      <c r="B29" s="66"/>
      <c r="C29" s="66"/>
      <c r="D29" s="66"/>
      <c r="E29" s="66"/>
      <c r="F29" s="66"/>
      <c r="G29" s="66"/>
      <c r="H29" s="66"/>
      <c r="I29" s="66"/>
      <c r="J29" s="66"/>
      <c r="K29" s="66"/>
      <c r="L29" s="66"/>
      <c r="M29" s="66"/>
    </row>
    <row r="30" spans="1:17" x14ac:dyDescent="0.25">
      <c r="A30" s="66"/>
      <c r="B30" s="66"/>
      <c r="C30" s="66"/>
      <c r="D30" s="66"/>
      <c r="E30" s="66"/>
      <c r="F30" s="66"/>
      <c r="G30" s="66"/>
      <c r="H30" s="66"/>
      <c r="I30" s="66"/>
      <c r="J30" s="66"/>
      <c r="K30" s="66"/>
      <c r="L30" s="66"/>
      <c r="M30" s="66"/>
    </row>
    <row r="31" spans="1:17" x14ac:dyDescent="0.25">
      <c r="A31" s="66"/>
      <c r="B31" s="66"/>
      <c r="C31" s="66"/>
      <c r="D31" s="66"/>
      <c r="E31" s="66"/>
      <c r="F31" s="66"/>
      <c r="G31" s="66"/>
      <c r="H31" s="66"/>
      <c r="I31" s="66"/>
      <c r="J31" s="66"/>
      <c r="K31" s="66"/>
      <c r="L31" s="66"/>
      <c r="M31" s="66"/>
    </row>
    <row r="32" spans="1:17" x14ac:dyDescent="0.25">
      <c r="A32" s="66"/>
      <c r="B32" s="66"/>
      <c r="C32" s="66"/>
      <c r="D32" s="66"/>
      <c r="E32" s="66"/>
      <c r="F32" s="66"/>
      <c r="G32" s="66"/>
      <c r="H32" s="66"/>
      <c r="I32" s="66"/>
      <c r="J32" s="66"/>
      <c r="K32" s="66"/>
      <c r="L32" s="66"/>
      <c r="M32" s="66"/>
    </row>
    <row r="33" spans="1:13" x14ac:dyDescent="0.25">
      <c r="A33" s="66"/>
      <c r="B33" s="66"/>
      <c r="C33" s="66"/>
      <c r="D33" s="66"/>
      <c r="E33" s="66"/>
      <c r="F33" s="66"/>
      <c r="G33" s="66"/>
      <c r="H33" s="66"/>
      <c r="I33" s="66"/>
      <c r="J33" s="66"/>
      <c r="K33" s="66"/>
      <c r="L33" s="66"/>
      <c r="M33" s="66"/>
    </row>
    <row r="34" spans="1:13" x14ac:dyDescent="0.25">
      <c r="A34" s="66"/>
      <c r="B34" s="66"/>
      <c r="C34" s="66"/>
      <c r="D34" s="66"/>
      <c r="E34" s="66"/>
      <c r="F34" s="66"/>
      <c r="G34" s="66"/>
      <c r="H34" s="66"/>
      <c r="I34" s="66"/>
      <c r="J34" s="66"/>
      <c r="K34" s="66"/>
      <c r="L34" s="66"/>
      <c r="M34" s="66"/>
    </row>
    <row r="35" spans="1:13" x14ac:dyDescent="0.25">
      <c r="A35" s="66"/>
      <c r="B35" s="66"/>
      <c r="C35" s="66"/>
      <c r="D35" s="66"/>
      <c r="E35" s="66"/>
      <c r="F35" s="66"/>
      <c r="G35" s="66"/>
      <c r="H35" s="66"/>
      <c r="I35" s="66"/>
      <c r="J35" s="66"/>
      <c r="K35" s="66"/>
      <c r="L35" s="66"/>
      <c r="M35" s="66"/>
    </row>
    <row r="36" spans="1:13" x14ac:dyDescent="0.25">
      <c r="A36" s="66"/>
      <c r="B36" s="66"/>
      <c r="C36" s="66"/>
      <c r="D36" s="66"/>
      <c r="E36" s="66"/>
      <c r="F36" s="66"/>
      <c r="G36" s="66"/>
      <c r="H36" s="66"/>
      <c r="I36" s="66"/>
      <c r="J36" s="66"/>
      <c r="K36" s="66"/>
      <c r="L36" s="66"/>
      <c r="M36" s="66"/>
    </row>
    <row r="37" spans="1:13" x14ac:dyDescent="0.25">
      <c r="A37" s="66"/>
      <c r="B37" s="66"/>
      <c r="C37" s="66"/>
      <c r="D37" s="66"/>
      <c r="E37" s="66"/>
      <c r="F37" s="66"/>
      <c r="G37" s="66"/>
      <c r="H37" s="66"/>
      <c r="I37" s="66"/>
      <c r="J37" s="66"/>
      <c r="K37" s="66"/>
      <c r="L37" s="66"/>
      <c r="M37" s="66"/>
    </row>
    <row r="38" spans="1:13" x14ac:dyDescent="0.25">
      <c r="A38" s="66"/>
      <c r="B38" s="66"/>
      <c r="C38" s="66"/>
      <c r="D38" s="66"/>
      <c r="E38" s="66"/>
      <c r="F38" s="66"/>
      <c r="G38" s="66"/>
      <c r="H38" s="66"/>
      <c r="I38" s="66"/>
      <c r="J38" s="66"/>
      <c r="K38" s="66"/>
      <c r="L38" s="66"/>
      <c r="M38" s="66"/>
    </row>
    <row r="39" spans="1:13" x14ac:dyDescent="0.25">
      <c r="A39" s="66"/>
      <c r="B39" s="66"/>
      <c r="C39" s="66"/>
      <c r="D39" s="66"/>
      <c r="E39" s="66"/>
      <c r="F39" s="66"/>
      <c r="G39" s="66"/>
      <c r="H39" s="66"/>
      <c r="I39" s="66"/>
      <c r="J39" s="66"/>
      <c r="K39" s="66"/>
      <c r="L39" s="66"/>
      <c r="M39" s="66"/>
    </row>
    <row r="40" spans="1:13" x14ac:dyDescent="0.25">
      <c r="A40" s="66"/>
      <c r="B40" s="66"/>
      <c r="C40" s="66"/>
      <c r="D40" s="66"/>
      <c r="E40" s="66"/>
      <c r="F40" s="66"/>
      <c r="G40" s="66"/>
      <c r="H40" s="66"/>
      <c r="I40" s="66"/>
      <c r="J40" s="66"/>
      <c r="K40" s="66"/>
      <c r="L40" s="66"/>
      <c r="M40" s="66"/>
    </row>
    <row r="41" spans="1:13" x14ac:dyDescent="0.25">
      <c r="A41" s="66"/>
      <c r="B41" s="66"/>
      <c r="C41" s="66"/>
      <c r="D41" s="66"/>
      <c r="E41" s="66"/>
      <c r="F41" s="66"/>
      <c r="G41" s="66"/>
      <c r="H41" s="66"/>
      <c r="I41" s="66"/>
      <c r="J41" s="66"/>
      <c r="K41" s="66"/>
      <c r="L41" s="66"/>
      <c r="M41" s="66"/>
    </row>
    <row r="42" spans="1:13" x14ac:dyDescent="0.25">
      <c r="A42" s="66"/>
      <c r="B42" s="66"/>
      <c r="C42" s="66"/>
      <c r="D42" s="66"/>
      <c r="E42" s="66"/>
      <c r="F42" s="66"/>
      <c r="G42" s="66"/>
      <c r="H42" s="66"/>
      <c r="I42" s="66"/>
      <c r="J42" s="66"/>
      <c r="K42" s="66"/>
      <c r="L42" s="66"/>
      <c r="M42" s="66"/>
    </row>
    <row r="43" spans="1:13" x14ac:dyDescent="0.25">
      <c r="A43" s="66"/>
      <c r="B43" s="66"/>
      <c r="C43" s="66"/>
      <c r="D43" s="66"/>
      <c r="E43" s="66"/>
      <c r="F43" s="66"/>
      <c r="G43" s="66"/>
      <c r="H43" s="66"/>
      <c r="I43" s="66"/>
      <c r="J43" s="66"/>
      <c r="K43" s="66"/>
      <c r="L43" s="66"/>
      <c r="M43" s="66"/>
    </row>
    <row r="44" spans="1:13" x14ac:dyDescent="0.25">
      <c r="A44" s="66"/>
      <c r="B44" s="66"/>
      <c r="C44" s="66"/>
      <c r="D44" s="66"/>
      <c r="E44" s="66"/>
      <c r="F44" s="66"/>
      <c r="G44" s="66"/>
      <c r="H44" s="66"/>
      <c r="I44" s="66"/>
      <c r="J44" s="66"/>
      <c r="K44" s="66"/>
      <c r="L44" s="66"/>
      <c r="M44" s="66"/>
    </row>
    <row r="45" spans="1:13" x14ac:dyDescent="0.25">
      <c r="A45" s="66"/>
      <c r="B45" s="66"/>
      <c r="C45" s="66"/>
      <c r="D45" s="66"/>
      <c r="E45" s="66"/>
      <c r="F45" s="66"/>
      <c r="G45" s="66"/>
      <c r="H45" s="66"/>
      <c r="I45" s="66"/>
      <c r="J45" s="66"/>
      <c r="K45" s="66"/>
      <c r="L45" s="66"/>
      <c r="M45" s="66"/>
    </row>
    <row r="46" spans="1:13" x14ac:dyDescent="0.25">
      <c r="A46" s="66"/>
      <c r="B46" s="66"/>
      <c r="C46" s="66"/>
      <c r="D46" s="66"/>
      <c r="E46" s="66"/>
      <c r="F46" s="66"/>
      <c r="G46" s="66"/>
      <c r="H46" s="66"/>
      <c r="I46" s="66"/>
      <c r="J46" s="66"/>
      <c r="K46" s="66"/>
      <c r="L46" s="66"/>
      <c r="M46" s="66"/>
    </row>
    <row r="47" spans="1:13" x14ac:dyDescent="0.25">
      <c r="A47" s="66"/>
      <c r="B47" s="66"/>
      <c r="C47" s="66"/>
      <c r="D47" s="66"/>
      <c r="E47" s="66"/>
      <c r="F47" s="66"/>
      <c r="G47" s="66"/>
      <c r="H47" s="66"/>
      <c r="I47" s="66"/>
      <c r="J47" s="66"/>
      <c r="K47" s="66"/>
      <c r="L47" s="66"/>
      <c r="M47" s="66"/>
    </row>
    <row r="48" spans="1:13" x14ac:dyDescent="0.25">
      <c r="A48" s="66"/>
      <c r="B48" s="66"/>
      <c r="C48" s="66"/>
      <c r="D48" s="66"/>
      <c r="E48" s="66"/>
      <c r="F48" s="66"/>
      <c r="G48" s="66"/>
      <c r="H48" s="66"/>
      <c r="I48" s="66"/>
      <c r="J48" s="66"/>
      <c r="K48" s="66"/>
      <c r="L48" s="66"/>
      <c r="M48" s="66"/>
    </row>
    <row r="49" spans="1:13" x14ac:dyDescent="0.25">
      <c r="A49" s="66"/>
      <c r="B49" s="66"/>
      <c r="C49" s="66"/>
      <c r="D49" s="66"/>
      <c r="E49" s="66"/>
      <c r="F49" s="66"/>
      <c r="G49" s="66"/>
      <c r="H49" s="66"/>
      <c r="I49" s="66"/>
      <c r="J49" s="66"/>
      <c r="K49" s="66"/>
      <c r="L49" s="66"/>
      <c r="M49" s="66"/>
    </row>
    <row r="50" spans="1:13" x14ac:dyDescent="0.25">
      <c r="A50" s="66"/>
      <c r="B50" s="66"/>
      <c r="C50" s="66"/>
      <c r="D50" s="66"/>
      <c r="E50" s="66"/>
      <c r="F50" s="66"/>
      <c r="G50" s="66"/>
      <c r="H50" s="66"/>
      <c r="I50" s="66"/>
      <c r="J50" s="66"/>
      <c r="K50" s="66"/>
      <c r="L50" s="66"/>
      <c r="M50" s="66"/>
    </row>
    <row r="51" spans="1:13" x14ac:dyDescent="0.25">
      <c r="A51" s="66"/>
      <c r="B51" s="66"/>
      <c r="C51" s="66"/>
      <c r="D51" s="66"/>
      <c r="E51" s="66"/>
      <c r="F51" s="66"/>
      <c r="G51" s="66"/>
      <c r="H51" s="66"/>
      <c r="I51" s="66"/>
      <c r="J51" s="66"/>
      <c r="K51" s="66"/>
      <c r="L51" s="66"/>
      <c r="M51" s="66"/>
    </row>
    <row r="52" spans="1:13" x14ac:dyDescent="0.25">
      <c r="A52" s="66"/>
      <c r="B52" s="66"/>
      <c r="C52" s="66"/>
      <c r="D52" s="66"/>
      <c r="E52" s="66"/>
      <c r="F52" s="66"/>
      <c r="G52" s="66"/>
      <c r="H52" s="66"/>
      <c r="I52" s="66"/>
      <c r="J52" s="66"/>
      <c r="K52" s="66"/>
      <c r="L52" s="66"/>
      <c r="M52" s="66"/>
    </row>
    <row r="53" spans="1:13" x14ac:dyDescent="0.25">
      <c r="A53" s="66"/>
      <c r="B53" s="66"/>
      <c r="C53" s="66"/>
      <c r="D53" s="66"/>
      <c r="E53" s="66"/>
      <c r="F53" s="66"/>
      <c r="G53" s="66"/>
      <c r="H53" s="66"/>
      <c r="I53" s="66"/>
      <c r="J53" s="66"/>
      <c r="K53" s="66"/>
      <c r="L53" s="66"/>
      <c r="M53" s="66"/>
    </row>
    <row r="54" spans="1:13" x14ac:dyDescent="0.25">
      <c r="A54" s="66"/>
      <c r="B54" s="66"/>
      <c r="C54" s="66"/>
      <c r="D54" s="66"/>
      <c r="E54" s="66"/>
      <c r="F54" s="66"/>
      <c r="G54" s="66"/>
      <c r="H54" s="66"/>
      <c r="I54" s="66"/>
      <c r="J54" s="66"/>
      <c r="K54" s="66"/>
      <c r="L54" s="66"/>
      <c r="M54" s="66"/>
    </row>
    <row r="55" spans="1:13" x14ac:dyDescent="0.25">
      <c r="A55" s="66"/>
      <c r="B55" s="66"/>
      <c r="C55" s="66"/>
      <c r="D55" s="66"/>
      <c r="E55" s="66"/>
      <c r="F55" s="66"/>
      <c r="G55" s="66"/>
      <c r="H55" s="66"/>
      <c r="I55" s="66"/>
      <c r="J55" s="66"/>
      <c r="K55" s="66"/>
      <c r="L55" s="66"/>
      <c r="M55" s="66"/>
    </row>
    <row r="56" spans="1:13" x14ac:dyDescent="0.25">
      <c r="A56" s="66"/>
      <c r="B56" s="66"/>
      <c r="C56" s="66"/>
      <c r="D56" s="66"/>
      <c r="E56" s="66"/>
      <c r="F56" s="66"/>
      <c r="G56" s="66"/>
      <c r="H56" s="66"/>
      <c r="I56" s="66"/>
      <c r="J56" s="66"/>
      <c r="K56" s="66"/>
      <c r="L56" s="66"/>
      <c r="M56" s="66"/>
    </row>
    <row r="57" spans="1:13" x14ac:dyDescent="0.25">
      <c r="A57" s="66"/>
      <c r="B57" s="66"/>
      <c r="C57" s="66"/>
      <c r="D57" s="66"/>
      <c r="E57" s="66"/>
      <c r="F57" s="66"/>
      <c r="G57" s="66"/>
      <c r="H57" s="66"/>
      <c r="I57" s="66"/>
      <c r="J57" s="66"/>
      <c r="K57" s="66"/>
      <c r="L57" s="66"/>
      <c r="M57" s="66"/>
    </row>
    <row r="58" spans="1:13" x14ac:dyDescent="0.25">
      <c r="A58" s="66"/>
      <c r="B58" s="66"/>
      <c r="C58" s="66"/>
      <c r="D58" s="66"/>
      <c r="E58" s="66"/>
      <c r="F58" s="66"/>
      <c r="G58" s="66"/>
      <c r="H58" s="66"/>
      <c r="I58" s="66"/>
      <c r="J58" s="66"/>
      <c r="K58" s="66"/>
      <c r="L58" s="66"/>
      <c r="M58" s="66"/>
    </row>
    <row r="59" spans="1:13" x14ac:dyDescent="0.25">
      <c r="A59" s="66"/>
      <c r="B59" s="66"/>
      <c r="C59" s="66"/>
      <c r="D59" s="66"/>
      <c r="E59" s="66"/>
      <c r="F59" s="66"/>
      <c r="G59" s="66"/>
      <c r="H59" s="66"/>
      <c r="I59" s="66"/>
      <c r="J59" s="66"/>
      <c r="K59" s="66"/>
      <c r="L59" s="66"/>
      <c r="M59" s="66"/>
    </row>
    <row r="60" spans="1:13" x14ac:dyDescent="0.25">
      <c r="A60" s="66"/>
      <c r="B60" s="66"/>
      <c r="C60" s="66"/>
      <c r="D60" s="66"/>
      <c r="E60" s="66"/>
      <c r="F60" s="66"/>
      <c r="G60" s="66"/>
      <c r="H60" s="66"/>
      <c r="I60" s="66"/>
      <c r="J60" s="66"/>
      <c r="K60" s="66"/>
      <c r="L60" s="66"/>
      <c r="M60" s="66"/>
    </row>
    <row r="61" spans="1:13" x14ac:dyDescent="0.25">
      <c r="A61" s="66"/>
      <c r="B61" s="66"/>
      <c r="C61" s="66"/>
      <c r="D61" s="66"/>
      <c r="E61" s="66"/>
      <c r="F61" s="66"/>
      <c r="G61" s="66"/>
      <c r="H61" s="66"/>
      <c r="I61" s="66"/>
      <c r="J61" s="66"/>
      <c r="K61" s="66"/>
      <c r="L61" s="66"/>
      <c r="M61" s="66"/>
    </row>
    <row r="62" spans="1:13" x14ac:dyDescent="0.25">
      <c r="A62" s="66"/>
      <c r="B62" s="66"/>
      <c r="C62" s="66"/>
      <c r="D62" s="66"/>
      <c r="E62" s="66"/>
      <c r="F62" s="66"/>
      <c r="G62" s="66"/>
      <c r="H62" s="66"/>
      <c r="I62" s="66"/>
      <c r="J62" s="66"/>
      <c r="K62" s="66"/>
      <c r="L62" s="66"/>
      <c r="M62" s="66"/>
    </row>
    <row r="63" spans="1:13" x14ac:dyDescent="0.25">
      <c r="A63" s="66"/>
      <c r="B63" s="66"/>
      <c r="C63" s="66"/>
      <c r="D63" s="66"/>
      <c r="E63" s="66"/>
      <c r="F63" s="66"/>
      <c r="G63" s="66"/>
      <c r="H63" s="66"/>
      <c r="I63" s="66"/>
      <c r="J63" s="66"/>
      <c r="K63" s="66"/>
      <c r="L63" s="66"/>
      <c r="M63" s="66"/>
    </row>
    <row r="64" spans="1:13" x14ac:dyDescent="0.25">
      <c r="A64" s="66"/>
      <c r="B64" s="66"/>
      <c r="C64" s="66"/>
      <c r="D64" s="66"/>
      <c r="E64" s="66"/>
      <c r="F64" s="66"/>
      <c r="G64" s="66"/>
      <c r="H64" s="66"/>
      <c r="I64" s="66"/>
      <c r="J64" s="66"/>
      <c r="K64" s="66"/>
      <c r="L64" s="66"/>
      <c r="M64" s="66"/>
    </row>
    <row r="65" spans="1:13" x14ac:dyDescent="0.25">
      <c r="A65" s="66"/>
      <c r="B65" s="66"/>
      <c r="C65" s="66"/>
      <c r="D65" s="66"/>
      <c r="E65" s="66"/>
      <c r="F65" s="66"/>
      <c r="G65" s="66"/>
      <c r="H65" s="66"/>
      <c r="I65" s="66"/>
      <c r="J65" s="66"/>
      <c r="K65" s="66"/>
      <c r="L65" s="66"/>
      <c r="M65" s="66"/>
    </row>
    <row r="66" spans="1:13" x14ac:dyDescent="0.25">
      <c r="A66" s="66"/>
      <c r="B66" s="66"/>
      <c r="C66" s="66"/>
      <c r="D66" s="66"/>
      <c r="E66" s="66"/>
      <c r="F66" s="66"/>
      <c r="G66" s="66"/>
      <c r="H66" s="66"/>
      <c r="I66" s="66"/>
      <c r="J66" s="66"/>
      <c r="K66" s="66"/>
      <c r="L66" s="66"/>
      <c r="M66" s="66"/>
    </row>
    <row r="67" spans="1:13" x14ac:dyDescent="0.25">
      <c r="A67" s="66"/>
      <c r="B67" s="66"/>
      <c r="C67" s="66"/>
      <c r="D67" s="66"/>
      <c r="E67" s="66"/>
      <c r="F67" s="66"/>
      <c r="G67" s="66"/>
      <c r="H67" s="66"/>
      <c r="I67" s="66"/>
      <c r="J67" s="66"/>
      <c r="K67" s="66"/>
      <c r="L67" s="66"/>
      <c r="M67" s="66"/>
    </row>
    <row r="68" spans="1:13" x14ac:dyDescent="0.25">
      <c r="A68" s="66"/>
      <c r="B68" s="66"/>
      <c r="C68" s="66"/>
      <c r="D68" s="66"/>
      <c r="E68" s="66"/>
      <c r="F68" s="66"/>
      <c r="G68" s="66"/>
      <c r="H68" s="66"/>
      <c r="I68" s="66"/>
      <c r="J68" s="66"/>
      <c r="K68" s="66"/>
      <c r="L68" s="66"/>
      <c r="M68" s="66"/>
    </row>
    <row r="69" spans="1:13" x14ac:dyDescent="0.25">
      <c r="A69" s="66"/>
      <c r="B69" s="66"/>
      <c r="C69" s="66"/>
      <c r="D69" s="66"/>
      <c r="E69" s="66"/>
      <c r="F69" s="66"/>
      <c r="G69" s="66"/>
      <c r="H69" s="66"/>
      <c r="I69" s="66"/>
      <c r="J69" s="66"/>
      <c r="K69" s="66"/>
      <c r="L69" s="66"/>
      <c r="M69" s="66"/>
    </row>
    <row r="70" spans="1:13" x14ac:dyDescent="0.25">
      <c r="A70" s="66"/>
      <c r="B70" s="66"/>
      <c r="C70" s="66"/>
      <c r="D70" s="66"/>
      <c r="E70" s="66"/>
      <c r="F70" s="66"/>
      <c r="G70" s="66"/>
      <c r="H70" s="66"/>
      <c r="I70" s="66"/>
      <c r="J70" s="66"/>
      <c r="K70" s="66"/>
      <c r="L70" s="66"/>
      <c r="M70" s="66"/>
    </row>
    <row r="71" spans="1:13" x14ac:dyDescent="0.25">
      <c r="A71" s="66"/>
      <c r="B71" s="66"/>
      <c r="C71" s="66"/>
      <c r="D71" s="66"/>
      <c r="E71" s="66"/>
      <c r="F71" s="66"/>
      <c r="G71" s="66"/>
      <c r="H71" s="66"/>
      <c r="I71" s="66"/>
      <c r="J71" s="66"/>
      <c r="K71" s="66"/>
      <c r="L71" s="66"/>
      <c r="M71" s="66"/>
    </row>
    <row r="72" spans="1:13" x14ac:dyDescent="0.25">
      <c r="A72" s="66"/>
      <c r="B72" s="66"/>
      <c r="C72" s="66"/>
      <c r="D72" s="66"/>
      <c r="E72" s="66"/>
      <c r="F72" s="66"/>
      <c r="G72" s="66"/>
      <c r="H72" s="66"/>
      <c r="I72" s="66"/>
      <c r="J72" s="66"/>
      <c r="K72" s="66"/>
      <c r="L72" s="66"/>
      <c r="M72" s="66"/>
    </row>
    <row r="73" spans="1:13" x14ac:dyDescent="0.25">
      <c r="A73" s="66"/>
      <c r="B73" s="66"/>
      <c r="C73" s="66"/>
      <c r="D73" s="66"/>
      <c r="E73" s="66"/>
      <c r="F73" s="66"/>
      <c r="G73" s="66"/>
      <c r="H73" s="66"/>
      <c r="I73" s="66"/>
      <c r="J73" s="66"/>
      <c r="K73" s="66"/>
      <c r="L73" s="66"/>
      <c r="M73" s="66"/>
    </row>
    <row r="74" spans="1:13" x14ac:dyDescent="0.25">
      <c r="A74" s="66"/>
      <c r="B74" s="66"/>
      <c r="C74" s="66"/>
      <c r="D74" s="66"/>
      <c r="E74" s="66"/>
      <c r="F74" s="66"/>
      <c r="G74" s="66"/>
      <c r="H74" s="66"/>
      <c r="I74" s="66"/>
      <c r="J74" s="66"/>
      <c r="K74" s="66"/>
      <c r="L74" s="66"/>
      <c r="M74" s="66"/>
    </row>
    <row r="75" spans="1:13" x14ac:dyDescent="0.25">
      <c r="A75" s="66"/>
      <c r="B75" s="66"/>
      <c r="C75" s="66"/>
      <c r="D75" s="66"/>
      <c r="E75" s="66"/>
      <c r="F75" s="66"/>
      <c r="G75" s="66"/>
      <c r="H75" s="66"/>
      <c r="I75" s="66"/>
      <c r="J75" s="66"/>
      <c r="K75" s="66"/>
      <c r="L75" s="66"/>
      <c r="M75" s="66"/>
    </row>
    <row r="76" spans="1:13" x14ac:dyDescent="0.25">
      <c r="A76" s="66"/>
      <c r="B76" s="66"/>
      <c r="C76" s="66"/>
      <c r="D76" s="66"/>
      <c r="E76" s="66"/>
      <c r="F76" s="66"/>
      <c r="G76" s="66"/>
      <c r="H76" s="66"/>
      <c r="I76" s="66"/>
      <c r="J76" s="66"/>
      <c r="K76" s="66"/>
      <c r="L76" s="66"/>
      <c r="M76" s="66"/>
    </row>
    <row r="77" spans="1:13" x14ac:dyDescent="0.25">
      <c r="A77" s="66"/>
      <c r="B77" s="66"/>
      <c r="C77" s="66"/>
      <c r="D77" s="66"/>
      <c r="E77" s="66"/>
      <c r="F77" s="66"/>
      <c r="G77" s="66"/>
      <c r="H77" s="66"/>
      <c r="I77" s="66"/>
      <c r="J77" s="66"/>
      <c r="K77" s="66"/>
      <c r="L77" s="66"/>
      <c r="M77" s="66"/>
    </row>
    <row r="78" spans="1:13" x14ac:dyDescent="0.25">
      <c r="A78" s="66"/>
      <c r="B78" s="66"/>
      <c r="C78" s="66"/>
      <c r="D78" s="66"/>
      <c r="E78" s="66"/>
      <c r="F78" s="66"/>
      <c r="G78" s="66"/>
      <c r="H78" s="66"/>
      <c r="I78" s="66"/>
      <c r="J78" s="66"/>
      <c r="K78" s="66"/>
      <c r="L78" s="66"/>
      <c r="M78" s="66"/>
    </row>
    <row r="79" spans="1:13" x14ac:dyDescent="0.25">
      <c r="A79" s="66"/>
      <c r="B79" s="66"/>
      <c r="C79" s="66"/>
      <c r="D79" s="66"/>
      <c r="E79" s="66"/>
      <c r="F79" s="66"/>
      <c r="G79" s="66"/>
      <c r="H79" s="66"/>
      <c r="I79" s="66"/>
      <c r="J79" s="66"/>
      <c r="K79" s="66"/>
      <c r="L79" s="66"/>
      <c r="M79" s="66"/>
    </row>
    <row r="80" spans="1:13" x14ac:dyDescent="0.25">
      <c r="A80" s="66"/>
      <c r="B80" s="66"/>
      <c r="C80" s="66"/>
      <c r="D80" s="66"/>
      <c r="E80" s="66"/>
      <c r="F80" s="66"/>
      <c r="G80" s="66"/>
      <c r="H80" s="66"/>
      <c r="I80" s="66"/>
      <c r="J80" s="66"/>
      <c r="K80" s="66"/>
      <c r="L80" s="66"/>
      <c r="M80" s="66"/>
    </row>
    <row r="81" spans="1:13" x14ac:dyDescent="0.25">
      <c r="A81" s="66"/>
      <c r="B81" s="66"/>
      <c r="C81" s="66"/>
      <c r="D81" s="66"/>
      <c r="E81" s="66"/>
      <c r="F81" s="66"/>
      <c r="G81" s="66"/>
      <c r="H81" s="66"/>
      <c r="I81" s="66"/>
      <c r="J81" s="66"/>
      <c r="K81" s="66"/>
      <c r="L81" s="66"/>
      <c r="M81" s="66"/>
    </row>
    <row r="82" spans="1:13" x14ac:dyDescent="0.25">
      <c r="A82" s="66"/>
      <c r="B82" s="66"/>
      <c r="C82" s="66"/>
      <c r="D82" s="66"/>
      <c r="E82" s="66"/>
      <c r="F82" s="66"/>
      <c r="G82" s="66"/>
      <c r="H82" s="66"/>
      <c r="I82" s="66"/>
      <c r="J82" s="66"/>
      <c r="K82" s="66"/>
      <c r="L82" s="66"/>
      <c r="M82" s="66"/>
    </row>
    <row r="83" spans="1:13" x14ac:dyDescent="0.25">
      <c r="A83" s="66"/>
      <c r="B83" s="66"/>
      <c r="C83" s="66"/>
      <c r="D83" s="66"/>
      <c r="E83" s="66"/>
      <c r="F83" s="66"/>
      <c r="G83" s="66"/>
      <c r="H83" s="66"/>
      <c r="I83" s="66"/>
      <c r="J83" s="66"/>
      <c r="K83" s="66"/>
      <c r="L83" s="66"/>
      <c r="M83" s="66"/>
    </row>
    <row r="84" spans="1:13" x14ac:dyDescent="0.25">
      <c r="A84" s="66"/>
      <c r="B84" s="66"/>
      <c r="C84" s="66"/>
      <c r="D84" s="66"/>
      <c r="E84" s="66"/>
      <c r="F84" s="66"/>
      <c r="G84" s="66"/>
      <c r="H84" s="66"/>
      <c r="I84" s="66"/>
      <c r="J84" s="66"/>
      <c r="K84" s="66"/>
      <c r="L84" s="66"/>
      <c r="M84" s="66"/>
    </row>
    <row r="85" spans="1:13" x14ac:dyDescent="0.25">
      <c r="A85" s="66"/>
      <c r="B85" s="66"/>
      <c r="C85" s="66"/>
      <c r="D85" s="66"/>
      <c r="E85" s="66"/>
      <c r="F85" s="66"/>
      <c r="G85" s="66"/>
      <c r="H85" s="66"/>
      <c r="I85" s="66"/>
      <c r="J85" s="66"/>
      <c r="K85" s="66"/>
      <c r="L85" s="66"/>
      <c r="M85" s="66"/>
    </row>
    <row r="86" spans="1:13" x14ac:dyDescent="0.25">
      <c r="A86" s="66"/>
      <c r="B86" s="66"/>
      <c r="C86" s="66"/>
      <c r="D86" s="66"/>
      <c r="E86" s="66"/>
      <c r="F86" s="66"/>
      <c r="G86" s="66"/>
      <c r="H86" s="66"/>
      <c r="I86" s="66"/>
      <c r="J86" s="66"/>
      <c r="K86" s="66"/>
      <c r="L86" s="66"/>
      <c r="M86" s="66"/>
    </row>
    <row r="87" spans="1:13" x14ac:dyDescent="0.25">
      <c r="A87" s="66"/>
      <c r="B87" s="66"/>
      <c r="C87" s="66"/>
      <c r="D87" s="66"/>
      <c r="E87" s="66"/>
      <c r="F87" s="66"/>
      <c r="G87" s="66"/>
      <c r="H87" s="66"/>
      <c r="I87" s="66"/>
      <c r="J87" s="66"/>
      <c r="K87" s="66"/>
      <c r="L87" s="66"/>
      <c r="M87" s="66"/>
    </row>
    <row r="88" spans="1:13" x14ac:dyDescent="0.25">
      <c r="A88" s="66"/>
      <c r="B88" s="66"/>
      <c r="C88" s="66"/>
      <c r="D88" s="66"/>
      <c r="E88" s="66"/>
      <c r="F88" s="66"/>
      <c r="G88" s="66"/>
      <c r="H88" s="66"/>
      <c r="I88" s="66"/>
      <c r="J88" s="66"/>
      <c r="K88" s="66"/>
      <c r="L88" s="66"/>
      <c r="M88" s="66"/>
    </row>
    <row r="89" spans="1:13" x14ac:dyDescent="0.25">
      <c r="A89" s="66"/>
      <c r="B89" s="66"/>
      <c r="C89" s="66"/>
      <c r="D89" s="66"/>
      <c r="E89" s="66"/>
      <c r="F89" s="66"/>
      <c r="G89" s="66"/>
      <c r="H89" s="66"/>
      <c r="I89" s="66"/>
      <c r="J89" s="66"/>
      <c r="K89" s="66"/>
      <c r="L89" s="66"/>
      <c r="M89" s="66"/>
    </row>
    <row r="90" spans="1:13" x14ac:dyDescent="0.25">
      <c r="A90" s="66"/>
      <c r="B90" s="66"/>
      <c r="C90" s="66"/>
      <c r="D90" s="66"/>
      <c r="E90" s="66"/>
      <c r="F90" s="66"/>
      <c r="G90" s="66"/>
      <c r="H90" s="66"/>
      <c r="I90" s="66"/>
      <c r="J90" s="66"/>
      <c r="K90" s="66"/>
      <c r="L90" s="66"/>
      <c r="M90" s="66"/>
    </row>
    <row r="91" spans="1:13" x14ac:dyDescent="0.25">
      <c r="A91" s="66"/>
      <c r="B91" s="66"/>
      <c r="C91" s="66"/>
      <c r="D91" s="66"/>
      <c r="E91" s="66"/>
      <c r="F91" s="66"/>
      <c r="G91" s="66"/>
      <c r="H91" s="66"/>
      <c r="I91" s="66"/>
      <c r="J91" s="66"/>
      <c r="K91" s="66"/>
      <c r="L91" s="66"/>
      <c r="M91" s="66"/>
    </row>
    <row r="92" spans="1:13" x14ac:dyDescent="0.25">
      <c r="A92" s="66"/>
      <c r="B92" s="66"/>
      <c r="C92" s="66"/>
      <c r="D92" s="66"/>
      <c r="E92" s="66"/>
      <c r="F92" s="66"/>
      <c r="G92" s="66"/>
      <c r="H92" s="66"/>
      <c r="I92" s="66"/>
      <c r="J92" s="66"/>
      <c r="K92" s="66"/>
      <c r="L92" s="66"/>
      <c r="M92" s="66"/>
    </row>
    <row r="93" spans="1:13" x14ac:dyDescent="0.25">
      <c r="A93" s="66"/>
      <c r="B93" s="66"/>
      <c r="C93" s="66"/>
      <c r="D93" s="66"/>
      <c r="E93" s="66"/>
      <c r="F93" s="66"/>
      <c r="G93" s="66"/>
      <c r="H93" s="66"/>
      <c r="I93" s="66"/>
      <c r="J93" s="66"/>
      <c r="K93" s="66"/>
      <c r="L93" s="66"/>
      <c r="M93" s="66"/>
    </row>
    <row r="94" spans="1:13" x14ac:dyDescent="0.25">
      <c r="A94" s="66"/>
      <c r="B94" s="66"/>
      <c r="C94" s="66"/>
      <c r="D94" s="66"/>
      <c r="E94" s="66"/>
      <c r="F94" s="66"/>
      <c r="G94" s="66"/>
      <c r="H94" s="66"/>
      <c r="I94" s="66"/>
      <c r="J94" s="66"/>
      <c r="K94" s="66"/>
      <c r="L94" s="66"/>
      <c r="M94" s="66"/>
    </row>
    <row r="95" spans="1:13" x14ac:dyDescent="0.25">
      <c r="A95" s="66"/>
      <c r="B95" s="66"/>
      <c r="C95" s="66"/>
      <c r="D95" s="66"/>
      <c r="E95" s="66"/>
      <c r="F95" s="66"/>
      <c r="G95" s="66"/>
      <c r="H95" s="66"/>
      <c r="I95" s="66"/>
      <c r="J95" s="66"/>
      <c r="K95" s="66"/>
      <c r="L95" s="66"/>
      <c r="M95" s="66"/>
    </row>
    <row r="96" spans="1:13" x14ac:dyDescent="0.25">
      <c r="A96" s="66"/>
      <c r="B96" s="66"/>
      <c r="C96" s="66"/>
      <c r="D96" s="66"/>
      <c r="E96" s="66"/>
      <c r="F96" s="66"/>
      <c r="G96" s="66"/>
      <c r="H96" s="66"/>
      <c r="I96" s="66"/>
      <c r="J96" s="66"/>
      <c r="K96" s="66"/>
      <c r="L96" s="66"/>
      <c r="M96" s="66"/>
    </row>
    <row r="97" spans="1:13" x14ac:dyDescent="0.25">
      <c r="A97" s="66"/>
      <c r="B97" s="66"/>
      <c r="C97" s="66"/>
      <c r="D97" s="66"/>
      <c r="E97" s="66"/>
      <c r="F97" s="66"/>
      <c r="G97" s="66"/>
      <c r="H97" s="66"/>
      <c r="I97" s="66"/>
      <c r="J97" s="66"/>
      <c r="K97" s="66"/>
      <c r="L97" s="66"/>
      <c r="M97" s="66"/>
    </row>
    <row r="98" spans="1:13" x14ac:dyDescent="0.25">
      <c r="A98" s="66"/>
      <c r="B98" s="66"/>
      <c r="C98" s="66"/>
      <c r="D98" s="66"/>
      <c r="E98" s="66"/>
      <c r="F98" s="66"/>
      <c r="G98" s="66"/>
      <c r="H98" s="66"/>
      <c r="I98" s="66"/>
      <c r="J98" s="66"/>
      <c r="K98" s="66"/>
      <c r="L98" s="66"/>
      <c r="M98" s="66"/>
    </row>
    <row r="99" spans="1:13" x14ac:dyDescent="0.25">
      <c r="A99" s="66"/>
      <c r="B99" s="66"/>
      <c r="C99" s="66"/>
      <c r="D99" s="66"/>
      <c r="E99" s="66"/>
      <c r="F99" s="66"/>
      <c r="G99" s="66"/>
      <c r="H99" s="66"/>
      <c r="I99" s="66"/>
      <c r="J99" s="66"/>
      <c r="K99" s="66"/>
      <c r="L99" s="66"/>
      <c r="M99" s="66"/>
    </row>
    <row r="100" spans="1:13" x14ac:dyDescent="0.25">
      <c r="A100" s="66"/>
      <c r="B100" s="66"/>
      <c r="C100" s="66"/>
      <c r="D100" s="66"/>
      <c r="E100" s="66"/>
      <c r="F100" s="66"/>
      <c r="G100" s="66"/>
      <c r="H100" s="66"/>
      <c r="I100" s="66"/>
      <c r="J100" s="66"/>
      <c r="K100" s="66"/>
      <c r="L100" s="66"/>
      <c r="M100" s="66"/>
    </row>
    <row r="101" spans="1:13" x14ac:dyDescent="0.25">
      <c r="A101" s="66"/>
      <c r="B101" s="66"/>
      <c r="C101" s="66"/>
      <c r="D101" s="66"/>
      <c r="E101" s="66"/>
      <c r="F101" s="66"/>
      <c r="G101" s="66"/>
      <c r="H101" s="66"/>
      <c r="I101" s="66"/>
      <c r="J101" s="66"/>
      <c r="K101" s="66"/>
      <c r="L101" s="66"/>
      <c r="M101" s="66"/>
    </row>
    <row r="102" spans="1:13" x14ac:dyDescent="0.25">
      <c r="A102" s="66"/>
      <c r="B102" s="66"/>
      <c r="C102" s="66"/>
      <c r="D102" s="66"/>
      <c r="E102" s="66"/>
      <c r="F102" s="66"/>
      <c r="G102" s="66"/>
      <c r="H102" s="66"/>
      <c r="I102" s="66"/>
      <c r="J102" s="66"/>
      <c r="K102" s="66"/>
      <c r="L102" s="66"/>
      <c r="M102" s="66"/>
    </row>
    <row r="103" spans="1:13" x14ac:dyDescent="0.25">
      <c r="A103" s="66"/>
      <c r="B103" s="66"/>
      <c r="C103" s="66"/>
      <c r="D103" s="66"/>
      <c r="E103" s="66"/>
      <c r="F103" s="66"/>
      <c r="G103" s="66"/>
      <c r="H103" s="66"/>
      <c r="I103" s="66"/>
      <c r="J103" s="66"/>
      <c r="K103" s="66"/>
      <c r="L103" s="66"/>
      <c r="M103" s="66"/>
    </row>
    <row r="104" spans="1:13" x14ac:dyDescent="0.25">
      <c r="A104" s="66"/>
      <c r="B104" s="66"/>
      <c r="C104" s="66"/>
      <c r="D104" s="66"/>
      <c r="E104" s="66"/>
      <c r="F104" s="66"/>
      <c r="G104" s="66"/>
      <c r="H104" s="66"/>
      <c r="I104" s="66"/>
      <c r="J104" s="66"/>
      <c r="K104" s="66"/>
      <c r="L104" s="66"/>
      <c r="M104" s="66"/>
    </row>
    <row r="105" spans="1:13" x14ac:dyDescent="0.25">
      <c r="A105" s="66"/>
      <c r="B105" s="66"/>
      <c r="C105" s="66"/>
      <c r="D105" s="66"/>
      <c r="E105" s="66"/>
      <c r="F105" s="66"/>
      <c r="G105" s="66"/>
      <c r="H105" s="66"/>
      <c r="I105" s="66"/>
      <c r="J105" s="66"/>
      <c r="K105" s="66"/>
      <c r="L105" s="66"/>
      <c r="M105" s="66"/>
    </row>
    <row r="106" spans="1:13" x14ac:dyDescent="0.25">
      <c r="A106" s="66"/>
      <c r="B106" s="66"/>
      <c r="C106" s="66"/>
      <c r="D106" s="66"/>
      <c r="E106" s="66"/>
      <c r="F106" s="66"/>
      <c r="G106" s="66"/>
      <c r="H106" s="66"/>
      <c r="I106" s="66"/>
      <c r="J106" s="66"/>
      <c r="K106" s="66"/>
      <c r="L106" s="66"/>
      <c r="M106" s="66"/>
    </row>
    <row r="107" spans="1:13" x14ac:dyDescent="0.25">
      <c r="A107" s="66"/>
      <c r="B107" s="66"/>
      <c r="C107" s="66"/>
      <c r="D107" s="66"/>
      <c r="E107" s="66"/>
      <c r="F107" s="66"/>
      <c r="G107" s="66"/>
      <c r="H107" s="66"/>
      <c r="I107" s="66"/>
      <c r="J107" s="66"/>
      <c r="K107" s="66"/>
      <c r="L107" s="66"/>
      <c r="M107" s="66"/>
    </row>
    <row r="108" spans="1:13" x14ac:dyDescent="0.25">
      <c r="A108" s="66"/>
      <c r="B108" s="66"/>
      <c r="C108" s="66"/>
      <c r="D108" s="66"/>
      <c r="E108" s="66"/>
      <c r="F108" s="66"/>
      <c r="G108" s="66"/>
      <c r="H108" s="66"/>
      <c r="I108" s="66"/>
      <c r="J108" s="66"/>
      <c r="K108" s="66"/>
      <c r="L108" s="66"/>
      <c r="M108" s="66"/>
    </row>
    <row r="109" spans="1:13" x14ac:dyDescent="0.25">
      <c r="A109" s="66"/>
      <c r="B109" s="66"/>
      <c r="C109" s="66"/>
      <c r="D109" s="66"/>
      <c r="E109" s="66"/>
      <c r="F109" s="66"/>
      <c r="G109" s="66"/>
      <c r="H109" s="66"/>
      <c r="I109" s="66"/>
      <c r="J109" s="66"/>
      <c r="K109" s="66"/>
      <c r="L109" s="66"/>
      <c r="M109" s="66"/>
    </row>
    <row r="110" spans="1:13" x14ac:dyDescent="0.25">
      <c r="A110" s="66"/>
      <c r="B110" s="66"/>
      <c r="C110" s="66"/>
      <c r="D110" s="66"/>
      <c r="E110" s="66"/>
      <c r="F110" s="66"/>
      <c r="G110" s="66"/>
      <c r="H110" s="66"/>
      <c r="I110" s="66"/>
      <c r="J110" s="66"/>
      <c r="K110" s="66"/>
      <c r="L110" s="66"/>
      <c r="M110" s="66"/>
    </row>
    <row r="111" spans="1:13" x14ac:dyDescent="0.25">
      <c r="A111" s="66"/>
      <c r="B111" s="66"/>
      <c r="C111" s="66"/>
      <c r="D111" s="66"/>
      <c r="E111" s="66"/>
      <c r="F111" s="66"/>
      <c r="G111" s="66"/>
      <c r="H111" s="66"/>
      <c r="I111" s="66"/>
      <c r="J111" s="66"/>
      <c r="K111" s="66"/>
      <c r="L111" s="66"/>
      <c r="M111" s="66"/>
    </row>
    <row r="112" spans="1:13" x14ac:dyDescent="0.25">
      <c r="A112" s="66"/>
      <c r="B112" s="66"/>
      <c r="C112" s="66"/>
      <c r="D112" s="66"/>
      <c r="E112" s="66"/>
      <c r="F112" s="66"/>
      <c r="G112" s="66"/>
      <c r="H112" s="66"/>
      <c r="I112" s="66"/>
      <c r="J112" s="66"/>
      <c r="K112" s="66"/>
      <c r="L112" s="66"/>
      <c r="M112" s="66"/>
    </row>
    <row r="113" spans="1:13" x14ac:dyDescent="0.25">
      <c r="A113" s="66"/>
      <c r="B113" s="66"/>
      <c r="C113" s="66"/>
      <c r="D113" s="66"/>
      <c r="E113" s="66"/>
      <c r="F113" s="66"/>
      <c r="G113" s="66"/>
      <c r="H113" s="66"/>
      <c r="I113" s="66"/>
      <c r="J113" s="66"/>
      <c r="K113" s="66"/>
      <c r="L113" s="66"/>
      <c r="M113" s="66"/>
    </row>
    <row r="114" spans="1:13" x14ac:dyDescent="0.25">
      <c r="A114" s="66"/>
      <c r="B114" s="66"/>
      <c r="C114" s="66"/>
      <c r="D114" s="66"/>
      <c r="E114" s="66"/>
      <c r="F114" s="66"/>
      <c r="G114" s="66"/>
      <c r="H114" s="66"/>
      <c r="I114" s="66"/>
      <c r="J114" s="66"/>
      <c r="K114" s="66"/>
      <c r="L114" s="66"/>
      <c r="M114" s="66"/>
    </row>
    <row r="115" spans="1:13" x14ac:dyDescent="0.25">
      <c r="A115" s="66"/>
      <c r="B115" s="66"/>
      <c r="C115" s="66"/>
      <c r="D115" s="66"/>
      <c r="E115" s="66"/>
      <c r="F115" s="66"/>
      <c r="G115" s="66"/>
      <c r="H115" s="66"/>
      <c r="I115" s="66"/>
      <c r="J115" s="66"/>
      <c r="K115" s="66"/>
      <c r="L115" s="66"/>
      <c r="M115" s="66"/>
    </row>
    <row r="116" spans="1:13" x14ac:dyDescent="0.25">
      <c r="A116" s="66"/>
      <c r="B116" s="66"/>
      <c r="C116" s="66"/>
      <c r="D116" s="66"/>
      <c r="E116" s="66"/>
      <c r="F116" s="66"/>
      <c r="G116" s="66"/>
      <c r="H116" s="66"/>
      <c r="I116" s="66"/>
      <c r="J116" s="66"/>
      <c r="K116" s="66"/>
      <c r="L116" s="66"/>
      <c r="M116" s="66"/>
    </row>
    <row r="117" spans="1:13" x14ac:dyDescent="0.25">
      <c r="A117" s="66"/>
      <c r="B117" s="66"/>
      <c r="C117" s="66"/>
      <c r="D117" s="66"/>
      <c r="E117" s="66"/>
      <c r="F117" s="66"/>
      <c r="G117" s="66"/>
      <c r="H117" s="66"/>
      <c r="I117" s="66"/>
      <c r="J117" s="66"/>
      <c r="K117" s="66"/>
      <c r="L117" s="66"/>
      <c r="M117" s="66"/>
    </row>
    <row r="118" spans="1:13" x14ac:dyDescent="0.25">
      <c r="A118" s="66"/>
      <c r="B118" s="66"/>
      <c r="C118" s="66"/>
      <c r="D118" s="66"/>
      <c r="E118" s="66"/>
      <c r="F118" s="66"/>
      <c r="G118" s="66"/>
      <c r="H118" s="66"/>
      <c r="I118" s="66"/>
      <c r="J118" s="66"/>
      <c r="K118" s="66"/>
      <c r="L118" s="66"/>
      <c r="M118" s="66"/>
    </row>
  </sheetData>
  <phoneticPr fontId="0" type="noConversion"/>
  <pageMargins left="0.5" right="0.5" top="0.75" bottom="0.75" header="0.5" footer="0.5"/>
  <pageSetup scale="7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8"/>
  <sheetViews>
    <sheetView showGridLines="0" zoomScaleNormal="100" workbookViewId="0">
      <selection activeCell="G18" sqref="G18"/>
    </sheetView>
  </sheetViews>
  <sheetFormatPr defaultRowHeight="13.2" x14ac:dyDescent="0.25"/>
  <cols>
    <col min="2" max="2" width="2.5546875" customWidth="1"/>
    <col min="3" max="12" width="11.6640625" customWidth="1"/>
    <col min="13" max="13" width="2.6640625" customWidth="1"/>
    <col min="14" max="14" width="11.6640625" customWidth="1"/>
    <col min="15" max="15" width="14.88671875" bestFit="1" customWidth="1"/>
  </cols>
  <sheetData>
    <row r="1" spans="1:16" x14ac:dyDescent="0.25">
      <c r="A1" s="59" t="str">
        <f>"Single-Family Tonnages by Commodity ("&amp;TEXT(A6,"mmmm yyyy")&amp;" through "&amp;TEXT(A17,"mmmm yyyy")&amp;")"</f>
        <v>Single-Family Tonnages by Commodity (May 2019 through April 2020)</v>
      </c>
      <c r="B1" s="60"/>
    </row>
    <row r="2" spans="1:16" x14ac:dyDescent="0.25">
      <c r="A2" s="61" t="str">
        <f>'WUTC_AW of Kent (SeaTac)_SF'!A1</f>
        <v>Rabanco Ltd (dba Allied Waste of Seatac)</v>
      </c>
      <c r="B2" s="61"/>
    </row>
    <row r="3" spans="1:16" x14ac:dyDescent="0.25">
      <c r="A3" s="61"/>
      <c r="B3" s="61"/>
    </row>
    <row r="4" spans="1:16" x14ac:dyDescent="0.25">
      <c r="A4" s="61"/>
      <c r="B4" s="61"/>
    </row>
    <row r="5" spans="1:16" x14ac:dyDescent="0.25">
      <c r="A5" s="60"/>
      <c r="B5" s="62"/>
      <c r="C5" s="63" t="s">
        <v>21</v>
      </c>
      <c r="D5" s="63" t="s">
        <v>22</v>
      </c>
      <c r="E5" s="63" t="s">
        <v>88</v>
      </c>
      <c r="F5" s="63" t="s">
        <v>50</v>
      </c>
      <c r="G5" s="63" t="s">
        <v>89</v>
      </c>
      <c r="H5" s="63" t="s">
        <v>24</v>
      </c>
      <c r="I5" s="63" t="s">
        <v>25</v>
      </c>
      <c r="J5" s="63" t="s">
        <v>26</v>
      </c>
      <c r="K5" s="63" t="s">
        <v>27</v>
      </c>
      <c r="L5" s="63" t="s">
        <v>28</v>
      </c>
      <c r="M5" s="63"/>
      <c r="N5" s="63" t="s">
        <v>29</v>
      </c>
    </row>
    <row r="6" spans="1:16" ht="15.75" customHeight="1" x14ac:dyDescent="0.25">
      <c r="A6" s="128">
        <f>'Single Family'!$C$6</f>
        <v>43586</v>
      </c>
      <c r="B6" s="66" t="s">
        <v>63</v>
      </c>
      <c r="C6" s="108">
        <f>'Single Family'!C32</f>
        <v>1.8429119999999999</v>
      </c>
      <c r="D6" s="109">
        <f>'Single Family'!C34</f>
        <v>19.196999999999999</v>
      </c>
      <c r="E6" s="108">
        <f>'Single Family'!C35</f>
        <v>7.2351359999999998</v>
      </c>
      <c r="F6" s="108">
        <f>'Single Family'!C30</f>
        <v>2.9862000000000002</v>
      </c>
      <c r="G6" s="108">
        <f>'Single Family'!C33</f>
        <v>0.75081600000000004</v>
      </c>
      <c r="H6" s="108">
        <f>'Single Family'!C37</f>
        <v>72.095399999999998</v>
      </c>
      <c r="I6" s="108">
        <f>'Single Family'!C31/2</f>
        <v>5.2898399999999999</v>
      </c>
      <c r="J6" s="108">
        <f>'Single Family'!C31/2</f>
        <v>5.2898399999999999</v>
      </c>
      <c r="K6" s="108">
        <f>'Single Family'!C28</f>
        <v>31.483079999999998</v>
      </c>
      <c r="L6" s="108">
        <f>'Single Family'!C36</f>
        <v>24.469776</v>
      </c>
      <c r="M6" s="64"/>
      <c r="N6" s="134">
        <f t="shared" ref="N6:N17" si="0">SUM(C6:L6)</f>
        <v>170.64</v>
      </c>
      <c r="O6" s="75"/>
      <c r="P6" s="68"/>
    </row>
    <row r="7" spans="1:16" ht="15.75" customHeight="1" x14ac:dyDescent="0.25">
      <c r="A7" s="65">
        <f t="shared" ref="A7:A17" si="1">EOMONTH(A6,1)</f>
        <v>43646</v>
      </c>
      <c r="B7" s="66" t="s">
        <v>64</v>
      </c>
      <c r="C7" s="108">
        <f>'Single Family'!D32</f>
        <v>1.2763440000000001</v>
      </c>
      <c r="D7" s="109">
        <f>'Single Family'!D34</f>
        <v>13.295250000000001</v>
      </c>
      <c r="E7" s="108">
        <f>'Single Family'!D35</f>
        <v>5.0108320000000006</v>
      </c>
      <c r="F7" s="108">
        <f>'Single Family'!D30</f>
        <v>2.0681500000000002</v>
      </c>
      <c r="G7" s="108">
        <f>'Single Family'!D33</f>
        <v>0.51999200000000001</v>
      </c>
      <c r="H7" s="108">
        <f>'Single Family'!D37</f>
        <v>49.931049999999999</v>
      </c>
      <c r="I7" s="108">
        <f>'Single Family'!D31/2</f>
        <v>3.6635800000000001</v>
      </c>
      <c r="J7" s="108">
        <f>'Single Family'!D31/2</f>
        <v>3.6635800000000001</v>
      </c>
      <c r="K7" s="108">
        <f>'Single Family'!D28</f>
        <v>21.804210000000001</v>
      </c>
      <c r="L7" s="108">
        <f>'Single Family'!D36</f>
        <v>16.947012000000001</v>
      </c>
      <c r="M7" s="64"/>
      <c r="N7" s="134">
        <f t="shared" si="0"/>
        <v>118.17999999999999</v>
      </c>
      <c r="P7" s="68"/>
    </row>
    <row r="8" spans="1:16" ht="15.75" customHeight="1" x14ac:dyDescent="0.25">
      <c r="A8" s="65">
        <f t="shared" si="1"/>
        <v>43677</v>
      </c>
      <c r="B8" s="66" t="s">
        <v>65</v>
      </c>
      <c r="C8" s="108">
        <f>'Single Family'!E32</f>
        <v>1.3826160000000003</v>
      </c>
      <c r="D8" s="109">
        <f>'Single Family'!E34</f>
        <v>14.402250000000002</v>
      </c>
      <c r="E8" s="108">
        <f>'Single Family'!E35</f>
        <v>5.4280480000000004</v>
      </c>
      <c r="F8" s="108">
        <f>'Single Family'!E30</f>
        <v>2.2403500000000003</v>
      </c>
      <c r="G8" s="108">
        <f>'Single Family'!E33</f>
        <v>0.56328800000000012</v>
      </c>
      <c r="H8" s="108">
        <f>'Single Family'!E37</f>
        <v>54.088450000000002</v>
      </c>
      <c r="I8" s="108">
        <f>'Single Family'!E31/2</f>
        <v>3.9686200000000005</v>
      </c>
      <c r="J8" s="108">
        <f>'Single Family'!E31/2</f>
        <v>3.9686200000000005</v>
      </c>
      <c r="K8" s="108">
        <f>'Single Family'!E28</f>
        <v>23.619690000000002</v>
      </c>
      <c r="L8" s="108">
        <f>'Single Family'!E36</f>
        <v>18.358068000000003</v>
      </c>
      <c r="M8" s="64"/>
      <c r="N8" s="134">
        <f t="shared" si="0"/>
        <v>128.02000000000004</v>
      </c>
      <c r="P8" s="68"/>
    </row>
    <row r="9" spans="1:16" ht="15.75" customHeight="1" x14ac:dyDescent="0.25">
      <c r="A9" s="65">
        <f t="shared" si="1"/>
        <v>43708</v>
      </c>
      <c r="B9" s="66" t="s">
        <v>66</v>
      </c>
      <c r="C9" s="108">
        <f>'Single Family'!F32</f>
        <v>1.208304</v>
      </c>
      <c r="D9" s="109">
        <f>'Single Family'!F34</f>
        <v>12.586499999999999</v>
      </c>
      <c r="E9" s="108">
        <f>'Single Family'!F35</f>
        <v>4.7437119999999995</v>
      </c>
      <c r="F9" s="108">
        <f>'Single Family'!F30</f>
        <v>1.9579000000000002</v>
      </c>
      <c r="G9" s="108">
        <f>'Single Family'!F33</f>
        <v>0.49227199999999999</v>
      </c>
      <c r="H9" s="108">
        <f>'Single Family'!F37</f>
        <v>47.269299999999994</v>
      </c>
      <c r="I9" s="108">
        <f>'Single Family'!F31/2</f>
        <v>3.46828</v>
      </c>
      <c r="J9" s="108">
        <f>'Single Family'!F31/2</f>
        <v>3.46828</v>
      </c>
      <c r="K9" s="108">
        <f>'Single Family'!F28</f>
        <v>20.641859999999998</v>
      </c>
      <c r="L9" s="108">
        <f>'Single Family'!F36</f>
        <v>16.043592</v>
      </c>
      <c r="M9" s="64"/>
      <c r="N9" s="134">
        <f t="shared" si="0"/>
        <v>111.87999999999997</v>
      </c>
      <c r="P9" s="68"/>
    </row>
    <row r="10" spans="1:16" ht="15.75" customHeight="1" x14ac:dyDescent="0.25">
      <c r="A10" s="65">
        <f t="shared" si="1"/>
        <v>43738</v>
      </c>
      <c r="B10" s="66" t="s">
        <v>67</v>
      </c>
      <c r="C10" s="108">
        <f>'Single Family'!G32</f>
        <v>1.3577760000000001</v>
      </c>
      <c r="D10" s="109">
        <f>'Single Family'!G34</f>
        <v>14.1435</v>
      </c>
      <c r="E10" s="108">
        <f>'Single Family'!G35</f>
        <v>5.3305280000000002</v>
      </c>
      <c r="F10" s="108">
        <f>'Single Family'!G30</f>
        <v>2.2001000000000004</v>
      </c>
      <c r="G10" s="108">
        <f>'Single Family'!G33</f>
        <v>0.55316799999999999</v>
      </c>
      <c r="H10" s="108">
        <f>'Single Family'!G37</f>
        <v>53.116699999999994</v>
      </c>
      <c r="I10" s="108">
        <f>'Single Family'!G31/2</f>
        <v>3.8973200000000001</v>
      </c>
      <c r="J10" s="108">
        <f>'Single Family'!G31/2</f>
        <v>3.8973200000000001</v>
      </c>
      <c r="K10" s="108">
        <f>'Single Family'!G28</f>
        <v>23.195339999999998</v>
      </c>
      <c r="L10" s="108">
        <f>'Single Family'!G36</f>
        <v>18.028248000000001</v>
      </c>
      <c r="M10" s="64"/>
      <c r="N10" s="134">
        <f t="shared" si="0"/>
        <v>125.71999999999998</v>
      </c>
      <c r="P10" s="68"/>
    </row>
    <row r="11" spans="1:16" ht="15.75" customHeight="1" x14ac:dyDescent="0.25">
      <c r="A11" s="65">
        <f t="shared" si="1"/>
        <v>43769</v>
      </c>
      <c r="B11" s="66" t="s">
        <v>68</v>
      </c>
      <c r="C11" s="108">
        <f>'Single Family'!H32</f>
        <v>1.4364000000000001</v>
      </c>
      <c r="D11" s="109">
        <f>'Single Family'!H34</f>
        <v>14.9625</v>
      </c>
      <c r="E11" s="108">
        <f>'Single Family'!H35</f>
        <v>5.6391999999999998</v>
      </c>
      <c r="F11" s="108">
        <f>'Single Family'!H30</f>
        <v>2.3275000000000001</v>
      </c>
      <c r="G11" s="108">
        <f>'Single Family'!H33</f>
        <v>0.58520000000000005</v>
      </c>
      <c r="H11" s="108">
        <f>'Single Family'!H37</f>
        <v>56.192499999999995</v>
      </c>
      <c r="I11" s="108">
        <f>'Single Family'!H31/2</f>
        <v>4.1230000000000002</v>
      </c>
      <c r="J11" s="108">
        <f>'Single Family'!H31/2</f>
        <v>4.1230000000000002</v>
      </c>
      <c r="K11" s="108">
        <f>'Single Family'!H28</f>
        <v>24.538499999999999</v>
      </c>
      <c r="L11" s="108">
        <f>'Single Family'!H36</f>
        <v>19.072199999999999</v>
      </c>
      <c r="M11" s="64"/>
      <c r="N11" s="134">
        <f t="shared" si="0"/>
        <v>133</v>
      </c>
      <c r="P11" s="68"/>
    </row>
    <row r="12" spans="1:16" ht="15.75" customHeight="1" x14ac:dyDescent="0.25">
      <c r="A12" s="65">
        <f t="shared" si="1"/>
        <v>43799</v>
      </c>
      <c r="B12" s="66" t="s">
        <v>69</v>
      </c>
      <c r="C12" s="108">
        <f>'Single Family'!I32</f>
        <v>1.4413680000000002</v>
      </c>
      <c r="D12" s="109">
        <f>'Single Family'!I34</f>
        <v>15.014250000000001</v>
      </c>
      <c r="E12" s="108">
        <f>'Single Family'!I35</f>
        <v>5.6587040000000002</v>
      </c>
      <c r="F12" s="108">
        <f>'Single Family'!I30</f>
        <v>2.3355500000000005</v>
      </c>
      <c r="G12" s="108">
        <f>'Single Family'!I33</f>
        <v>0.58722400000000008</v>
      </c>
      <c r="H12" s="108">
        <f>'Single Family'!I37</f>
        <v>56.386850000000003</v>
      </c>
      <c r="I12" s="108">
        <f>'Single Family'!I31/2</f>
        <v>4.1372600000000004</v>
      </c>
      <c r="J12" s="108">
        <f>'Single Family'!I31/2</f>
        <v>4.1372600000000004</v>
      </c>
      <c r="K12" s="108">
        <f>'Single Family'!I28</f>
        <v>24.623370000000001</v>
      </c>
      <c r="L12" s="108">
        <f>'Single Family'!I36</f>
        <v>19.138164</v>
      </c>
      <c r="M12" s="64"/>
      <c r="N12" s="134">
        <f t="shared" si="0"/>
        <v>133.45999999999998</v>
      </c>
      <c r="P12" s="68"/>
    </row>
    <row r="13" spans="1:16" ht="15.75" customHeight="1" x14ac:dyDescent="0.25">
      <c r="A13" s="65">
        <f t="shared" si="1"/>
        <v>43830</v>
      </c>
      <c r="B13" s="66" t="s">
        <v>70</v>
      </c>
      <c r="C13" s="108">
        <f>'Single Family'!J32</f>
        <v>1.4460119999999999</v>
      </c>
      <c r="D13" s="109">
        <f>'Single Family'!J34</f>
        <v>15.062624999999999</v>
      </c>
      <c r="E13" s="108">
        <f>'Single Family'!J35</f>
        <v>5.6769359999999995</v>
      </c>
      <c r="F13" s="108">
        <f>'Single Family'!J30</f>
        <v>2.3430749999999998</v>
      </c>
      <c r="G13" s="108">
        <f>'Single Family'!J33</f>
        <v>0.58911599999999997</v>
      </c>
      <c r="H13" s="108">
        <f>'Single Family'!J37</f>
        <v>56.568524999999994</v>
      </c>
      <c r="I13" s="108">
        <f>'Single Family'!J31/2</f>
        <v>4.1505899999999993</v>
      </c>
      <c r="J13" s="108">
        <f>'Single Family'!J31/2</f>
        <v>4.1505899999999993</v>
      </c>
      <c r="K13" s="108">
        <f>'Single Family'!J28</f>
        <v>24.702704999999998</v>
      </c>
      <c r="L13" s="108">
        <f>'Single Family'!J36</f>
        <v>19.199825999999998</v>
      </c>
      <c r="M13" s="64"/>
      <c r="N13" s="134">
        <f t="shared" si="0"/>
        <v>133.88999999999996</v>
      </c>
      <c r="P13" s="68"/>
    </row>
    <row r="14" spans="1:16" ht="15.75" customHeight="1" x14ac:dyDescent="0.25">
      <c r="A14" s="65">
        <f t="shared" si="1"/>
        <v>43861</v>
      </c>
      <c r="B14" s="66" t="s">
        <v>71</v>
      </c>
      <c r="C14" s="108">
        <f>'Single Family'!K32</f>
        <v>1.5508900000000001</v>
      </c>
      <c r="D14" s="109">
        <f>'Single Family'!K34</f>
        <v>9.9391820000000006</v>
      </c>
      <c r="E14" s="108">
        <f>'Single Family'!K35</f>
        <v>4.6256979999999999</v>
      </c>
      <c r="F14" s="108">
        <f>'Single Family'!K30</f>
        <v>2.4139940000000002</v>
      </c>
      <c r="G14" s="108">
        <f>'Single Family'!K33</f>
        <v>0.47201000000000004</v>
      </c>
      <c r="H14" s="108">
        <f>'Single Family'!K37</f>
        <v>52.986494000000008</v>
      </c>
      <c r="I14" s="108">
        <f>'Single Family'!K31/2</f>
        <v>4.0255710000000002</v>
      </c>
      <c r="J14" s="108">
        <f>'Single Family'!K31/2</f>
        <v>4.0255710000000002</v>
      </c>
      <c r="K14" s="108">
        <f>'Single Family'!K28</f>
        <v>29.493882000000003</v>
      </c>
      <c r="L14" s="108">
        <f>'Single Family'!K36</f>
        <v>25.326708000000004</v>
      </c>
      <c r="M14" s="64"/>
      <c r="N14" s="134">
        <f t="shared" si="0"/>
        <v>134.86000000000001</v>
      </c>
      <c r="P14" s="68"/>
    </row>
    <row r="15" spans="1:16" ht="15.75" customHeight="1" x14ac:dyDescent="0.25">
      <c r="A15" s="65">
        <f t="shared" si="1"/>
        <v>43890</v>
      </c>
      <c r="B15" s="66" t="s">
        <v>72</v>
      </c>
      <c r="C15" s="108">
        <f>'Single Family'!L32</f>
        <v>1.4200200000000001</v>
      </c>
      <c r="D15" s="109">
        <f>'Single Family'!L34</f>
        <v>9.1004760000000005</v>
      </c>
      <c r="E15" s="108">
        <f>'Single Family'!L35</f>
        <v>4.2353639999999997</v>
      </c>
      <c r="F15" s="108">
        <f>'Single Family'!L30</f>
        <v>2.2102919999999999</v>
      </c>
      <c r="G15" s="108">
        <f>'Single Family'!L33</f>
        <v>0.43218000000000001</v>
      </c>
      <c r="H15" s="108">
        <f>'Single Family'!L37</f>
        <v>48.515292000000002</v>
      </c>
      <c r="I15" s="108">
        <f>'Single Family'!L31/2</f>
        <v>3.6858780000000002</v>
      </c>
      <c r="J15" s="108">
        <f>'Single Family'!L31/2</f>
        <v>3.6858780000000002</v>
      </c>
      <c r="K15" s="108">
        <f>'Single Family'!L28</f>
        <v>27.005076000000003</v>
      </c>
      <c r="L15" s="108">
        <f>'Single Family'!L36</f>
        <v>23.189544000000001</v>
      </c>
      <c r="M15" s="64"/>
      <c r="N15" s="134">
        <f t="shared" si="0"/>
        <v>123.48</v>
      </c>
      <c r="P15" s="68"/>
    </row>
    <row r="16" spans="1:16" ht="15.75" customHeight="1" x14ac:dyDescent="0.25">
      <c r="A16" s="65">
        <f t="shared" si="1"/>
        <v>43921</v>
      </c>
      <c r="B16" s="66" t="s">
        <v>73</v>
      </c>
      <c r="C16" s="108">
        <f>'Single Family'!M32</f>
        <v>1.7269549999999998</v>
      </c>
      <c r="D16" s="109">
        <f>'Single Family'!M34</f>
        <v>11.067528999999999</v>
      </c>
      <c r="E16" s="108">
        <f>'Single Family'!M35</f>
        <v>5.1508309999999993</v>
      </c>
      <c r="F16" s="108">
        <f>'Single Family'!M30</f>
        <v>2.6880429999999995</v>
      </c>
      <c r="G16" s="108">
        <f>'Single Family'!M33</f>
        <v>0.52559499999999992</v>
      </c>
      <c r="H16" s="108">
        <f>'Single Family'!M37</f>
        <v>59.001792999999999</v>
      </c>
      <c r="I16" s="108">
        <f>'Single Family'!M31/2</f>
        <v>4.4825745000000001</v>
      </c>
      <c r="J16" s="108">
        <f>'Single Family'!M31/2</f>
        <v>4.4825745000000001</v>
      </c>
      <c r="K16" s="108">
        <f>'Single Family'!M28</f>
        <v>32.842179000000002</v>
      </c>
      <c r="L16" s="108">
        <f>'Single Family'!M36</f>
        <v>28.201925999999997</v>
      </c>
      <c r="M16" s="64"/>
      <c r="N16" s="134">
        <f t="shared" si="0"/>
        <v>150.16999999999999</v>
      </c>
      <c r="P16" s="68"/>
    </row>
    <row r="17" spans="1:16" ht="15.75" customHeight="1" x14ac:dyDescent="0.25">
      <c r="A17" s="65">
        <f t="shared" si="1"/>
        <v>43951</v>
      </c>
      <c r="B17" s="66" t="s">
        <v>74</v>
      </c>
      <c r="C17" s="108">
        <f>'Single Family'!N32</f>
        <v>1.8869200000000002</v>
      </c>
      <c r="D17" s="109">
        <f>'Single Family'!N34</f>
        <v>12.092696000000002</v>
      </c>
      <c r="E17" s="108">
        <f>'Single Family'!N35</f>
        <v>5.6279440000000003</v>
      </c>
      <c r="F17" s="108">
        <f>'Single Family'!N30</f>
        <v>2.9370320000000003</v>
      </c>
      <c r="G17" s="108">
        <f>'Single Family'!N33</f>
        <v>0.57428000000000001</v>
      </c>
      <c r="H17" s="108">
        <f>'Single Family'!N37</f>
        <v>64.467032000000003</v>
      </c>
      <c r="I17" s="108">
        <f>'Single Family'!N31/2</f>
        <v>4.8977880000000003</v>
      </c>
      <c r="J17" s="108">
        <f>'Single Family'!N31/2</f>
        <v>4.8977880000000003</v>
      </c>
      <c r="K17" s="108">
        <f>'Single Family'!N28</f>
        <v>35.884296000000006</v>
      </c>
      <c r="L17" s="108">
        <f>'Single Family'!N36</f>
        <v>30.814224000000003</v>
      </c>
      <c r="M17" s="64"/>
      <c r="N17" s="134">
        <f t="shared" si="0"/>
        <v>164.08</v>
      </c>
      <c r="P17" s="68"/>
    </row>
    <row r="18" spans="1:16" ht="15.75" customHeight="1" x14ac:dyDescent="0.25">
      <c r="A18" s="69" t="s">
        <v>30</v>
      </c>
      <c r="B18" s="66"/>
      <c r="C18" s="135">
        <f t="shared" ref="C18:L18" si="2">SUM(C6:C17)</f>
        <v>17.976517000000001</v>
      </c>
      <c r="D18" s="135">
        <f t="shared" si="2"/>
        <v>160.86375799999999</v>
      </c>
      <c r="E18" s="135">
        <f t="shared" si="2"/>
        <v>64.362932999999998</v>
      </c>
      <c r="F18" s="135">
        <f t="shared" si="2"/>
        <v>28.708185999999998</v>
      </c>
      <c r="G18" s="135">
        <f t="shared" si="2"/>
        <v>6.6451409999999997</v>
      </c>
      <c r="H18" s="135">
        <f t="shared" si="2"/>
        <v>670.61938600000008</v>
      </c>
      <c r="I18" s="135">
        <f t="shared" si="2"/>
        <v>49.790301499999998</v>
      </c>
      <c r="J18" s="135">
        <f t="shared" si="2"/>
        <v>49.790301499999998</v>
      </c>
      <c r="K18" s="135">
        <f t="shared" si="2"/>
        <v>319.83418800000004</v>
      </c>
      <c r="L18" s="135">
        <f t="shared" si="2"/>
        <v>258.789288</v>
      </c>
      <c r="M18" s="64"/>
      <c r="N18" s="136">
        <f>SUM(N6:N17)</f>
        <v>1627.38</v>
      </c>
      <c r="O18" s="67"/>
    </row>
    <row r="19" spans="1:16" x14ac:dyDescent="0.25">
      <c r="A19" s="65"/>
      <c r="B19" s="66"/>
      <c r="C19" s="66"/>
      <c r="D19" s="66"/>
      <c r="E19" s="66"/>
      <c r="F19" s="66"/>
      <c r="G19" s="66"/>
      <c r="H19" s="66"/>
      <c r="I19" s="66"/>
      <c r="J19" s="66"/>
      <c r="K19" s="66"/>
      <c r="L19" s="66"/>
      <c r="M19" s="64"/>
      <c r="N19" s="67"/>
    </row>
    <row r="20" spans="1:16" x14ac:dyDescent="0.25">
      <c r="A20" s="59"/>
      <c r="B20" s="66"/>
      <c r="C20" s="66"/>
      <c r="D20" s="66"/>
      <c r="E20" s="66"/>
      <c r="F20" s="66"/>
      <c r="G20" s="66"/>
      <c r="H20" s="66"/>
      <c r="I20" s="66"/>
      <c r="J20" s="66"/>
      <c r="K20" s="66"/>
      <c r="L20" s="66"/>
      <c r="M20" s="64"/>
      <c r="N20" s="67"/>
    </row>
    <row r="21" spans="1:16" x14ac:dyDescent="0.25">
      <c r="A21" s="65"/>
      <c r="B21" s="66"/>
      <c r="C21" s="66"/>
      <c r="D21" s="66"/>
      <c r="E21" s="66"/>
      <c r="F21" s="66"/>
      <c r="G21" s="66"/>
      <c r="H21" s="66"/>
      <c r="I21" s="66"/>
      <c r="J21" s="66"/>
      <c r="K21" s="66"/>
      <c r="L21" s="66"/>
      <c r="M21" s="64"/>
      <c r="N21" s="67"/>
    </row>
    <row r="22" spans="1:16" x14ac:dyDescent="0.25">
      <c r="A22" s="65"/>
      <c r="B22" s="66"/>
      <c r="C22" s="66"/>
      <c r="D22" s="66"/>
      <c r="E22" s="66"/>
      <c r="F22" s="66"/>
      <c r="G22" s="66"/>
      <c r="H22" s="66"/>
      <c r="I22" s="66"/>
      <c r="J22" s="66"/>
      <c r="K22" s="66"/>
      <c r="L22" s="66"/>
      <c r="M22" s="64"/>
      <c r="N22" s="67"/>
    </row>
    <row r="23" spans="1:16" x14ac:dyDescent="0.25">
      <c r="A23" s="66"/>
      <c r="B23" s="66"/>
      <c r="C23" s="66"/>
      <c r="D23" s="66"/>
      <c r="E23" s="66"/>
      <c r="F23" s="66"/>
      <c r="G23" s="66"/>
      <c r="H23" s="66"/>
      <c r="I23" s="66"/>
      <c r="J23" s="66"/>
      <c r="K23" s="66"/>
      <c r="L23" s="66"/>
      <c r="M23" s="64"/>
      <c r="N23" s="67"/>
    </row>
    <row r="24" spans="1:16" x14ac:dyDescent="0.25">
      <c r="A24" s="66"/>
      <c r="B24" s="66"/>
      <c r="C24" s="66"/>
      <c r="D24" s="66"/>
      <c r="E24" s="66"/>
      <c r="F24" s="66"/>
      <c r="G24" s="66"/>
      <c r="H24" s="66"/>
      <c r="I24" s="66"/>
      <c r="J24" s="66"/>
      <c r="K24" s="66"/>
      <c r="L24" s="66"/>
      <c r="M24" s="64"/>
      <c r="N24" s="67"/>
    </row>
    <row r="25" spans="1:16" x14ac:dyDescent="0.25">
      <c r="A25" s="66"/>
      <c r="B25" s="66"/>
      <c r="C25" s="66"/>
      <c r="E25" s="66"/>
      <c r="F25" s="66"/>
      <c r="G25" s="66"/>
      <c r="H25" s="66"/>
      <c r="I25" s="66"/>
      <c r="J25" s="66"/>
      <c r="K25" s="66"/>
      <c r="L25" s="66"/>
      <c r="M25" s="64"/>
      <c r="N25" s="67"/>
    </row>
    <row r="26" spans="1:16" x14ac:dyDescent="0.25">
      <c r="A26" s="66"/>
      <c r="B26" s="66"/>
      <c r="C26" s="66"/>
      <c r="D26" s="66"/>
      <c r="E26" s="66"/>
      <c r="F26" s="66"/>
      <c r="G26" s="66"/>
      <c r="H26" s="66"/>
      <c r="I26" s="66"/>
      <c r="J26" s="66"/>
      <c r="K26" s="66"/>
      <c r="L26" s="66"/>
      <c r="M26" s="64"/>
      <c r="N26" s="67"/>
    </row>
    <row r="27" spans="1:16" x14ac:dyDescent="0.25">
      <c r="A27" s="66"/>
      <c r="B27" s="66"/>
      <c r="C27" s="66"/>
      <c r="D27" s="66"/>
      <c r="E27" s="66"/>
      <c r="F27" s="66"/>
      <c r="G27" s="66"/>
      <c r="H27" s="66"/>
      <c r="I27" s="66"/>
      <c r="J27" s="66"/>
      <c r="K27" s="66"/>
      <c r="L27" s="66"/>
      <c r="M27" s="64"/>
      <c r="N27" s="67"/>
    </row>
    <row r="28" spans="1:16" x14ac:dyDescent="0.25">
      <c r="A28" s="66"/>
      <c r="B28" s="66"/>
      <c r="C28" s="66"/>
      <c r="D28" s="66"/>
      <c r="E28" s="66"/>
      <c r="F28" s="66"/>
      <c r="G28" s="66"/>
      <c r="H28" s="66"/>
      <c r="I28" s="66"/>
      <c r="J28" s="66"/>
      <c r="K28" s="66"/>
      <c r="L28" s="66"/>
      <c r="M28" s="64"/>
      <c r="N28" s="66"/>
    </row>
    <row r="29" spans="1:16" x14ac:dyDescent="0.25">
      <c r="A29" s="66"/>
      <c r="B29" s="66"/>
      <c r="C29" s="66"/>
      <c r="D29" s="66"/>
      <c r="E29" s="66"/>
      <c r="F29" s="66"/>
      <c r="G29" s="66"/>
      <c r="H29" s="66"/>
      <c r="I29" s="66"/>
      <c r="J29" s="66"/>
      <c r="K29" s="66"/>
      <c r="L29" s="66"/>
      <c r="M29" s="64"/>
      <c r="N29" s="66"/>
    </row>
    <row r="30" spans="1:16" x14ac:dyDescent="0.25">
      <c r="A30" s="66"/>
      <c r="B30" s="66"/>
      <c r="C30" s="66"/>
      <c r="D30" s="66"/>
      <c r="E30" s="66"/>
      <c r="F30" s="66"/>
      <c r="G30" s="66"/>
      <c r="H30" s="66"/>
      <c r="I30" s="66"/>
      <c r="J30" s="66"/>
      <c r="K30" s="66"/>
      <c r="L30" s="66"/>
      <c r="M30" s="64"/>
      <c r="N30" s="66"/>
    </row>
    <row r="31" spans="1:16" x14ac:dyDescent="0.25">
      <c r="A31" s="66"/>
      <c r="B31" s="66"/>
      <c r="C31" s="66"/>
      <c r="D31" s="66"/>
      <c r="E31" s="66"/>
      <c r="F31" s="66"/>
      <c r="G31" s="66"/>
      <c r="H31" s="66"/>
      <c r="I31" s="66"/>
      <c r="J31" s="66"/>
      <c r="K31" s="66"/>
      <c r="L31" s="66"/>
      <c r="M31" s="64"/>
      <c r="N31" s="66"/>
    </row>
    <row r="32" spans="1:16" x14ac:dyDescent="0.25">
      <c r="A32" s="66"/>
      <c r="B32" s="66"/>
      <c r="C32" s="66"/>
      <c r="D32" s="66"/>
      <c r="E32" s="66"/>
      <c r="F32" s="66"/>
      <c r="G32" s="66"/>
      <c r="H32" s="66"/>
      <c r="I32" s="66"/>
      <c r="J32" s="66"/>
      <c r="K32" s="66"/>
      <c r="L32" s="66"/>
      <c r="M32" s="64"/>
      <c r="N32" s="66"/>
    </row>
    <row r="33" spans="1:14" x14ac:dyDescent="0.25">
      <c r="A33" s="66"/>
      <c r="B33" s="66"/>
      <c r="C33" s="66"/>
      <c r="D33" s="66"/>
      <c r="E33" s="66"/>
      <c r="F33" s="66"/>
      <c r="G33" s="66"/>
      <c r="H33" s="66"/>
      <c r="I33" s="66"/>
      <c r="J33" s="66"/>
      <c r="K33" s="66"/>
      <c r="L33" s="66"/>
      <c r="M33" s="64"/>
      <c r="N33" s="66"/>
    </row>
    <row r="34" spans="1:14" x14ac:dyDescent="0.25">
      <c r="A34" s="66"/>
      <c r="B34" s="66"/>
      <c r="C34" s="66"/>
      <c r="D34" s="66"/>
      <c r="E34" s="66"/>
      <c r="F34" s="66"/>
      <c r="G34" s="66"/>
      <c r="H34" s="66"/>
      <c r="I34" s="66"/>
      <c r="J34" s="66"/>
      <c r="K34" s="66"/>
      <c r="L34" s="66"/>
      <c r="M34" s="64"/>
      <c r="N34" s="66"/>
    </row>
    <row r="35" spans="1:14" x14ac:dyDescent="0.25">
      <c r="A35" s="66"/>
      <c r="B35" s="66"/>
      <c r="C35" s="66"/>
      <c r="D35" s="66"/>
      <c r="E35" s="66"/>
      <c r="F35" s="66"/>
      <c r="G35" s="66"/>
      <c r="H35" s="66"/>
      <c r="I35" s="66"/>
      <c r="J35" s="66"/>
      <c r="K35" s="66"/>
      <c r="L35" s="66"/>
      <c r="M35" s="64"/>
      <c r="N35" s="66"/>
    </row>
    <row r="36" spans="1:14" x14ac:dyDescent="0.25">
      <c r="A36" s="66"/>
      <c r="B36" s="66"/>
      <c r="C36" s="66"/>
      <c r="D36" s="66"/>
      <c r="E36" s="66"/>
      <c r="F36" s="66"/>
      <c r="G36" s="66"/>
      <c r="H36" s="66"/>
      <c r="I36" s="66"/>
      <c r="J36" s="66"/>
      <c r="K36" s="66"/>
      <c r="L36" s="66"/>
      <c r="M36" s="64"/>
      <c r="N36" s="66"/>
    </row>
    <row r="37" spans="1:14" x14ac:dyDescent="0.25">
      <c r="A37" s="66"/>
      <c r="B37" s="66"/>
      <c r="C37" s="66"/>
      <c r="D37" s="66"/>
      <c r="E37" s="66"/>
      <c r="F37" s="66"/>
      <c r="G37" s="66"/>
      <c r="H37" s="66"/>
      <c r="I37" s="66"/>
      <c r="J37" s="66"/>
      <c r="K37" s="66"/>
      <c r="L37" s="66"/>
      <c r="M37" s="64"/>
      <c r="N37" s="66"/>
    </row>
    <row r="38" spans="1:14" x14ac:dyDescent="0.25">
      <c r="A38" s="66"/>
      <c r="B38" s="66"/>
      <c r="C38" s="66"/>
      <c r="D38" s="66"/>
      <c r="E38" s="66"/>
      <c r="F38" s="66"/>
      <c r="G38" s="66"/>
      <c r="H38" s="66"/>
      <c r="I38" s="66"/>
      <c r="J38" s="66"/>
      <c r="K38" s="66"/>
      <c r="L38" s="66"/>
      <c r="M38" s="64"/>
      <c r="N38" s="66"/>
    </row>
    <row r="39" spans="1:14" x14ac:dyDescent="0.25">
      <c r="A39" s="66"/>
      <c r="B39" s="66"/>
      <c r="C39" s="66"/>
      <c r="D39" s="66"/>
      <c r="E39" s="66"/>
      <c r="F39" s="66"/>
      <c r="G39" s="66"/>
      <c r="H39" s="66"/>
      <c r="I39" s="66"/>
      <c r="J39" s="66"/>
      <c r="K39" s="66"/>
      <c r="L39" s="66"/>
      <c r="M39" s="66"/>
      <c r="N39" s="66"/>
    </row>
    <row r="40" spans="1:14" x14ac:dyDescent="0.25">
      <c r="A40" s="66"/>
      <c r="B40" s="66"/>
      <c r="C40" s="66"/>
      <c r="D40" s="66"/>
      <c r="E40" s="66"/>
      <c r="F40" s="66"/>
      <c r="G40" s="66"/>
      <c r="H40" s="66"/>
      <c r="I40" s="66"/>
      <c r="J40" s="66"/>
      <c r="K40" s="66"/>
      <c r="L40" s="66"/>
      <c r="M40" s="66"/>
      <c r="N40" s="66"/>
    </row>
    <row r="41" spans="1:14" x14ac:dyDescent="0.25">
      <c r="A41" s="66"/>
      <c r="B41" s="66"/>
      <c r="C41" s="66"/>
      <c r="D41" s="66"/>
      <c r="E41" s="66"/>
      <c r="F41" s="66"/>
      <c r="G41" s="66"/>
      <c r="H41" s="66"/>
      <c r="I41" s="66"/>
      <c r="J41" s="66"/>
      <c r="K41" s="66"/>
      <c r="L41" s="66"/>
      <c r="M41" s="66"/>
      <c r="N41" s="66"/>
    </row>
    <row r="42" spans="1:14" x14ac:dyDescent="0.25">
      <c r="A42" s="66"/>
      <c r="B42" s="66"/>
      <c r="C42" s="66"/>
      <c r="D42" s="66"/>
      <c r="E42" s="66"/>
      <c r="F42" s="66"/>
      <c r="G42" s="66"/>
      <c r="H42" s="66"/>
      <c r="I42" s="66"/>
      <c r="J42" s="66"/>
      <c r="K42" s="66"/>
      <c r="L42" s="66"/>
      <c r="M42" s="66"/>
      <c r="N42" s="66"/>
    </row>
    <row r="43" spans="1:14" x14ac:dyDescent="0.25">
      <c r="A43" s="66"/>
      <c r="B43" s="66"/>
      <c r="C43" s="66"/>
      <c r="D43" s="66"/>
      <c r="E43" s="66"/>
      <c r="F43" s="66"/>
      <c r="G43" s="66"/>
      <c r="H43" s="66"/>
      <c r="I43" s="66"/>
      <c r="J43" s="66"/>
      <c r="K43" s="66"/>
      <c r="L43" s="66"/>
      <c r="M43" s="66"/>
      <c r="N43" s="66"/>
    </row>
    <row r="44" spans="1:14" x14ac:dyDescent="0.25">
      <c r="A44" s="66"/>
      <c r="B44" s="66"/>
      <c r="C44" s="66"/>
      <c r="D44" s="66"/>
      <c r="E44" s="66"/>
      <c r="F44" s="66"/>
      <c r="G44" s="66"/>
      <c r="H44" s="66"/>
      <c r="I44" s="66"/>
      <c r="J44" s="66"/>
      <c r="K44" s="66"/>
      <c r="L44" s="66"/>
      <c r="M44" s="66"/>
      <c r="N44" s="66"/>
    </row>
    <row r="45" spans="1:14" x14ac:dyDescent="0.25">
      <c r="A45" s="66"/>
      <c r="B45" s="66"/>
      <c r="C45" s="66"/>
      <c r="D45" s="66"/>
      <c r="E45" s="66"/>
      <c r="F45" s="66"/>
      <c r="G45" s="66"/>
      <c r="H45" s="66"/>
      <c r="I45" s="66"/>
      <c r="J45" s="66"/>
      <c r="K45" s="66"/>
      <c r="L45" s="66"/>
      <c r="M45" s="66"/>
      <c r="N45" s="66"/>
    </row>
    <row r="46" spans="1:14" x14ac:dyDescent="0.25">
      <c r="A46" s="66"/>
      <c r="B46" s="66"/>
      <c r="C46" s="66"/>
      <c r="D46" s="66"/>
      <c r="E46" s="66"/>
      <c r="F46" s="66"/>
      <c r="G46" s="66"/>
      <c r="H46" s="66"/>
      <c r="I46" s="66"/>
      <c r="J46" s="66"/>
      <c r="K46" s="66"/>
      <c r="L46" s="66"/>
      <c r="M46" s="66"/>
      <c r="N46" s="66"/>
    </row>
    <row r="47" spans="1:14" x14ac:dyDescent="0.25">
      <c r="A47" s="66"/>
      <c r="B47" s="66"/>
      <c r="C47" s="66"/>
      <c r="D47" s="66"/>
      <c r="E47" s="66"/>
      <c r="F47" s="66"/>
      <c r="G47" s="66"/>
      <c r="H47" s="66"/>
      <c r="I47" s="66"/>
      <c r="J47" s="66"/>
      <c r="K47" s="66"/>
      <c r="L47" s="66"/>
      <c r="M47" s="66"/>
      <c r="N47" s="66"/>
    </row>
    <row r="48" spans="1:14" x14ac:dyDescent="0.25">
      <c r="A48" s="66"/>
      <c r="B48" s="66"/>
      <c r="C48" s="66"/>
      <c r="D48" s="66"/>
      <c r="E48" s="66"/>
      <c r="F48" s="66"/>
      <c r="G48" s="66"/>
      <c r="H48" s="66"/>
      <c r="I48" s="66"/>
      <c r="J48" s="66"/>
      <c r="K48" s="66"/>
      <c r="L48" s="66"/>
      <c r="M48" s="66"/>
      <c r="N48" s="66"/>
    </row>
    <row r="49" spans="1:14" x14ac:dyDescent="0.25">
      <c r="A49" s="66"/>
      <c r="B49" s="66"/>
      <c r="C49" s="66"/>
      <c r="D49" s="66"/>
      <c r="E49" s="66"/>
      <c r="F49" s="66"/>
      <c r="G49" s="66"/>
      <c r="H49" s="66"/>
      <c r="I49" s="66"/>
      <c r="J49" s="66"/>
      <c r="K49" s="66"/>
      <c r="L49" s="66"/>
      <c r="M49" s="66"/>
      <c r="N49" s="66"/>
    </row>
    <row r="50" spans="1:14" x14ac:dyDescent="0.25">
      <c r="A50" s="66"/>
      <c r="B50" s="66"/>
      <c r="C50" s="66"/>
      <c r="D50" s="66"/>
      <c r="E50" s="66"/>
      <c r="F50" s="66"/>
      <c r="G50" s="66"/>
      <c r="H50" s="66"/>
      <c r="I50" s="66"/>
      <c r="J50" s="66"/>
      <c r="K50" s="66"/>
      <c r="L50" s="66"/>
      <c r="M50" s="66"/>
      <c r="N50" s="66"/>
    </row>
    <row r="51" spans="1:14" x14ac:dyDescent="0.25">
      <c r="A51" s="66"/>
      <c r="B51" s="66"/>
      <c r="C51" s="66"/>
      <c r="D51" s="66"/>
      <c r="E51" s="66"/>
      <c r="F51" s="66"/>
      <c r="G51" s="66"/>
      <c r="H51" s="66"/>
      <c r="I51" s="66"/>
      <c r="J51" s="66"/>
      <c r="K51" s="66"/>
      <c r="L51" s="66"/>
      <c r="M51" s="66"/>
      <c r="N51" s="66"/>
    </row>
    <row r="52" spans="1:14" x14ac:dyDescent="0.25">
      <c r="A52" s="66"/>
      <c r="B52" s="66"/>
      <c r="C52" s="66"/>
      <c r="D52" s="66"/>
      <c r="E52" s="66"/>
      <c r="F52" s="66"/>
      <c r="G52" s="66"/>
      <c r="H52" s="66"/>
      <c r="I52" s="66"/>
      <c r="J52" s="66"/>
      <c r="K52" s="66"/>
      <c r="L52" s="66"/>
      <c r="M52" s="66"/>
      <c r="N52" s="66"/>
    </row>
    <row r="53" spans="1:14" x14ac:dyDescent="0.25">
      <c r="A53" s="66"/>
      <c r="B53" s="66"/>
      <c r="C53" s="66"/>
      <c r="D53" s="66"/>
      <c r="E53" s="66"/>
      <c r="F53" s="66"/>
      <c r="G53" s="66"/>
      <c r="H53" s="66"/>
      <c r="I53" s="66"/>
      <c r="J53" s="66"/>
      <c r="K53" s="66"/>
      <c r="L53" s="66"/>
      <c r="M53" s="66"/>
      <c r="N53" s="66"/>
    </row>
    <row r="54" spans="1:14" x14ac:dyDescent="0.25">
      <c r="A54" s="66"/>
      <c r="B54" s="66"/>
      <c r="C54" s="66"/>
      <c r="D54" s="66"/>
      <c r="E54" s="66"/>
      <c r="F54" s="66"/>
      <c r="G54" s="66"/>
      <c r="H54" s="66"/>
      <c r="I54" s="66"/>
      <c r="J54" s="66"/>
      <c r="K54" s="66"/>
      <c r="L54" s="66"/>
      <c r="M54" s="66"/>
      <c r="N54" s="66"/>
    </row>
    <row r="55" spans="1:14" x14ac:dyDescent="0.25">
      <c r="A55" s="66"/>
      <c r="B55" s="66"/>
      <c r="C55" s="66"/>
      <c r="D55" s="66"/>
      <c r="E55" s="66"/>
      <c r="F55" s="66"/>
      <c r="G55" s="66"/>
      <c r="H55" s="66"/>
      <c r="I55" s="66"/>
      <c r="J55" s="66"/>
      <c r="K55" s="66"/>
      <c r="L55" s="66"/>
      <c r="M55" s="66"/>
      <c r="N55" s="66"/>
    </row>
    <row r="56" spans="1:14" x14ac:dyDescent="0.25">
      <c r="A56" s="66"/>
      <c r="B56" s="66"/>
      <c r="C56" s="66"/>
      <c r="D56" s="66"/>
      <c r="E56" s="66"/>
      <c r="F56" s="66"/>
      <c r="G56" s="66"/>
      <c r="H56" s="66"/>
      <c r="I56" s="66"/>
      <c r="J56" s="66"/>
      <c r="K56" s="66"/>
      <c r="L56" s="66"/>
      <c r="M56" s="66"/>
      <c r="N56" s="66"/>
    </row>
    <row r="57" spans="1:14" x14ac:dyDescent="0.25">
      <c r="A57" s="66"/>
      <c r="B57" s="66"/>
      <c r="C57" s="66"/>
      <c r="D57" s="66"/>
      <c r="E57" s="66"/>
      <c r="F57" s="66"/>
      <c r="G57" s="66"/>
      <c r="H57" s="66"/>
      <c r="I57" s="66"/>
      <c r="J57" s="66"/>
      <c r="K57" s="66"/>
      <c r="L57" s="66"/>
      <c r="M57" s="66"/>
      <c r="N57" s="66"/>
    </row>
    <row r="58" spans="1:14" x14ac:dyDescent="0.25">
      <c r="A58" s="66"/>
      <c r="B58" s="66"/>
      <c r="C58" s="66"/>
      <c r="D58" s="66"/>
      <c r="E58" s="66"/>
      <c r="F58" s="66"/>
      <c r="G58" s="66"/>
      <c r="H58" s="66"/>
      <c r="I58" s="66"/>
      <c r="J58" s="66"/>
      <c r="K58" s="66"/>
      <c r="L58" s="66"/>
      <c r="M58" s="66"/>
      <c r="N58" s="66"/>
    </row>
    <row r="59" spans="1:14" x14ac:dyDescent="0.25">
      <c r="A59" s="66"/>
      <c r="B59" s="66"/>
      <c r="C59" s="66"/>
      <c r="D59" s="66"/>
      <c r="E59" s="66"/>
      <c r="F59" s="66"/>
      <c r="G59" s="66"/>
      <c r="H59" s="66"/>
      <c r="I59" s="66"/>
      <c r="J59" s="66"/>
      <c r="K59" s="66"/>
      <c r="L59" s="66"/>
      <c r="M59" s="66"/>
      <c r="N59" s="66"/>
    </row>
    <row r="60" spans="1:14" x14ac:dyDescent="0.25">
      <c r="A60" s="66"/>
      <c r="B60" s="66"/>
      <c r="C60" s="66"/>
      <c r="D60" s="66"/>
      <c r="E60" s="66"/>
      <c r="F60" s="66"/>
      <c r="G60" s="66"/>
      <c r="H60" s="66"/>
      <c r="I60" s="66"/>
      <c r="J60" s="66"/>
      <c r="K60" s="66"/>
      <c r="L60" s="66"/>
      <c r="M60" s="66"/>
      <c r="N60" s="66"/>
    </row>
    <row r="61" spans="1:14" x14ac:dyDescent="0.25">
      <c r="A61" s="66"/>
      <c r="B61" s="66"/>
      <c r="C61" s="66"/>
      <c r="D61" s="66"/>
      <c r="E61" s="66"/>
      <c r="F61" s="66"/>
      <c r="G61" s="66"/>
      <c r="H61" s="66"/>
      <c r="I61" s="66"/>
      <c r="J61" s="66"/>
      <c r="K61" s="66"/>
      <c r="L61" s="66"/>
      <c r="M61" s="66"/>
      <c r="N61" s="66"/>
    </row>
    <row r="62" spans="1:14" x14ac:dyDescent="0.25">
      <c r="A62" s="66"/>
      <c r="B62" s="66"/>
      <c r="C62" s="66"/>
      <c r="D62" s="66"/>
      <c r="E62" s="66"/>
      <c r="F62" s="66"/>
      <c r="G62" s="66"/>
      <c r="H62" s="66"/>
      <c r="I62" s="66"/>
      <c r="J62" s="66"/>
      <c r="K62" s="66"/>
      <c r="L62" s="66"/>
      <c r="M62" s="66"/>
      <c r="N62" s="66"/>
    </row>
    <row r="63" spans="1:14" x14ac:dyDescent="0.25">
      <c r="A63" s="66"/>
      <c r="B63" s="66"/>
      <c r="C63" s="66"/>
      <c r="D63" s="66"/>
      <c r="E63" s="66"/>
      <c r="F63" s="66"/>
      <c r="G63" s="66"/>
      <c r="H63" s="66"/>
      <c r="I63" s="66"/>
      <c r="J63" s="66"/>
      <c r="K63" s="66"/>
      <c r="L63" s="66"/>
      <c r="M63" s="66"/>
      <c r="N63" s="66"/>
    </row>
    <row r="64" spans="1:14" x14ac:dyDescent="0.25">
      <c r="A64" s="66"/>
      <c r="B64" s="66"/>
      <c r="C64" s="66"/>
      <c r="D64" s="66"/>
      <c r="E64" s="66"/>
      <c r="F64" s="66"/>
      <c r="G64" s="66"/>
      <c r="H64" s="66"/>
      <c r="I64" s="66"/>
      <c r="J64" s="66"/>
      <c r="K64" s="66"/>
      <c r="L64" s="66"/>
      <c r="M64" s="66"/>
      <c r="N64" s="66"/>
    </row>
    <row r="65" spans="1:14" x14ac:dyDescent="0.25">
      <c r="A65" s="66"/>
      <c r="B65" s="66"/>
      <c r="C65" s="66"/>
      <c r="D65" s="66"/>
      <c r="E65" s="66"/>
      <c r="F65" s="66"/>
      <c r="G65" s="66"/>
      <c r="H65" s="66"/>
      <c r="I65" s="66"/>
      <c r="J65" s="66"/>
      <c r="K65" s="66"/>
      <c r="L65" s="66"/>
      <c r="M65" s="66"/>
      <c r="N65" s="66"/>
    </row>
    <row r="66" spans="1:14" x14ac:dyDescent="0.25">
      <c r="A66" s="66"/>
      <c r="B66" s="66"/>
      <c r="C66" s="66"/>
      <c r="D66" s="66"/>
      <c r="E66" s="66"/>
      <c r="F66" s="66"/>
      <c r="G66" s="66"/>
      <c r="H66" s="66"/>
      <c r="I66" s="66"/>
      <c r="J66" s="66"/>
      <c r="K66" s="66"/>
      <c r="L66" s="66"/>
      <c r="M66" s="66"/>
      <c r="N66" s="66"/>
    </row>
    <row r="67" spans="1:14" x14ac:dyDescent="0.25">
      <c r="A67" s="66"/>
      <c r="B67" s="66"/>
      <c r="C67" s="66"/>
      <c r="D67" s="66"/>
      <c r="E67" s="66"/>
      <c r="F67" s="66"/>
      <c r="G67" s="66"/>
      <c r="H67" s="66"/>
      <c r="I67" s="66"/>
      <c r="J67" s="66"/>
      <c r="K67" s="66"/>
      <c r="L67" s="66"/>
      <c r="M67" s="66"/>
      <c r="N67" s="66"/>
    </row>
    <row r="68" spans="1:14" x14ac:dyDescent="0.25">
      <c r="A68" s="66"/>
      <c r="B68" s="66"/>
      <c r="C68" s="66"/>
      <c r="D68" s="66"/>
      <c r="E68" s="66"/>
      <c r="F68" s="66"/>
      <c r="G68" s="66"/>
      <c r="H68" s="66"/>
      <c r="I68" s="66"/>
      <c r="J68" s="66"/>
      <c r="K68" s="66"/>
      <c r="L68" s="66"/>
      <c r="M68" s="66"/>
      <c r="N68" s="66"/>
    </row>
    <row r="69" spans="1:14" x14ac:dyDescent="0.25">
      <c r="A69" s="66"/>
      <c r="B69" s="66"/>
      <c r="C69" s="66"/>
      <c r="D69" s="66"/>
      <c r="E69" s="66"/>
      <c r="F69" s="66"/>
      <c r="G69" s="66"/>
      <c r="H69" s="66"/>
      <c r="I69" s="66"/>
      <c r="J69" s="66"/>
      <c r="K69" s="66"/>
      <c r="L69" s="66"/>
      <c r="M69" s="66"/>
      <c r="N69" s="66"/>
    </row>
    <row r="70" spans="1:14" x14ac:dyDescent="0.25">
      <c r="A70" s="66"/>
      <c r="B70" s="66"/>
      <c r="C70" s="66"/>
      <c r="D70" s="66"/>
      <c r="E70" s="66"/>
      <c r="F70" s="66"/>
      <c r="G70" s="66"/>
      <c r="H70" s="66"/>
      <c r="I70" s="66"/>
      <c r="J70" s="66"/>
      <c r="K70" s="66"/>
      <c r="L70" s="66"/>
      <c r="M70" s="66"/>
      <c r="N70" s="66"/>
    </row>
    <row r="71" spans="1:14" x14ac:dyDescent="0.25">
      <c r="A71" s="66"/>
      <c r="B71" s="66"/>
      <c r="C71" s="66"/>
      <c r="D71" s="66"/>
      <c r="E71" s="66"/>
      <c r="F71" s="66"/>
      <c r="G71" s="66"/>
      <c r="H71" s="66"/>
      <c r="I71" s="66"/>
      <c r="J71" s="66"/>
      <c r="K71" s="66"/>
      <c r="L71" s="66"/>
      <c r="M71" s="66"/>
      <c r="N71" s="66"/>
    </row>
    <row r="72" spans="1:14" x14ac:dyDescent="0.25">
      <c r="A72" s="66"/>
      <c r="B72" s="66"/>
      <c r="C72" s="66"/>
      <c r="D72" s="66"/>
      <c r="E72" s="66"/>
      <c r="F72" s="66"/>
      <c r="G72" s="66"/>
      <c r="H72" s="66"/>
      <c r="I72" s="66"/>
      <c r="J72" s="66"/>
      <c r="K72" s="66"/>
      <c r="L72" s="66"/>
      <c r="M72" s="66"/>
      <c r="N72" s="66"/>
    </row>
    <row r="73" spans="1:14" x14ac:dyDescent="0.25">
      <c r="A73" s="66"/>
      <c r="B73" s="66"/>
      <c r="C73" s="66"/>
      <c r="D73" s="66"/>
      <c r="E73" s="66"/>
      <c r="F73" s="66"/>
      <c r="G73" s="66"/>
      <c r="H73" s="66"/>
      <c r="I73" s="66"/>
      <c r="J73" s="66"/>
      <c r="K73" s="66"/>
      <c r="L73" s="66"/>
      <c r="M73" s="66"/>
      <c r="N73" s="66"/>
    </row>
    <row r="74" spans="1:14" x14ac:dyDescent="0.25">
      <c r="A74" s="66"/>
      <c r="B74" s="66"/>
      <c r="C74" s="66"/>
      <c r="D74" s="66"/>
      <c r="E74" s="66"/>
      <c r="F74" s="66"/>
      <c r="G74" s="66"/>
      <c r="H74" s="66"/>
      <c r="I74" s="66"/>
      <c r="J74" s="66"/>
      <c r="K74" s="66"/>
      <c r="L74" s="66"/>
      <c r="M74" s="66"/>
      <c r="N74" s="66"/>
    </row>
    <row r="75" spans="1:14" x14ac:dyDescent="0.25">
      <c r="A75" s="66"/>
      <c r="B75" s="66"/>
      <c r="C75" s="66"/>
      <c r="D75" s="66"/>
      <c r="E75" s="66"/>
      <c r="F75" s="66"/>
      <c r="G75" s="66"/>
      <c r="H75" s="66"/>
      <c r="I75" s="66"/>
      <c r="J75" s="66"/>
      <c r="K75" s="66"/>
      <c r="L75" s="66"/>
      <c r="M75" s="66"/>
      <c r="N75" s="66"/>
    </row>
    <row r="76" spans="1:14" x14ac:dyDescent="0.25">
      <c r="A76" s="66"/>
      <c r="B76" s="66"/>
      <c r="C76" s="66"/>
      <c r="D76" s="66"/>
      <c r="E76" s="66"/>
      <c r="F76" s="66"/>
      <c r="G76" s="66"/>
      <c r="H76" s="66"/>
      <c r="I76" s="66"/>
      <c r="J76" s="66"/>
      <c r="K76" s="66"/>
      <c r="L76" s="66"/>
      <c r="M76" s="66"/>
      <c r="N76" s="66"/>
    </row>
    <row r="77" spans="1:14" x14ac:dyDescent="0.25">
      <c r="A77" s="66"/>
      <c r="B77" s="66"/>
      <c r="C77" s="66"/>
      <c r="D77" s="66"/>
      <c r="E77" s="66"/>
      <c r="F77" s="66"/>
      <c r="G77" s="66"/>
      <c r="H77" s="66"/>
      <c r="I77" s="66"/>
      <c r="J77" s="66"/>
      <c r="K77" s="66"/>
      <c r="L77" s="66"/>
      <c r="M77" s="66"/>
      <c r="N77" s="66"/>
    </row>
    <row r="78" spans="1:14" x14ac:dyDescent="0.25">
      <c r="A78" s="66"/>
      <c r="B78" s="66"/>
      <c r="C78" s="66"/>
      <c r="D78" s="66"/>
      <c r="E78" s="66"/>
      <c r="F78" s="66"/>
      <c r="G78" s="66"/>
      <c r="H78" s="66"/>
      <c r="I78" s="66"/>
      <c r="J78" s="66"/>
      <c r="K78" s="66"/>
      <c r="L78" s="66"/>
      <c r="M78" s="66"/>
      <c r="N78" s="66"/>
    </row>
    <row r="79" spans="1:14" x14ac:dyDescent="0.25">
      <c r="A79" s="66"/>
      <c r="B79" s="66"/>
      <c r="C79" s="66"/>
      <c r="D79" s="66"/>
      <c r="E79" s="66"/>
      <c r="F79" s="66"/>
      <c r="G79" s="66"/>
      <c r="H79" s="66"/>
      <c r="I79" s="66"/>
      <c r="J79" s="66"/>
      <c r="K79" s="66"/>
      <c r="L79" s="66"/>
      <c r="M79" s="66"/>
      <c r="N79" s="66"/>
    </row>
    <row r="80" spans="1:14" x14ac:dyDescent="0.25">
      <c r="A80" s="66"/>
      <c r="B80" s="66"/>
      <c r="C80" s="66"/>
      <c r="D80" s="66"/>
      <c r="E80" s="66"/>
      <c r="F80" s="66"/>
      <c r="G80" s="66"/>
      <c r="H80" s="66"/>
      <c r="I80" s="66"/>
      <c r="J80" s="66"/>
      <c r="K80" s="66"/>
      <c r="L80" s="66"/>
      <c r="M80" s="66"/>
      <c r="N80" s="66"/>
    </row>
    <row r="81" spans="1:14" x14ac:dyDescent="0.25">
      <c r="A81" s="66"/>
      <c r="B81" s="66"/>
      <c r="C81" s="66"/>
      <c r="D81" s="66"/>
      <c r="E81" s="66"/>
      <c r="F81" s="66"/>
      <c r="G81" s="66"/>
      <c r="H81" s="66"/>
      <c r="I81" s="66"/>
      <c r="J81" s="66"/>
      <c r="K81" s="66"/>
      <c r="L81" s="66"/>
      <c r="M81" s="66"/>
      <c r="N81" s="66"/>
    </row>
    <row r="82" spans="1:14" x14ac:dyDescent="0.25">
      <c r="A82" s="66"/>
      <c r="B82" s="66"/>
      <c r="C82" s="66"/>
      <c r="D82" s="66"/>
      <c r="E82" s="66"/>
      <c r="F82" s="66"/>
      <c r="G82" s="66"/>
      <c r="H82" s="66"/>
      <c r="I82" s="66"/>
      <c r="J82" s="66"/>
      <c r="K82" s="66"/>
      <c r="L82" s="66"/>
      <c r="M82" s="66"/>
      <c r="N82" s="66"/>
    </row>
    <row r="83" spans="1:14" x14ac:dyDescent="0.25">
      <c r="A83" s="66"/>
      <c r="B83" s="66"/>
      <c r="C83" s="66"/>
      <c r="D83" s="66"/>
      <c r="E83" s="66"/>
      <c r="F83" s="66"/>
      <c r="G83" s="66"/>
      <c r="H83" s="66"/>
      <c r="I83" s="66"/>
      <c r="J83" s="66"/>
      <c r="K83" s="66"/>
      <c r="L83" s="66"/>
      <c r="M83" s="66"/>
      <c r="N83" s="66"/>
    </row>
    <row r="84" spans="1:14" x14ac:dyDescent="0.25">
      <c r="A84" s="66"/>
      <c r="B84" s="66"/>
      <c r="C84" s="66"/>
      <c r="D84" s="66"/>
      <c r="E84" s="66"/>
      <c r="F84" s="66"/>
      <c r="G84" s="66"/>
      <c r="H84" s="66"/>
      <c r="I84" s="66"/>
      <c r="J84" s="66"/>
      <c r="K84" s="66"/>
      <c r="L84" s="66"/>
      <c r="M84" s="66"/>
      <c r="N84" s="66"/>
    </row>
    <row r="85" spans="1:14" x14ac:dyDescent="0.25">
      <c r="A85" s="66"/>
      <c r="B85" s="66"/>
      <c r="C85" s="66"/>
      <c r="D85" s="66"/>
      <c r="E85" s="66"/>
      <c r="F85" s="66"/>
      <c r="G85" s="66"/>
      <c r="H85" s="66"/>
      <c r="I85" s="66"/>
      <c r="J85" s="66"/>
      <c r="K85" s="66"/>
      <c r="L85" s="66"/>
      <c r="M85" s="66"/>
      <c r="N85" s="66"/>
    </row>
    <row r="86" spans="1:14" x14ac:dyDescent="0.25">
      <c r="A86" s="66"/>
      <c r="B86" s="66"/>
      <c r="C86" s="66"/>
      <c r="D86" s="66"/>
      <c r="E86" s="66"/>
      <c r="F86" s="66"/>
      <c r="G86" s="66"/>
      <c r="H86" s="66"/>
      <c r="I86" s="66"/>
      <c r="J86" s="66"/>
      <c r="K86" s="66"/>
      <c r="L86" s="66"/>
      <c r="M86" s="66"/>
      <c r="N86" s="66"/>
    </row>
    <row r="87" spans="1:14" x14ac:dyDescent="0.25">
      <c r="A87" s="66"/>
      <c r="B87" s="66"/>
      <c r="C87" s="66"/>
      <c r="D87" s="66"/>
      <c r="E87" s="66"/>
      <c r="F87" s="66"/>
      <c r="G87" s="66"/>
      <c r="H87" s="66"/>
      <c r="I87" s="66"/>
      <c r="J87" s="66"/>
      <c r="K87" s="66"/>
      <c r="L87" s="66"/>
      <c r="M87" s="66"/>
      <c r="N87" s="66"/>
    </row>
    <row r="88" spans="1:14" x14ac:dyDescent="0.25">
      <c r="A88" s="66"/>
      <c r="B88" s="66"/>
      <c r="C88" s="66"/>
      <c r="D88" s="66"/>
      <c r="E88" s="66"/>
      <c r="F88" s="66"/>
      <c r="G88" s="66"/>
      <c r="H88" s="66"/>
      <c r="I88" s="66"/>
      <c r="J88" s="66"/>
      <c r="K88" s="66"/>
      <c r="L88" s="66"/>
      <c r="M88" s="66"/>
      <c r="N88" s="66"/>
    </row>
    <row r="89" spans="1:14" x14ac:dyDescent="0.25">
      <c r="A89" s="66"/>
      <c r="B89" s="66"/>
      <c r="C89" s="66"/>
      <c r="D89" s="66"/>
      <c r="E89" s="66"/>
      <c r="F89" s="66"/>
      <c r="G89" s="66"/>
      <c r="H89" s="66"/>
      <c r="I89" s="66"/>
      <c r="J89" s="66"/>
      <c r="K89" s="66"/>
      <c r="L89" s="66"/>
      <c r="M89" s="66"/>
      <c r="N89" s="66"/>
    </row>
    <row r="90" spans="1:14" x14ac:dyDescent="0.25">
      <c r="A90" s="66"/>
      <c r="B90" s="66"/>
      <c r="C90" s="66"/>
      <c r="D90" s="66"/>
      <c r="E90" s="66"/>
      <c r="F90" s="66"/>
      <c r="G90" s="66"/>
      <c r="H90" s="66"/>
      <c r="I90" s="66"/>
      <c r="J90" s="66"/>
      <c r="K90" s="66"/>
      <c r="L90" s="66"/>
      <c r="M90" s="66"/>
      <c r="N90" s="66"/>
    </row>
    <row r="91" spans="1:14" x14ac:dyDescent="0.25">
      <c r="A91" s="66"/>
      <c r="B91" s="66"/>
      <c r="C91" s="66"/>
      <c r="D91" s="66"/>
      <c r="E91" s="66"/>
      <c r="F91" s="66"/>
      <c r="G91" s="66"/>
      <c r="H91" s="66"/>
      <c r="I91" s="66"/>
      <c r="J91" s="66"/>
      <c r="K91" s="66"/>
      <c r="L91" s="66"/>
      <c r="M91" s="66"/>
      <c r="N91" s="66"/>
    </row>
    <row r="92" spans="1:14" x14ac:dyDescent="0.25">
      <c r="A92" s="66"/>
      <c r="B92" s="66"/>
      <c r="C92" s="66"/>
      <c r="D92" s="66"/>
      <c r="E92" s="66"/>
      <c r="F92" s="66"/>
      <c r="G92" s="66"/>
      <c r="H92" s="66"/>
      <c r="I92" s="66"/>
      <c r="J92" s="66"/>
      <c r="K92" s="66"/>
      <c r="L92" s="66"/>
      <c r="M92" s="66"/>
      <c r="N92" s="66"/>
    </row>
    <row r="93" spans="1:14" x14ac:dyDescent="0.25">
      <c r="A93" s="66"/>
      <c r="B93" s="66"/>
      <c r="C93" s="66"/>
      <c r="D93" s="66"/>
      <c r="E93" s="66"/>
      <c r="F93" s="66"/>
      <c r="G93" s="66"/>
      <c r="H93" s="66"/>
      <c r="I93" s="66"/>
      <c r="J93" s="66"/>
      <c r="K93" s="66"/>
      <c r="L93" s="66"/>
      <c r="M93" s="66"/>
      <c r="N93" s="66"/>
    </row>
    <row r="94" spans="1:14" x14ac:dyDescent="0.25">
      <c r="A94" s="66"/>
      <c r="B94" s="66"/>
      <c r="C94" s="66"/>
      <c r="D94" s="66"/>
      <c r="E94" s="66"/>
      <c r="F94" s="66"/>
      <c r="G94" s="66"/>
      <c r="H94" s="66"/>
      <c r="I94" s="66"/>
      <c r="J94" s="66"/>
      <c r="K94" s="66"/>
      <c r="L94" s="66"/>
      <c r="M94" s="66"/>
      <c r="N94" s="66"/>
    </row>
    <row r="95" spans="1:14" x14ac:dyDescent="0.25">
      <c r="A95" s="66"/>
      <c r="B95" s="66"/>
      <c r="C95" s="66"/>
      <c r="D95" s="66"/>
      <c r="E95" s="66"/>
      <c r="F95" s="66"/>
      <c r="G95" s="66"/>
      <c r="H95" s="66"/>
      <c r="I95" s="66"/>
      <c r="J95" s="66"/>
      <c r="K95" s="66"/>
      <c r="L95" s="66"/>
      <c r="M95" s="66"/>
      <c r="N95" s="66"/>
    </row>
    <row r="96" spans="1:14" x14ac:dyDescent="0.25">
      <c r="A96" s="66"/>
      <c r="B96" s="66"/>
      <c r="C96" s="66"/>
      <c r="D96" s="66"/>
      <c r="E96" s="66"/>
      <c r="F96" s="66"/>
      <c r="G96" s="66"/>
      <c r="H96" s="66"/>
      <c r="I96" s="66"/>
      <c r="J96" s="66"/>
      <c r="K96" s="66"/>
      <c r="L96" s="66"/>
      <c r="M96" s="66"/>
      <c r="N96" s="66"/>
    </row>
    <row r="97" spans="1:14" x14ac:dyDescent="0.25">
      <c r="A97" s="66"/>
      <c r="B97" s="66"/>
      <c r="C97" s="66"/>
      <c r="D97" s="66"/>
      <c r="E97" s="66"/>
      <c r="F97" s="66"/>
      <c r="G97" s="66"/>
      <c r="H97" s="66"/>
      <c r="I97" s="66"/>
      <c r="J97" s="66"/>
      <c r="K97" s="66"/>
      <c r="L97" s="66"/>
      <c r="M97" s="66"/>
      <c r="N97" s="66"/>
    </row>
    <row r="98" spans="1:14" x14ac:dyDescent="0.25">
      <c r="A98" s="66"/>
      <c r="B98" s="66"/>
      <c r="C98" s="66"/>
      <c r="D98" s="66"/>
      <c r="E98" s="66"/>
      <c r="F98" s="66"/>
      <c r="G98" s="66"/>
      <c r="H98" s="66"/>
      <c r="I98" s="66"/>
      <c r="J98" s="66"/>
      <c r="K98" s="66"/>
      <c r="L98" s="66"/>
      <c r="M98" s="66"/>
      <c r="N98" s="66"/>
    </row>
    <row r="99" spans="1:14" x14ac:dyDescent="0.25">
      <c r="A99" s="66"/>
      <c r="B99" s="66"/>
      <c r="C99" s="66"/>
      <c r="D99" s="66"/>
      <c r="E99" s="66"/>
      <c r="F99" s="66"/>
      <c r="G99" s="66"/>
      <c r="H99" s="66"/>
      <c r="I99" s="66"/>
      <c r="J99" s="66"/>
      <c r="K99" s="66"/>
      <c r="L99" s="66"/>
      <c r="M99" s="66"/>
      <c r="N99" s="66"/>
    </row>
    <row r="100" spans="1:14" x14ac:dyDescent="0.25">
      <c r="A100" s="66"/>
      <c r="B100" s="66"/>
      <c r="C100" s="66"/>
      <c r="D100" s="66"/>
      <c r="E100" s="66"/>
      <c r="F100" s="66"/>
      <c r="G100" s="66"/>
      <c r="H100" s="66"/>
      <c r="I100" s="66"/>
      <c r="J100" s="66"/>
      <c r="K100" s="66"/>
      <c r="L100" s="66"/>
      <c r="M100" s="66"/>
      <c r="N100" s="66"/>
    </row>
    <row r="101" spans="1:14" x14ac:dyDescent="0.25">
      <c r="A101" s="66"/>
      <c r="B101" s="66"/>
      <c r="C101" s="66"/>
      <c r="D101" s="66"/>
      <c r="E101" s="66"/>
      <c r="F101" s="66"/>
      <c r="G101" s="66"/>
      <c r="H101" s="66"/>
      <c r="I101" s="66"/>
      <c r="J101" s="66"/>
      <c r="K101" s="66"/>
      <c r="L101" s="66"/>
      <c r="M101" s="66"/>
      <c r="N101" s="66"/>
    </row>
    <row r="102" spans="1:14" x14ac:dyDescent="0.25">
      <c r="A102" s="66"/>
      <c r="B102" s="66"/>
      <c r="C102" s="66"/>
      <c r="D102" s="66"/>
      <c r="E102" s="66"/>
      <c r="F102" s="66"/>
      <c r="G102" s="66"/>
      <c r="H102" s="66"/>
      <c r="I102" s="66"/>
      <c r="J102" s="66"/>
      <c r="K102" s="66"/>
      <c r="L102" s="66"/>
      <c r="M102" s="66"/>
      <c r="N102" s="66"/>
    </row>
    <row r="103" spans="1:14" x14ac:dyDescent="0.25">
      <c r="A103" s="66"/>
      <c r="B103" s="66"/>
      <c r="C103" s="66"/>
      <c r="D103" s="66"/>
      <c r="E103" s="66"/>
      <c r="F103" s="66"/>
      <c r="G103" s="66"/>
      <c r="H103" s="66"/>
      <c r="I103" s="66"/>
      <c r="J103" s="66"/>
      <c r="K103" s="66"/>
      <c r="L103" s="66"/>
      <c r="M103" s="66"/>
      <c r="N103" s="66"/>
    </row>
    <row r="104" spans="1:14" x14ac:dyDescent="0.25">
      <c r="A104" s="66"/>
      <c r="B104" s="66"/>
      <c r="C104" s="66"/>
      <c r="D104" s="66"/>
      <c r="E104" s="66"/>
      <c r="F104" s="66"/>
      <c r="G104" s="66"/>
      <c r="H104" s="66"/>
      <c r="I104" s="66"/>
      <c r="J104" s="66"/>
      <c r="K104" s="66"/>
      <c r="L104" s="66"/>
      <c r="M104" s="66"/>
      <c r="N104" s="66"/>
    </row>
    <row r="105" spans="1:14" x14ac:dyDescent="0.25">
      <c r="A105" s="66"/>
      <c r="B105" s="66"/>
      <c r="C105" s="66"/>
      <c r="D105" s="66"/>
      <c r="E105" s="66"/>
      <c r="F105" s="66"/>
      <c r="G105" s="66"/>
      <c r="H105" s="66"/>
      <c r="I105" s="66"/>
      <c r="J105" s="66"/>
      <c r="K105" s="66"/>
      <c r="L105" s="66"/>
      <c r="M105" s="66"/>
      <c r="N105" s="66"/>
    </row>
    <row r="106" spans="1:14" x14ac:dyDescent="0.25">
      <c r="A106" s="66"/>
      <c r="B106" s="66"/>
      <c r="C106" s="66"/>
      <c r="D106" s="66"/>
      <c r="E106" s="66"/>
      <c r="F106" s="66"/>
      <c r="G106" s="66"/>
      <c r="H106" s="66"/>
      <c r="I106" s="66"/>
      <c r="J106" s="66"/>
      <c r="K106" s="66"/>
      <c r="L106" s="66"/>
      <c r="M106" s="66"/>
      <c r="N106" s="66"/>
    </row>
    <row r="107" spans="1:14" x14ac:dyDescent="0.25">
      <c r="A107" s="66"/>
      <c r="B107" s="66"/>
      <c r="C107" s="66"/>
      <c r="D107" s="66"/>
      <c r="E107" s="66"/>
      <c r="F107" s="66"/>
      <c r="G107" s="66"/>
      <c r="H107" s="66"/>
      <c r="I107" s="66"/>
      <c r="J107" s="66"/>
      <c r="K107" s="66"/>
      <c r="L107" s="66"/>
      <c r="M107" s="66"/>
      <c r="N107" s="66"/>
    </row>
    <row r="108" spans="1:14" x14ac:dyDescent="0.25">
      <c r="A108" s="66"/>
      <c r="B108" s="66"/>
      <c r="C108" s="66"/>
      <c r="D108" s="66"/>
      <c r="E108" s="66"/>
      <c r="F108" s="66"/>
      <c r="G108" s="66"/>
      <c r="H108" s="66"/>
      <c r="I108" s="66"/>
      <c r="J108" s="66"/>
      <c r="K108" s="66"/>
      <c r="L108" s="66"/>
      <c r="M108" s="66"/>
      <c r="N108" s="66"/>
    </row>
    <row r="109" spans="1:14" x14ac:dyDescent="0.25">
      <c r="A109" s="66"/>
      <c r="B109" s="66"/>
      <c r="C109" s="66"/>
      <c r="D109" s="66"/>
      <c r="E109" s="66"/>
      <c r="F109" s="66"/>
      <c r="G109" s="66"/>
      <c r="H109" s="66"/>
      <c r="I109" s="66"/>
      <c r="J109" s="66"/>
      <c r="K109" s="66"/>
      <c r="L109" s="66"/>
      <c r="M109" s="66"/>
      <c r="N109" s="66"/>
    </row>
    <row r="110" spans="1:14" x14ac:dyDescent="0.25">
      <c r="A110" s="66"/>
      <c r="B110" s="66"/>
      <c r="C110" s="66"/>
      <c r="D110" s="66"/>
      <c r="E110" s="66"/>
      <c r="F110" s="66"/>
      <c r="G110" s="66"/>
      <c r="H110" s="66"/>
      <c r="I110" s="66"/>
      <c r="J110" s="66"/>
      <c r="K110" s="66"/>
      <c r="L110" s="66"/>
      <c r="M110" s="66"/>
      <c r="N110" s="66"/>
    </row>
    <row r="111" spans="1:14" x14ac:dyDescent="0.25">
      <c r="A111" s="66"/>
      <c r="B111" s="66"/>
      <c r="C111" s="66"/>
      <c r="D111" s="66"/>
      <c r="E111" s="66"/>
      <c r="F111" s="66"/>
      <c r="G111" s="66"/>
      <c r="H111" s="66"/>
      <c r="I111" s="66"/>
      <c r="J111" s="66"/>
      <c r="K111" s="66"/>
      <c r="L111" s="66"/>
      <c r="M111" s="66"/>
      <c r="N111" s="66"/>
    </row>
    <row r="112" spans="1:14" x14ac:dyDescent="0.25">
      <c r="A112" s="66"/>
      <c r="B112" s="66"/>
      <c r="C112" s="66"/>
      <c r="D112" s="66"/>
      <c r="E112" s="66"/>
      <c r="F112" s="66"/>
      <c r="G112" s="66"/>
      <c r="H112" s="66"/>
      <c r="I112" s="66"/>
      <c r="J112" s="66"/>
      <c r="K112" s="66"/>
      <c r="L112" s="66"/>
      <c r="M112" s="66"/>
      <c r="N112" s="66"/>
    </row>
    <row r="113" spans="1:14" x14ac:dyDescent="0.25">
      <c r="A113" s="66"/>
      <c r="B113" s="66"/>
      <c r="C113" s="66"/>
      <c r="D113" s="66"/>
      <c r="E113" s="66"/>
      <c r="F113" s="66"/>
      <c r="G113" s="66"/>
      <c r="H113" s="66"/>
      <c r="I113" s="66"/>
      <c r="J113" s="66"/>
      <c r="K113" s="66"/>
      <c r="L113" s="66"/>
      <c r="M113" s="66"/>
      <c r="N113" s="66"/>
    </row>
    <row r="114" spans="1:14" x14ac:dyDescent="0.25">
      <c r="A114" s="66"/>
      <c r="B114" s="66"/>
      <c r="C114" s="66"/>
      <c r="D114" s="66"/>
      <c r="E114" s="66"/>
      <c r="F114" s="66"/>
      <c r="G114" s="66"/>
      <c r="H114" s="66"/>
      <c r="I114" s="66"/>
      <c r="J114" s="66"/>
      <c r="K114" s="66"/>
      <c r="L114" s="66"/>
      <c r="M114" s="66"/>
      <c r="N114" s="66"/>
    </row>
    <row r="115" spans="1:14" x14ac:dyDescent="0.25">
      <c r="A115" s="66"/>
      <c r="B115" s="66"/>
      <c r="C115" s="66"/>
      <c r="D115" s="66"/>
      <c r="E115" s="66"/>
      <c r="F115" s="66"/>
      <c r="G115" s="66"/>
      <c r="H115" s="66"/>
      <c r="I115" s="66"/>
      <c r="J115" s="66"/>
      <c r="K115" s="66"/>
      <c r="L115" s="66"/>
      <c r="M115" s="66"/>
      <c r="N115" s="66"/>
    </row>
    <row r="116" spans="1:14" x14ac:dyDescent="0.25">
      <c r="A116" s="66"/>
      <c r="B116" s="66"/>
      <c r="C116" s="66"/>
      <c r="D116" s="66"/>
      <c r="E116" s="66"/>
      <c r="F116" s="66"/>
      <c r="G116" s="66"/>
      <c r="H116" s="66"/>
      <c r="I116" s="66"/>
      <c r="J116" s="66"/>
      <c r="K116" s="66"/>
      <c r="L116" s="66"/>
      <c r="M116" s="66"/>
      <c r="N116" s="66"/>
    </row>
    <row r="117" spans="1:14" x14ac:dyDescent="0.25">
      <c r="A117" s="66"/>
      <c r="B117" s="66"/>
      <c r="C117" s="66"/>
      <c r="D117" s="66"/>
      <c r="E117" s="66"/>
      <c r="F117" s="66"/>
      <c r="G117" s="66"/>
      <c r="H117" s="66"/>
      <c r="I117" s="66"/>
      <c r="J117" s="66"/>
      <c r="K117" s="66"/>
      <c r="L117" s="66"/>
      <c r="M117" s="66"/>
      <c r="N117" s="66"/>
    </row>
    <row r="118" spans="1:14" x14ac:dyDescent="0.25">
      <c r="A118" s="66"/>
      <c r="B118" s="66"/>
      <c r="C118" s="66"/>
      <c r="D118" s="66"/>
      <c r="E118" s="66"/>
      <c r="F118" s="66"/>
      <c r="G118" s="66"/>
      <c r="H118" s="66"/>
      <c r="I118" s="66"/>
      <c r="J118" s="66"/>
      <c r="K118" s="66"/>
      <c r="L118" s="66"/>
      <c r="M118" s="66"/>
      <c r="N118" s="66"/>
    </row>
  </sheetData>
  <phoneticPr fontId="0" type="noConversion"/>
  <pageMargins left="0.25" right="0.25" top="0.75" bottom="0.75" header="0.3" footer="0.3"/>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0"/>
  <sheetViews>
    <sheetView showGridLines="0" zoomScaleNormal="100" workbookViewId="0">
      <selection activeCell="G45" sqref="G45"/>
    </sheetView>
  </sheetViews>
  <sheetFormatPr defaultRowHeight="13.2" x14ac:dyDescent="0.25"/>
  <cols>
    <col min="2" max="2" width="2.33203125" bestFit="1" customWidth="1"/>
    <col min="3" max="12" width="11.6640625" customWidth="1"/>
  </cols>
  <sheetData>
    <row r="1" spans="1:13" x14ac:dyDescent="0.25">
      <c r="A1" s="59" t="str">
        <f>"Commodity Pricing ("&amp;TEXT(A6,"mmmm yyyy")&amp;" through "&amp;TEXT(A17,"mmmm yyyy")&amp;")"</f>
        <v>Commodity Pricing (May 2019 through April 2020)</v>
      </c>
      <c r="B1" s="60"/>
    </row>
    <row r="2" spans="1:13" x14ac:dyDescent="0.25">
      <c r="A2" s="61" t="str">
        <f>Value!A2</f>
        <v>Rabanco Ltd (dba Allied Waste of Seatac)</v>
      </c>
      <c r="B2" s="61"/>
    </row>
    <row r="3" spans="1:13" x14ac:dyDescent="0.25">
      <c r="A3" s="61"/>
      <c r="B3" s="61"/>
    </row>
    <row r="4" spans="1:13" x14ac:dyDescent="0.25">
      <c r="A4" s="61"/>
      <c r="B4" s="61"/>
    </row>
    <row r="5" spans="1:13" x14ac:dyDescent="0.25">
      <c r="B5" s="70"/>
      <c r="C5" s="63" t="s">
        <v>21</v>
      </c>
      <c r="D5" s="63" t="s">
        <v>22</v>
      </c>
      <c r="E5" s="63" t="s">
        <v>88</v>
      </c>
      <c r="F5" s="63" t="s">
        <v>50</v>
      </c>
      <c r="G5" s="63" t="s">
        <v>89</v>
      </c>
      <c r="H5" s="63" t="s">
        <v>24</v>
      </c>
      <c r="I5" s="63" t="s">
        <v>25</v>
      </c>
      <c r="J5" s="63" t="s">
        <v>26</v>
      </c>
      <c r="K5" s="63" t="s">
        <v>27</v>
      </c>
      <c r="L5" s="63" t="s">
        <v>28</v>
      </c>
      <c r="M5" s="63"/>
    </row>
    <row r="6" spans="1:13" ht="15.75" customHeight="1" x14ac:dyDescent="0.25">
      <c r="A6" s="128">
        <f>'Single Family'!$C$6</f>
        <v>43586</v>
      </c>
      <c r="B6" s="66" t="s">
        <v>63</v>
      </c>
      <c r="C6" s="106">
        <f>'Single Family'!C74</f>
        <v>822</v>
      </c>
      <c r="D6" s="107">
        <f>'Single Family'!C76</f>
        <v>-5.29</v>
      </c>
      <c r="E6" s="107">
        <f>'Single Family'!C77</f>
        <v>0</v>
      </c>
      <c r="F6" s="108">
        <f>'Single Family'!C72</f>
        <v>78.888000000000005</v>
      </c>
      <c r="G6" s="106">
        <f>'Single Family'!C75</f>
        <v>45.360000000000007</v>
      </c>
      <c r="H6" s="106">
        <f>'Single Family'!C79</f>
        <v>14.391999999999999</v>
      </c>
      <c r="I6" s="106">
        <f>'Single Family'!C73</f>
        <v>91.139148387096753</v>
      </c>
      <c r="J6" s="106">
        <f>'Single Family'!C73</f>
        <v>91.139148387096753</v>
      </c>
      <c r="K6" s="106">
        <f>'Single Family'!C70</f>
        <v>46.536000000000001</v>
      </c>
      <c r="L6" s="107">
        <f>'Single Family'!C78</f>
        <v>-77.290000000000006</v>
      </c>
      <c r="M6" s="154"/>
    </row>
    <row r="7" spans="1:13" ht="15.75" customHeight="1" x14ac:dyDescent="0.25">
      <c r="A7" s="65">
        <f>+'Commodity Tonnages'!A7</f>
        <v>43646</v>
      </c>
      <c r="B7" s="66" t="s">
        <v>64</v>
      </c>
      <c r="C7" s="106">
        <f>'Single Family'!D74</f>
        <v>800.06400000000008</v>
      </c>
      <c r="D7" s="107">
        <f>'Single Family'!D76</f>
        <v>-6.25</v>
      </c>
      <c r="E7" s="107">
        <f>'Single Family'!D77</f>
        <v>0</v>
      </c>
      <c r="F7" s="108">
        <f>'Single Family'!D72</f>
        <v>79.384000000000015</v>
      </c>
      <c r="G7" s="106">
        <f>'Single Family'!D75</f>
        <v>45.704000000000008</v>
      </c>
      <c r="H7" s="106">
        <f>'Single Family'!D79</f>
        <v>13.991999999999999</v>
      </c>
      <c r="I7" s="106">
        <f>'Single Family'!D73</f>
        <v>87.110709677419337</v>
      </c>
      <c r="J7" s="106">
        <f>'Single Family'!D73</f>
        <v>87.110709677419337</v>
      </c>
      <c r="K7" s="106">
        <f>'Single Family'!D70</f>
        <v>46.432000000000002</v>
      </c>
      <c r="L7" s="107">
        <f>'Single Family'!D78</f>
        <v>-77.290000000000006</v>
      </c>
      <c r="M7" s="154"/>
    </row>
    <row r="8" spans="1:13" ht="15.75" customHeight="1" x14ac:dyDescent="0.25">
      <c r="A8" s="65">
        <f>+'Commodity Tonnages'!A8</f>
        <v>43677</v>
      </c>
      <c r="B8" s="66" t="s">
        <v>65</v>
      </c>
      <c r="C8" s="106">
        <f>'Single Family'!E74</f>
        <v>724.95200000000011</v>
      </c>
      <c r="D8" s="107">
        <f>'Single Family'!E76</f>
        <v>1.2000000000000002</v>
      </c>
      <c r="E8" s="107">
        <f>'Single Family'!E77</f>
        <v>0</v>
      </c>
      <c r="F8" s="108">
        <f>'Single Family'!E72</f>
        <v>77.312000000000012</v>
      </c>
      <c r="G8" s="106">
        <f>'Single Family'!E75</f>
        <v>45.712000000000003</v>
      </c>
      <c r="H8" s="106">
        <f>'Single Family'!E79</f>
        <v>10.752000000000001</v>
      </c>
      <c r="I8" s="106">
        <f>'Single Family'!E73</f>
        <v>73.396748387096807</v>
      </c>
      <c r="J8" s="106">
        <f>'Single Family'!E73</f>
        <v>73.396748387096807</v>
      </c>
      <c r="K8" s="106">
        <f>'Single Family'!E70</f>
        <v>46.488</v>
      </c>
      <c r="L8" s="107">
        <f>'Single Family'!E78</f>
        <v>-77.290000000000006</v>
      </c>
      <c r="M8" s="154"/>
    </row>
    <row r="9" spans="1:13" ht="15.75" customHeight="1" x14ac:dyDescent="0.25">
      <c r="A9" s="65">
        <f>+'Commodity Tonnages'!A9</f>
        <v>43708</v>
      </c>
      <c r="B9" s="66" t="s">
        <v>66</v>
      </c>
      <c r="C9" s="106">
        <f>'Single Family'!F74</f>
        <v>680.40000000000009</v>
      </c>
      <c r="D9" s="107">
        <f>'Single Family'!F76</f>
        <v>2.7520000000000002</v>
      </c>
      <c r="E9" s="107">
        <f>'Single Family'!F77</f>
        <v>0</v>
      </c>
      <c r="F9" s="108">
        <f>'Single Family'!F72</f>
        <v>79.232000000000014</v>
      </c>
      <c r="G9" s="106">
        <f>'Single Family'!F75</f>
        <v>49.304000000000002</v>
      </c>
      <c r="H9" s="106">
        <f>'Single Family'!F79</f>
        <v>4.1120000000000001</v>
      </c>
      <c r="I9" s="106">
        <f>'Single Family'!F73</f>
        <v>44.623664516129033</v>
      </c>
      <c r="J9" s="106">
        <f>'Single Family'!F73</f>
        <v>44.623664516129033</v>
      </c>
      <c r="K9" s="106">
        <f>'Single Family'!F70</f>
        <v>49.024000000000001</v>
      </c>
      <c r="L9" s="107">
        <f>'Single Family'!F78</f>
        <v>-77.290000000000006</v>
      </c>
      <c r="M9" s="154"/>
    </row>
    <row r="10" spans="1:13" ht="15.75" customHeight="1" x14ac:dyDescent="0.25">
      <c r="A10" s="65">
        <f>+'Commodity Tonnages'!A10</f>
        <v>43738</v>
      </c>
      <c r="B10" s="66" t="s">
        <v>67</v>
      </c>
      <c r="C10" s="106">
        <f>'Single Family'!G74</f>
        <v>663.01600000000008</v>
      </c>
      <c r="D10" s="107">
        <f>'Single Family'!G76</f>
        <v>6.048</v>
      </c>
      <c r="E10" s="107">
        <f>'Single Family'!G77</f>
        <v>0</v>
      </c>
      <c r="F10" s="108">
        <f>'Single Family'!G72</f>
        <v>72.712000000000003</v>
      </c>
      <c r="G10" s="106">
        <f>'Single Family'!G75</f>
        <v>44.288000000000004</v>
      </c>
      <c r="H10" s="106">
        <f>'Single Family'!G79</f>
        <v>-0.75</v>
      </c>
      <c r="I10" s="106">
        <f>'Single Family'!G73</f>
        <v>50.163174193548386</v>
      </c>
      <c r="J10" s="106">
        <f>'Single Family'!G73</f>
        <v>50.163174193548386</v>
      </c>
      <c r="K10" s="106">
        <f>'Single Family'!G70</f>
        <v>42.736000000000004</v>
      </c>
      <c r="L10" s="107">
        <f>'Single Family'!G78</f>
        <v>-77.290000000000006</v>
      </c>
      <c r="M10" s="154"/>
    </row>
    <row r="11" spans="1:13" ht="15.75" customHeight="1" x14ac:dyDescent="0.25">
      <c r="A11" s="65">
        <f>+'Commodity Tonnages'!A11</f>
        <v>43769</v>
      </c>
      <c r="B11" s="66" t="s">
        <v>68</v>
      </c>
      <c r="C11" s="106">
        <f>'Single Family'!H74</f>
        <v>718.5920000000001</v>
      </c>
      <c r="D11" s="107">
        <f>'Single Family'!H76</f>
        <v>6.2480000000000002</v>
      </c>
      <c r="E11" s="107">
        <f>'Single Family'!H77</f>
        <v>0</v>
      </c>
      <c r="F11" s="108">
        <f>'Single Family'!H72</f>
        <v>63.903999999999996</v>
      </c>
      <c r="G11" s="106">
        <f>'Single Family'!H75</f>
        <v>40.584000000000003</v>
      </c>
      <c r="H11" s="106">
        <f>'Single Family'!H79</f>
        <v>-14.77</v>
      </c>
      <c r="I11" s="106">
        <f>'Single Family'!H73</f>
        <v>32.19341935483871</v>
      </c>
      <c r="J11" s="106">
        <f>'Single Family'!H73</f>
        <v>32.19341935483871</v>
      </c>
      <c r="K11" s="106">
        <f>'Single Family'!H70</f>
        <v>39.6</v>
      </c>
      <c r="L11" s="107">
        <f>'Single Family'!H78</f>
        <v>-81.319999999999993</v>
      </c>
      <c r="M11" s="154"/>
    </row>
    <row r="12" spans="1:13" ht="15.75" customHeight="1" x14ac:dyDescent="0.25">
      <c r="A12" s="65">
        <f>+'Commodity Tonnages'!A12</f>
        <v>43799</v>
      </c>
      <c r="B12" s="66" t="s">
        <v>69</v>
      </c>
      <c r="C12" s="106">
        <f>'Single Family'!I74</f>
        <v>677.26400000000012</v>
      </c>
      <c r="D12" s="107">
        <f>'Single Family'!I76</f>
        <v>3.2320000000000002</v>
      </c>
      <c r="E12" s="107">
        <f>'Single Family'!I77</f>
        <v>0</v>
      </c>
      <c r="F12" s="108">
        <f>'Single Family'!I72</f>
        <v>75.664000000000001</v>
      </c>
      <c r="G12" s="106">
        <f>'Single Family'!I75</f>
        <v>49.6</v>
      </c>
      <c r="H12" s="106">
        <f>'Single Family'!I79</f>
        <v>3.9520000000000004</v>
      </c>
      <c r="I12" s="106">
        <f>'Single Family'!I73</f>
        <v>43.972916129032299</v>
      </c>
      <c r="J12" s="106">
        <f>'Single Family'!I73</f>
        <v>43.972916129032299</v>
      </c>
      <c r="K12" s="106">
        <f>'Single Family'!I70</f>
        <v>39.44</v>
      </c>
      <c r="L12" s="107">
        <f>'Single Family'!I78</f>
        <v>-81.319999999999993</v>
      </c>
      <c r="M12" s="154"/>
    </row>
    <row r="13" spans="1:13" ht="15.75" customHeight="1" x14ac:dyDescent="0.25">
      <c r="A13" s="65">
        <f>+'Commodity Tonnages'!A13</f>
        <v>43830</v>
      </c>
      <c r="B13" s="66" t="s">
        <v>70</v>
      </c>
      <c r="C13" s="106">
        <f>'Single Family'!J74</f>
        <v>695.32</v>
      </c>
      <c r="D13" s="107">
        <f>'Single Family'!J76</f>
        <v>5.152000000000001</v>
      </c>
      <c r="E13" s="107">
        <f>'Single Family'!J77</f>
        <v>0</v>
      </c>
      <c r="F13" s="108">
        <f>'Single Family'!J72</f>
        <v>84.927999999999997</v>
      </c>
      <c r="G13" s="106">
        <f>'Single Family'!J75</f>
        <v>57.344000000000008</v>
      </c>
      <c r="H13" s="106">
        <f>'Single Family'!J79</f>
        <v>4.4320000000000004</v>
      </c>
      <c r="I13" s="106">
        <f>'Single Family'!J73</f>
        <v>67.076283870967742</v>
      </c>
      <c r="J13" s="106">
        <f>'Single Family'!J73</f>
        <v>67.076283870967742</v>
      </c>
      <c r="K13" s="106">
        <f>'Single Family'!J70</f>
        <v>33.808</v>
      </c>
      <c r="L13" s="107">
        <f>'Single Family'!J78</f>
        <v>-81.319999999999993</v>
      </c>
      <c r="M13" s="154"/>
    </row>
    <row r="14" spans="1:13" ht="15.75" customHeight="1" x14ac:dyDescent="0.25">
      <c r="A14" s="65">
        <f>+'Commodity Tonnages'!A14</f>
        <v>43861</v>
      </c>
      <c r="B14" s="66" t="s">
        <v>71</v>
      </c>
      <c r="C14" s="106">
        <f>'Single Family'!K74</f>
        <v>687.22400000000005</v>
      </c>
      <c r="D14" s="107">
        <f>'Single Family'!K76</f>
        <v>6.008</v>
      </c>
      <c r="E14" s="107">
        <f>'Single Family'!K77</f>
        <v>0</v>
      </c>
      <c r="F14" s="108">
        <f>'Single Family'!K72</f>
        <v>100.072</v>
      </c>
      <c r="G14" s="106">
        <f>'Single Family'!K75</f>
        <v>67.84</v>
      </c>
      <c r="H14" s="106">
        <f>'Single Family'!K79</f>
        <v>5.8320000000000007</v>
      </c>
      <c r="I14" s="106">
        <f>'Single Family'!K73</f>
        <v>104.12982914572862</v>
      </c>
      <c r="J14" s="106">
        <f>'Single Family'!K73</f>
        <v>104.12982914572862</v>
      </c>
      <c r="K14" s="106">
        <f>'Single Family'!K70</f>
        <v>49.104000000000006</v>
      </c>
      <c r="L14" s="107">
        <f>'Single Family'!K78</f>
        <v>-154.67000000000002</v>
      </c>
      <c r="M14" s="154"/>
    </row>
    <row r="15" spans="1:13" ht="15.75" customHeight="1" x14ac:dyDescent="0.25">
      <c r="A15" s="65">
        <f>+'Commodity Tonnages'!A15</f>
        <v>43890</v>
      </c>
      <c r="B15" s="66" t="s">
        <v>72</v>
      </c>
      <c r="C15" s="106">
        <f>'Single Family'!L74</f>
        <v>654.64800000000002</v>
      </c>
      <c r="D15" s="107">
        <f>'Single Family'!L76</f>
        <v>2.4079999999999999</v>
      </c>
      <c r="E15" s="107">
        <f>'Single Family'!L77</f>
        <v>0</v>
      </c>
      <c r="F15" s="108">
        <f>'Single Family'!L72</f>
        <v>88.112000000000009</v>
      </c>
      <c r="G15" s="106">
        <f>'Single Family'!L75</f>
        <v>60.032000000000011</v>
      </c>
      <c r="H15" s="106">
        <f>'Single Family'!L79</f>
        <v>9.952</v>
      </c>
      <c r="I15" s="106">
        <f>'Single Family'!L73</f>
        <v>111.3465527638191</v>
      </c>
      <c r="J15" s="106">
        <f>'Single Family'!L73</f>
        <v>111.3465527638191</v>
      </c>
      <c r="K15" s="106">
        <f>'Single Family'!L70</f>
        <v>61.256</v>
      </c>
      <c r="L15" s="107">
        <f>'Single Family'!L78</f>
        <v>-149.94</v>
      </c>
      <c r="M15" s="154"/>
    </row>
    <row r="16" spans="1:13" ht="15.75" customHeight="1" x14ac:dyDescent="0.25">
      <c r="A16" s="65">
        <f>+'Commodity Tonnages'!A16</f>
        <v>43921</v>
      </c>
      <c r="B16" s="66" t="s">
        <v>73</v>
      </c>
      <c r="C16" s="106">
        <f>'Single Family'!M74</f>
        <v>700.69600000000003</v>
      </c>
      <c r="D16" s="107">
        <f>'Single Family'!M76</f>
        <v>6.4560000000000004</v>
      </c>
      <c r="E16" s="107">
        <f>'Single Family'!M77</f>
        <v>0</v>
      </c>
      <c r="F16" s="108">
        <f>'Single Family'!M72</f>
        <v>88.463999999999999</v>
      </c>
      <c r="G16" s="106">
        <f>'Single Family'!M75</f>
        <v>61.00800000000001</v>
      </c>
      <c r="H16" s="106">
        <f>'Single Family'!M79</f>
        <v>11.136000000000001</v>
      </c>
      <c r="I16" s="106">
        <f>'Single Family'!M73</f>
        <v>86.397949748743713</v>
      </c>
      <c r="J16" s="106">
        <f>'Single Family'!M73</f>
        <v>86.397949748743713</v>
      </c>
      <c r="K16" s="106">
        <f>'Single Family'!M70</f>
        <v>77.816000000000003</v>
      </c>
      <c r="L16" s="107">
        <f>'Single Family'!M78</f>
        <v>-140.9</v>
      </c>
      <c r="M16" s="154"/>
    </row>
    <row r="17" spans="1:14" ht="15.75" customHeight="1" x14ac:dyDescent="0.25">
      <c r="A17" s="65">
        <f>+'Commodity Tonnages'!A17</f>
        <v>43951</v>
      </c>
      <c r="B17" s="66" t="s">
        <v>74</v>
      </c>
      <c r="C17" s="106">
        <f>'Single Family'!N74</f>
        <v>603.48</v>
      </c>
      <c r="D17" s="107">
        <f>'Single Family'!N76</f>
        <v>3.8159999999999998</v>
      </c>
      <c r="E17" s="107">
        <f>'Single Family'!N77</f>
        <v>0</v>
      </c>
      <c r="F17" s="108">
        <f>'Single Family'!N72</f>
        <v>58.960000000000008</v>
      </c>
      <c r="G17" s="106">
        <f>'Single Family'!N75</f>
        <v>38.128</v>
      </c>
      <c r="H17" s="106">
        <f>'Single Family'!N79</f>
        <v>2.7360000000000002</v>
      </c>
      <c r="I17" s="106">
        <f>'Single Family'!N73</f>
        <v>69.097936348408709</v>
      </c>
      <c r="J17" s="106">
        <f>'Single Family'!N73</f>
        <v>69.097936348408709</v>
      </c>
      <c r="K17" s="106">
        <f>'Single Family'!N70</f>
        <v>87.360000000000014</v>
      </c>
      <c r="L17" s="107">
        <f>'Single Family'!N78</f>
        <v>-137.41</v>
      </c>
      <c r="M17" s="154"/>
    </row>
    <row r="18" spans="1:14" x14ac:dyDescent="0.25">
      <c r="A18" s="66"/>
      <c r="B18" s="66"/>
      <c r="C18" s="67"/>
      <c r="D18" s="67"/>
      <c r="E18" s="67"/>
      <c r="F18" s="67"/>
      <c r="G18" s="67"/>
      <c r="H18" s="67"/>
      <c r="I18" s="67"/>
      <c r="J18" s="67"/>
      <c r="K18" s="67"/>
      <c r="L18" s="66"/>
      <c r="M18" s="67"/>
    </row>
    <row r="19" spans="1:14" x14ac:dyDescent="0.25">
      <c r="A19" s="69"/>
      <c r="B19" s="66"/>
      <c r="C19" s="67"/>
      <c r="D19" s="67"/>
      <c r="E19" s="67"/>
      <c r="F19" s="67"/>
      <c r="G19" s="67"/>
      <c r="H19" s="67"/>
      <c r="I19" s="67"/>
      <c r="J19" s="67"/>
      <c r="K19" s="67"/>
      <c r="L19" s="67"/>
      <c r="M19" s="67"/>
      <c r="N19" s="67"/>
    </row>
    <row r="20" spans="1:14" x14ac:dyDescent="0.25">
      <c r="A20" s="66"/>
      <c r="B20" s="66"/>
      <c r="C20" s="66"/>
      <c r="D20" s="66"/>
      <c r="E20" s="66"/>
      <c r="F20" s="66"/>
      <c r="G20" s="66"/>
      <c r="H20" s="66"/>
      <c r="I20" s="66"/>
      <c r="J20" s="66"/>
      <c r="K20" s="66"/>
      <c r="L20" s="66"/>
      <c r="M20" s="67"/>
    </row>
    <row r="21" spans="1:14" x14ac:dyDescent="0.25">
      <c r="A21" s="66"/>
      <c r="B21" s="66"/>
      <c r="C21" s="66"/>
      <c r="D21" s="66"/>
      <c r="E21" s="66"/>
      <c r="F21" s="66"/>
      <c r="G21" s="66"/>
      <c r="H21" s="66"/>
      <c r="I21" s="66"/>
      <c r="J21" s="66"/>
      <c r="K21" s="66"/>
      <c r="L21" s="66"/>
      <c r="M21" s="67"/>
    </row>
    <row r="22" spans="1:14" x14ac:dyDescent="0.25">
      <c r="A22" s="66"/>
      <c r="B22" s="66"/>
      <c r="C22" s="66"/>
      <c r="D22" s="66"/>
      <c r="F22" s="66"/>
      <c r="G22" s="66"/>
      <c r="H22" s="66"/>
      <c r="I22" s="66"/>
      <c r="J22" s="66"/>
      <c r="K22" s="66"/>
      <c r="L22" s="66"/>
      <c r="M22" s="67"/>
    </row>
    <row r="23" spans="1:14" x14ac:dyDescent="0.25">
      <c r="A23" s="66"/>
      <c r="B23" s="66"/>
      <c r="C23" s="66"/>
      <c r="D23" s="66"/>
      <c r="F23" s="66"/>
      <c r="G23" s="66"/>
      <c r="H23" s="66"/>
      <c r="I23" s="66"/>
      <c r="J23" s="66"/>
      <c r="K23" s="66"/>
      <c r="L23" s="66"/>
      <c r="M23" s="67"/>
    </row>
    <row r="24" spans="1:14" x14ac:dyDescent="0.25">
      <c r="A24" s="66"/>
      <c r="B24" s="66"/>
      <c r="C24" s="66"/>
      <c r="D24" s="66"/>
      <c r="G24" s="66"/>
      <c r="H24" s="66"/>
      <c r="I24" s="66"/>
      <c r="J24" s="66"/>
      <c r="K24" s="66"/>
      <c r="L24" s="66"/>
      <c r="M24" s="67"/>
    </row>
    <row r="25" spans="1:14" x14ac:dyDescent="0.25">
      <c r="A25" s="66"/>
      <c r="B25" s="66"/>
      <c r="C25" s="66"/>
      <c r="D25" s="66"/>
      <c r="F25" s="66"/>
      <c r="G25" s="66"/>
      <c r="H25" s="66"/>
      <c r="I25" s="66"/>
      <c r="J25" s="66"/>
      <c r="K25" s="66"/>
      <c r="L25" s="66"/>
      <c r="M25" s="67"/>
    </row>
    <row r="26" spans="1:14" x14ac:dyDescent="0.25">
      <c r="A26" s="66"/>
      <c r="B26" s="66"/>
      <c r="C26" s="66"/>
      <c r="D26" s="66"/>
      <c r="F26" s="66"/>
      <c r="G26" s="66"/>
      <c r="H26" s="66"/>
      <c r="I26" s="66"/>
      <c r="J26" s="66"/>
      <c r="K26" s="66"/>
      <c r="L26" s="66"/>
      <c r="M26" s="67"/>
    </row>
    <row r="27" spans="1:14" x14ac:dyDescent="0.25">
      <c r="A27" s="66"/>
      <c r="B27" s="66"/>
      <c r="C27" s="66"/>
      <c r="D27" s="66"/>
      <c r="F27" s="66"/>
      <c r="G27" s="66"/>
      <c r="H27" s="66"/>
      <c r="I27" s="66"/>
      <c r="J27" s="66"/>
      <c r="K27" s="66"/>
      <c r="L27" s="66"/>
      <c r="M27" s="67"/>
    </row>
    <row r="28" spans="1:14" x14ac:dyDescent="0.25">
      <c r="A28" s="66"/>
      <c r="B28" s="66"/>
      <c r="C28" s="66"/>
      <c r="D28" s="66"/>
      <c r="F28" s="66"/>
      <c r="G28" s="66"/>
      <c r="H28" s="66"/>
      <c r="I28" s="66"/>
      <c r="J28" s="66"/>
      <c r="K28" s="66"/>
      <c r="L28" s="66"/>
      <c r="M28" s="67"/>
    </row>
    <row r="29" spans="1:14" x14ac:dyDescent="0.25">
      <c r="A29" s="66"/>
      <c r="B29" s="66"/>
      <c r="C29" s="66"/>
      <c r="D29" s="66"/>
      <c r="F29" s="66"/>
      <c r="G29" s="66"/>
      <c r="H29" s="66"/>
      <c r="I29" s="66"/>
      <c r="J29" s="66"/>
      <c r="K29" s="66"/>
      <c r="L29" s="66"/>
      <c r="M29" s="67"/>
    </row>
    <row r="30" spans="1:14" x14ac:dyDescent="0.25">
      <c r="A30" s="66"/>
      <c r="B30" s="66"/>
      <c r="C30" s="66"/>
      <c r="D30" s="66"/>
      <c r="F30" s="66"/>
      <c r="G30" s="66"/>
      <c r="H30" s="66"/>
      <c r="I30" s="66"/>
      <c r="J30" s="66"/>
      <c r="K30" s="66"/>
      <c r="L30" s="66"/>
      <c r="M30" s="66"/>
    </row>
    <row r="31" spans="1:14" x14ac:dyDescent="0.25">
      <c r="A31" s="66"/>
      <c r="B31" s="66"/>
      <c r="C31" s="66"/>
      <c r="D31" s="66"/>
      <c r="F31" s="66"/>
      <c r="G31" s="66"/>
      <c r="H31" s="66"/>
      <c r="I31" s="66"/>
      <c r="J31" s="66"/>
      <c r="K31" s="66"/>
      <c r="L31" s="66"/>
      <c r="M31" s="66"/>
    </row>
    <row r="32" spans="1:14" x14ac:dyDescent="0.25">
      <c r="A32" s="66"/>
      <c r="B32" s="66"/>
      <c r="C32" s="66"/>
      <c r="D32" s="66"/>
      <c r="F32" s="66"/>
      <c r="G32" s="66"/>
      <c r="H32" s="66"/>
      <c r="I32" s="66"/>
      <c r="J32" s="66"/>
      <c r="K32" s="66"/>
      <c r="L32" s="66"/>
      <c r="M32" s="66"/>
    </row>
    <row r="33" spans="1:13" x14ac:dyDescent="0.25">
      <c r="A33" s="66"/>
      <c r="B33" s="66"/>
      <c r="C33" s="66"/>
      <c r="D33" s="66"/>
      <c r="F33" s="66"/>
      <c r="G33" s="66"/>
      <c r="H33" s="66"/>
      <c r="I33" s="66"/>
      <c r="J33" s="66"/>
      <c r="K33" s="66"/>
      <c r="L33" s="66"/>
      <c r="M33" s="66"/>
    </row>
    <row r="34" spans="1:13" x14ac:dyDescent="0.25">
      <c r="A34" s="66"/>
      <c r="B34" s="66"/>
      <c r="C34" s="66"/>
      <c r="D34" s="66"/>
      <c r="E34" s="66"/>
      <c r="F34" s="66"/>
      <c r="G34" s="66"/>
      <c r="H34" s="66"/>
      <c r="I34" s="66"/>
      <c r="J34" s="66"/>
      <c r="K34" s="66"/>
      <c r="L34" s="66"/>
      <c r="M34" s="66"/>
    </row>
    <row r="35" spans="1:13" x14ac:dyDescent="0.25">
      <c r="A35" s="66"/>
      <c r="B35" s="66"/>
      <c r="C35" s="66"/>
      <c r="D35" s="66"/>
      <c r="E35" s="66"/>
      <c r="F35" s="66"/>
      <c r="G35" s="66"/>
      <c r="H35" s="66"/>
      <c r="I35" s="66"/>
      <c r="J35" s="66"/>
      <c r="K35" s="66"/>
      <c r="L35" s="66"/>
      <c r="M35" s="66"/>
    </row>
    <row r="36" spans="1:13" x14ac:dyDescent="0.25">
      <c r="A36" s="66"/>
      <c r="B36" s="66"/>
      <c r="C36" s="66"/>
      <c r="D36" s="66"/>
      <c r="E36" s="66"/>
      <c r="F36" s="66"/>
      <c r="G36" s="66"/>
      <c r="H36" s="66"/>
      <c r="I36" s="66"/>
      <c r="J36" s="66"/>
      <c r="K36" s="66"/>
      <c r="L36" s="66"/>
      <c r="M36" s="66"/>
    </row>
    <row r="37" spans="1:13" x14ac:dyDescent="0.25">
      <c r="A37" s="66"/>
      <c r="B37" s="66"/>
      <c r="C37" s="66"/>
      <c r="D37" s="66"/>
      <c r="E37" s="66"/>
      <c r="F37" s="66"/>
      <c r="G37" s="66"/>
      <c r="H37" s="66"/>
      <c r="I37" s="66"/>
      <c r="J37" s="66"/>
      <c r="K37" s="66"/>
      <c r="L37" s="66"/>
      <c r="M37" s="66"/>
    </row>
    <row r="38" spans="1:13" x14ac:dyDescent="0.25">
      <c r="A38" s="66"/>
      <c r="B38" s="66"/>
      <c r="C38" s="66"/>
      <c r="D38" s="66"/>
      <c r="E38" s="66"/>
      <c r="F38" s="66"/>
      <c r="G38" s="66"/>
      <c r="H38" s="66"/>
      <c r="I38" s="66"/>
      <c r="J38" s="66"/>
      <c r="K38" s="66"/>
      <c r="L38" s="66"/>
      <c r="M38" s="66"/>
    </row>
    <row r="39" spans="1:13" x14ac:dyDescent="0.25">
      <c r="A39" s="66"/>
      <c r="B39" s="66"/>
      <c r="C39" s="66"/>
      <c r="D39" s="66"/>
      <c r="E39" s="66"/>
      <c r="F39" s="66"/>
      <c r="G39" s="66"/>
      <c r="H39" s="66"/>
      <c r="I39" s="66"/>
      <c r="J39" s="66"/>
      <c r="K39" s="66"/>
      <c r="L39" s="66"/>
      <c r="M39" s="66"/>
    </row>
    <row r="40" spans="1:13" x14ac:dyDescent="0.25">
      <c r="A40" s="66"/>
      <c r="B40" s="66"/>
      <c r="C40" s="66"/>
      <c r="D40" s="66"/>
      <c r="E40" s="66"/>
      <c r="F40" s="66"/>
      <c r="G40" s="66"/>
      <c r="H40" s="66"/>
      <c r="I40" s="66"/>
      <c r="J40" s="66"/>
      <c r="K40" s="66"/>
      <c r="L40" s="66"/>
      <c r="M40" s="66"/>
    </row>
    <row r="41" spans="1:13" x14ac:dyDescent="0.25">
      <c r="A41" s="66"/>
      <c r="B41" s="66"/>
      <c r="C41" s="66"/>
      <c r="D41" s="66"/>
      <c r="E41" s="66"/>
      <c r="F41" s="66"/>
      <c r="G41" s="66"/>
      <c r="H41" s="66"/>
      <c r="I41" s="66"/>
      <c r="J41" s="66"/>
      <c r="K41" s="66"/>
      <c r="L41" s="66"/>
      <c r="M41" s="66"/>
    </row>
    <row r="42" spans="1:13" x14ac:dyDescent="0.25">
      <c r="A42" s="66"/>
      <c r="B42" s="66"/>
      <c r="C42" s="66"/>
      <c r="D42" s="66"/>
      <c r="E42" s="66"/>
      <c r="F42" s="66"/>
      <c r="G42" s="66"/>
      <c r="H42" s="66"/>
      <c r="I42" s="66"/>
      <c r="J42" s="66"/>
      <c r="K42" s="66"/>
      <c r="L42" s="66"/>
      <c r="M42" s="66"/>
    </row>
    <row r="43" spans="1:13" x14ac:dyDescent="0.25">
      <c r="A43" s="66"/>
      <c r="B43" s="66"/>
      <c r="C43" s="66"/>
      <c r="D43" s="66"/>
      <c r="E43" s="66"/>
      <c r="F43" s="66"/>
      <c r="G43" s="66"/>
      <c r="H43" s="66"/>
      <c r="I43" s="66"/>
      <c r="J43" s="66"/>
      <c r="K43" s="66"/>
      <c r="L43" s="66"/>
      <c r="M43" s="66"/>
    </row>
    <row r="44" spans="1:13" x14ac:dyDescent="0.25">
      <c r="A44" s="66"/>
      <c r="B44" s="66"/>
      <c r="C44" s="66"/>
      <c r="D44" s="66"/>
      <c r="E44" s="66"/>
      <c r="F44" s="66"/>
      <c r="G44" s="66"/>
      <c r="H44" s="66"/>
      <c r="I44" s="66"/>
      <c r="J44" s="66"/>
      <c r="K44" s="66"/>
      <c r="L44" s="66"/>
      <c r="M44" s="66"/>
    </row>
    <row r="45" spans="1:13" x14ac:dyDescent="0.25">
      <c r="A45" s="66"/>
      <c r="B45" s="66"/>
      <c r="C45" s="66"/>
      <c r="D45" s="66"/>
      <c r="E45" s="66"/>
      <c r="F45" s="66"/>
      <c r="G45" s="66"/>
      <c r="H45" s="66"/>
      <c r="I45" s="66"/>
      <c r="J45" s="66"/>
      <c r="K45" s="66"/>
      <c r="L45" s="66"/>
      <c r="M45" s="66"/>
    </row>
    <row r="46" spans="1:13" x14ac:dyDescent="0.25">
      <c r="A46" s="66"/>
      <c r="B46" s="66"/>
      <c r="C46" s="66"/>
      <c r="D46" s="66"/>
      <c r="E46" s="66"/>
      <c r="F46" s="66"/>
      <c r="G46" s="66"/>
      <c r="H46" s="66"/>
      <c r="I46" s="66"/>
      <c r="J46" s="66"/>
      <c r="K46" s="66"/>
      <c r="L46" s="66"/>
      <c r="M46" s="66"/>
    </row>
    <row r="47" spans="1:13" x14ac:dyDescent="0.25">
      <c r="A47" s="66"/>
      <c r="B47" s="66"/>
      <c r="C47" s="66"/>
      <c r="D47" s="66"/>
      <c r="E47" s="66"/>
      <c r="F47" s="66"/>
      <c r="G47" s="66"/>
      <c r="H47" s="66"/>
      <c r="I47" s="66"/>
      <c r="J47" s="66"/>
      <c r="K47" s="66"/>
      <c r="L47" s="66"/>
      <c r="M47" s="66"/>
    </row>
    <row r="48" spans="1:13" x14ac:dyDescent="0.25">
      <c r="A48" s="66"/>
      <c r="B48" s="66"/>
      <c r="C48" s="66"/>
      <c r="D48" s="66"/>
      <c r="E48" s="66"/>
      <c r="F48" s="66"/>
      <c r="G48" s="66"/>
      <c r="H48" s="66"/>
      <c r="I48" s="66"/>
      <c r="J48" s="66"/>
      <c r="K48" s="66"/>
      <c r="L48" s="66"/>
      <c r="M48" s="66"/>
    </row>
    <row r="49" spans="1:13" x14ac:dyDescent="0.25">
      <c r="A49" s="66"/>
      <c r="B49" s="66"/>
      <c r="C49" s="66"/>
      <c r="D49" s="66"/>
      <c r="E49" s="66"/>
      <c r="F49" s="66"/>
      <c r="G49" s="66"/>
      <c r="H49" s="66"/>
      <c r="I49" s="66"/>
      <c r="J49" s="66"/>
      <c r="K49" s="66"/>
      <c r="L49" s="66"/>
      <c r="M49" s="66"/>
    </row>
    <row r="50" spans="1:13" x14ac:dyDescent="0.25">
      <c r="A50" s="66"/>
      <c r="B50" s="66"/>
      <c r="C50" s="66"/>
      <c r="D50" s="66"/>
      <c r="E50" s="66"/>
      <c r="F50" s="66"/>
      <c r="G50" s="66"/>
      <c r="H50" s="66"/>
      <c r="I50" s="66"/>
      <c r="J50" s="66"/>
      <c r="K50" s="66"/>
      <c r="L50" s="66"/>
      <c r="M50" s="66"/>
    </row>
    <row r="51" spans="1:13" x14ac:dyDescent="0.25">
      <c r="A51" s="66"/>
      <c r="B51" s="66"/>
      <c r="C51" s="66"/>
      <c r="D51" s="66"/>
      <c r="E51" s="66"/>
      <c r="F51" s="66"/>
      <c r="G51" s="66"/>
      <c r="H51" s="66"/>
      <c r="I51" s="66"/>
      <c r="J51" s="66"/>
      <c r="K51" s="66"/>
      <c r="L51" s="66"/>
      <c r="M51" s="66"/>
    </row>
    <row r="52" spans="1:13" x14ac:dyDescent="0.25">
      <c r="A52" s="66"/>
      <c r="B52" s="66"/>
      <c r="C52" s="66"/>
      <c r="D52" s="66"/>
      <c r="E52" s="66"/>
      <c r="F52" s="66"/>
      <c r="G52" s="66"/>
      <c r="H52" s="66"/>
      <c r="I52" s="66"/>
      <c r="J52" s="66"/>
      <c r="K52" s="66"/>
      <c r="L52" s="66"/>
      <c r="M52" s="66"/>
    </row>
    <row r="53" spans="1:13" x14ac:dyDescent="0.25">
      <c r="A53" s="66"/>
      <c r="B53" s="66"/>
      <c r="C53" s="66"/>
      <c r="D53" s="66"/>
      <c r="E53" s="66"/>
      <c r="F53" s="66"/>
      <c r="G53" s="66"/>
      <c r="H53" s="66"/>
      <c r="I53" s="66"/>
      <c r="J53" s="66"/>
      <c r="K53" s="66"/>
      <c r="L53" s="66"/>
      <c r="M53" s="66"/>
    </row>
    <row r="54" spans="1:13" x14ac:dyDescent="0.25">
      <c r="A54" s="66"/>
      <c r="B54" s="66"/>
      <c r="C54" s="66"/>
      <c r="D54" s="66"/>
      <c r="E54" s="66"/>
      <c r="F54" s="66"/>
      <c r="G54" s="66"/>
      <c r="H54" s="66"/>
      <c r="I54" s="66"/>
      <c r="J54" s="66"/>
      <c r="K54" s="66"/>
      <c r="L54" s="66"/>
      <c r="M54" s="66"/>
    </row>
    <row r="55" spans="1:13" x14ac:dyDescent="0.25">
      <c r="A55" s="66"/>
      <c r="B55" s="66"/>
      <c r="C55" s="66"/>
      <c r="D55" s="66"/>
      <c r="E55" s="66"/>
      <c r="F55" s="66"/>
      <c r="G55" s="66"/>
      <c r="H55" s="66"/>
      <c r="I55" s="66"/>
      <c r="J55" s="66"/>
      <c r="K55" s="66"/>
      <c r="L55" s="66"/>
      <c r="M55" s="66"/>
    </row>
    <row r="56" spans="1:13" x14ac:dyDescent="0.25">
      <c r="A56" s="66"/>
      <c r="B56" s="66"/>
      <c r="C56" s="66"/>
      <c r="D56" s="66"/>
      <c r="E56" s="66"/>
      <c r="F56" s="66"/>
      <c r="G56" s="66"/>
      <c r="H56" s="66"/>
      <c r="I56" s="66"/>
      <c r="J56" s="66"/>
      <c r="K56" s="66"/>
      <c r="L56" s="66"/>
      <c r="M56" s="66"/>
    </row>
    <row r="57" spans="1:13" x14ac:dyDescent="0.25">
      <c r="A57" s="66"/>
      <c r="B57" s="66"/>
      <c r="C57" s="66"/>
      <c r="D57" s="66"/>
      <c r="E57" s="66"/>
      <c r="F57" s="66"/>
      <c r="G57" s="66"/>
      <c r="H57" s="66"/>
      <c r="I57" s="66"/>
      <c r="J57" s="66"/>
      <c r="K57" s="66"/>
      <c r="L57" s="66"/>
      <c r="M57" s="66"/>
    </row>
    <row r="58" spans="1:13" x14ac:dyDescent="0.25">
      <c r="A58" s="66"/>
      <c r="B58" s="66"/>
      <c r="C58" s="66"/>
      <c r="D58" s="66"/>
      <c r="E58" s="66"/>
      <c r="F58" s="66"/>
      <c r="G58" s="66"/>
      <c r="H58" s="66"/>
      <c r="I58" s="66"/>
      <c r="J58" s="66"/>
      <c r="K58" s="66"/>
      <c r="L58" s="66"/>
      <c r="M58" s="66"/>
    </row>
    <row r="59" spans="1:13" x14ac:dyDescent="0.25">
      <c r="A59" s="66"/>
      <c r="B59" s="66"/>
      <c r="C59" s="66"/>
      <c r="D59" s="66"/>
      <c r="E59" s="66"/>
      <c r="F59" s="66"/>
      <c r="G59" s="66"/>
      <c r="H59" s="66"/>
      <c r="I59" s="66"/>
      <c r="J59" s="66"/>
      <c r="K59" s="66"/>
      <c r="L59" s="66"/>
      <c r="M59" s="66"/>
    </row>
    <row r="60" spans="1:13" x14ac:dyDescent="0.25">
      <c r="A60" s="66"/>
      <c r="B60" s="66"/>
      <c r="C60" s="66"/>
      <c r="D60" s="66"/>
      <c r="E60" s="66"/>
      <c r="F60" s="66"/>
      <c r="G60" s="66"/>
      <c r="H60" s="66"/>
      <c r="I60" s="66"/>
      <c r="J60" s="66"/>
      <c r="K60" s="66"/>
      <c r="L60" s="66"/>
      <c r="M60" s="66"/>
    </row>
    <row r="61" spans="1:13" x14ac:dyDescent="0.25">
      <c r="A61" s="66"/>
      <c r="B61" s="66"/>
      <c r="C61" s="66"/>
      <c r="D61" s="66"/>
      <c r="E61" s="66"/>
      <c r="F61" s="66"/>
      <c r="G61" s="66"/>
      <c r="H61" s="66"/>
      <c r="I61" s="66"/>
      <c r="J61" s="66"/>
      <c r="K61" s="66"/>
      <c r="L61" s="66"/>
      <c r="M61" s="66"/>
    </row>
    <row r="62" spans="1:13" x14ac:dyDescent="0.25">
      <c r="A62" s="66"/>
      <c r="B62" s="66"/>
      <c r="C62" s="66"/>
      <c r="D62" s="66"/>
      <c r="E62" s="66"/>
      <c r="F62" s="66"/>
      <c r="G62" s="66"/>
      <c r="H62" s="66"/>
      <c r="I62" s="66"/>
      <c r="J62" s="66"/>
      <c r="K62" s="66"/>
      <c r="L62" s="66"/>
      <c r="M62" s="66"/>
    </row>
    <row r="63" spans="1:13" x14ac:dyDescent="0.25">
      <c r="A63" s="66"/>
      <c r="B63" s="66"/>
      <c r="C63" s="66"/>
      <c r="D63" s="66"/>
      <c r="E63" s="66"/>
      <c r="F63" s="66"/>
      <c r="G63" s="66"/>
      <c r="H63" s="66"/>
      <c r="I63" s="66"/>
      <c r="J63" s="66"/>
      <c r="K63" s="66"/>
      <c r="L63" s="66"/>
      <c r="M63" s="66"/>
    </row>
    <row r="64" spans="1:13" x14ac:dyDescent="0.25">
      <c r="A64" s="66"/>
      <c r="B64" s="66"/>
      <c r="C64" s="66"/>
      <c r="D64" s="66"/>
      <c r="E64" s="66"/>
      <c r="F64" s="66"/>
      <c r="G64" s="66"/>
      <c r="H64" s="66"/>
      <c r="I64" s="66"/>
      <c r="J64" s="66"/>
      <c r="K64" s="66"/>
      <c r="L64" s="66"/>
      <c r="M64" s="66"/>
    </row>
    <row r="65" spans="1:13" x14ac:dyDescent="0.25">
      <c r="A65" s="66"/>
      <c r="B65" s="66"/>
      <c r="C65" s="66"/>
      <c r="D65" s="66"/>
      <c r="E65" s="66"/>
      <c r="F65" s="66"/>
      <c r="G65" s="66"/>
      <c r="H65" s="66"/>
      <c r="I65" s="66"/>
      <c r="J65" s="66"/>
      <c r="K65" s="66"/>
      <c r="L65" s="66"/>
      <c r="M65" s="66"/>
    </row>
    <row r="66" spans="1:13" x14ac:dyDescent="0.25">
      <c r="A66" s="66"/>
      <c r="B66" s="66"/>
      <c r="C66" s="66"/>
      <c r="D66" s="66"/>
      <c r="E66" s="66"/>
      <c r="F66" s="66"/>
      <c r="G66" s="66"/>
      <c r="H66" s="66"/>
      <c r="I66" s="66"/>
      <c r="J66" s="66"/>
      <c r="K66" s="66"/>
      <c r="L66" s="66"/>
      <c r="M66" s="66"/>
    </row>
    <row r="67" spans="1:13" x14ac:dyDescent="0.25">
      <c r="A67" s="66"/>
      <c r="B67" s="66"/>
      <c r="C67" s="66"/>
      <c r="D67" s="66"/>
      <c r="E67" s="66"/>
      <c r="F67" s="66"/>
      <c r="G67" s="66"/>
      <c r="H67" s="66"/>
      <c r="I67" s="66"/>
      <c r="J67" s="66"/>
      <c r="K67" s="66"/>
      <c r="L67" s="66"/>
      <c r="M67" s="66"/>
    </row>
    <row r="68" spans="1:13" x14ac:dyDescent="0.25">
      <c r="A68" s="66"/>
      <c r="B68" s="66"/>
      <c r="C68" s="66"/>
      <c r="D68" s="66"/>
      <c r="E68" s="66"/>
      <c r="F68" s="66"/>
      <c r="G68" s="66"/>
      <c r="H68" s="66"/>
      <c r="I68" s="66"/>
      <c r="J68" s="66"/>
      <c r="K68" s="66"/>
      <c r="L68" s="66"/>
      <c r="M68" s="66"/>
    </row>
    <row r="69" spans="1:13" x14ac:dyDescent="0.25">
      <c r="A69" s="66"/>
      <c r="B69" s="66"/>
      <c r="C69" s="66"/>
      <c r="D69" s="66"/>
      <c r="E69" s="66"/>
      <c r="F69" s="66"/>
      <c r="G69" s="66"/>
      <c r="H69" s="66"/>
      <c r="I69" s="66"/>
      <c r="J69" s="66"/>
      <c r="K69" s="66"/>
      <c r="L69" s="66"/>
      <c r="M69" s="66"/>
    </row>
    <row r="70" spans="1:13" x14ac:dyDescent="0.25">
      <c r="A70" s="66"/>
      <c r="B70" s="66"/>
      <c r="C70" s="66"/>
      <c r="D70" s="66"/>
      <c r="E70" s="66"/>
      <c r="F70" s="66"/>
      <c r="G70" s="66"/>
      <c r="H70" s="66"/>
      <c r="I70" s="66"/>
      <c r="J70" s="66"/>
      <c r="K70" s="66"/>
      <c r="L70" s="66"/>
      <c r="M70" s="66"/>
    </row>
    <row r="71" spans="1:13" x14ac:dyDescent="0.25">
      <c r="A71" s="66"/>
      <c r="B71" s="66"/>
      <c r="C71" s="66"/>
      <c r="D71" s="66"/>
      <c r="E71" s="66"/>
      <c r="F71" s="66"/>
      <c r="G71" s="66"/>
      <c r="H71" s="66"/>
      <c r="I71" s="66"/>
      <c r="J71" s="66"/>
      <c r="K71" s="66"/>
      <c r="L71" s="66"/>
      <c r="M71" s="66"/>
    </row>
    <row r="72" spans="1:13" x14ac:dyDescent="0.25">
      <c r="A72" s="66"/>
      <c r="B72" s="66"/>
      <c r="C72" s="66"/>
      <c r="D72" s="66"/>
      <c r="E72" s="66"/>
      <c r="F72" s="66"/>
      <c r="G72" s="66"/>
      <c r="H72" s="66"/>
      <c r="I72" s="66"/>
      <c r="J72" s="66"/>
      <c r="K72" s="66"/>
      <c r="L72" s="66"/>
      <c r="M72" s="66"/>
    </row>
    <row r="73" spans="1:13" x14ac:dyDescent="0.25">
      <c r="A73" s="66"/>
      <c r="B73" s="66"/>
      <c r="C73" s="66"/>
      <c r="D73" s="66"/>
      <c r="E73" s="66"/>
      <c r="F73" s="66"/>
      <c r="G73" s="66"/>
      <c r="H73" s="66"/>
      <c r="I73" s="66"/>
      <c r="J73" s="66"/>
      <c r="K73" s="66"/>
      <c r="L73" s="66"/>
      <c r="M73" s="66"/>
    </row>
    <row r="74" spans="1:13" x14ac:dyDescent="0.25">
      <c r="A74" s="66"/>
      <c r="B74" s="66"/>
      <c r="C74" s="66"/>
      <c r="D74" s="66"/>
      <c r="E74" s="66"/>
      <c r="F74" s="66"/>
      <c r="G74" s="66"/>
      <c r="H74" s="66"/>
      <c r="I74" s="66"/>
      <c r="J74" s="66"/>
      <c r="K74" s="66"/>
      <c r="L74" s="66"/>
      <c r="M74" s="66"/>
    </row>
    <row r="75" spans="1:13" x14ac:dyDescent="0.25">
      <c r="A75" s="66"/>
      <c r="B75" s="66"/>
      <c r="C75" s="66"/>
      <c r="D75" s="66"/>
      <c r="E75" s="66"/>
      <c r="F75" s="66"/>
      <c r="G75" s="66"/>
      <c r="H75" s="66"/>
      <c r="I75" s="66"/>
      <c r="J75" s="66"/>
      <c r="K75" s="66"/>
      <c r="L75" s="66"/>
      <c r="M75" s="66"/>
    </row>
    <row r="76" spans="1:13" x14ac:dyDescent="0.25">
      <c r="A76" s="66"/>
      <c r="B76" s="66"/>
      <c r="C76" s="66"/>
      <c r="D76" s="66"/>
      <c r="E76" s="66"/>
      <c r="F76" s="66"/>
      <c r="G76" s="66"/>
      <c r="H76" s="66"/>
      <c r="I76" s="66"/>
      <c r="J76" s="66"/>
      <c r="K76" s="66"/>
      <c r="L76" s="66"/>
      <c r="M76" s="66"/>
    </row>
    <row r="77" spans="1:13" x14ac:dyDescent="0.25">
      <c r="A77" s="66"/>
      <c r="B77" s="66"/>
      <c r="C77" s="66"/>
      <c r="D77" s="66"/>
      <c r="E77" s="66"/>
      <c r="F77" s="66"/>
      <c r="G77" s="66"/>
      <c r="H77" s="66"/>
      <c r="I77" s="66"/>
      <c r="J77" s="66"/>
      <c r="K77" s="66"/>
      <c r="L77" s="66"/>
      <c r="M77" s="66"/>
    </row>
    <row r="78" spans="1:13" x14ac:dyDescent="0.25">
      <c r="A78" s="66"/>
      <c r="B78" s="66"/>
      <c r="C78" s="66"/>
      <c r="D78" s="66"/>
      <c r="E78" s="66"/>
      <c r="F78" s="66"/>
      <c r="G78" s="66"/>
      <c r="H78" s="66"/>
      <c r="I78" s="66"/>
      <c r="J78" s="66"/>
      <c r="K78" s="66"/>
      <c r="L78" s="66"/>
      <c r="M78" s="66"/>
    </row>
    <row r="79" spans="1:13" x14ac:dyDescent="0.25">
      <c r="A79" s="66"/>
      <c r="B79" s="66"/>
      <c r="C79" s="66"/>
      <c r="D79" s="66"/>
      <c r="E79" s="66"/>
      <c r="F79" s="66"/>
      <c r="G79" s="66"/>
      <c r="H79" s="66"/>
      <c r="I79" s="66"/>
      <c r="J79" s="66"/>
      <c r="K79" s="66"/>
      <c r="L79" s="66"/>
      <c r="M79" s="66"/>
    </row>
    <row r="80" spans="1:13" x14ac:dyDescent="0.25">
      <c r="A80" s="66"/>
      <c r="B80" s="66"/>
      <c r="C80" s="66"/>
      <c r="D80" s="66"/>
      <c r="E80" s="66"/>
      <c r="F80" s="66"/>
      <c r="G80" s="66"/>
      <c r="H80" s="66"/>
      <c r="I80" s="66"/>
      <c r="J80" s="66"/>
      <c r="K80" s="66"/>
      <c r="L80" s="66"/>
      <c r="M80" s="66"/>
    </row>
    <row r="81" spans="1:13" x14ac:dyDescent="0.25">
      <c r="A81" s="66"/>
      <c r="B81" s="66"/>
      <c r="C81" s="66"/>
      <c r="D81" s="66"/>
      <c r="E81" s="66"/>
      <c r="F81" s="66"/>
      <c r="G81" s="66"/>
      <c r="H81" s="66"/>
      <c r="I81" s="66"/>
      <c r="J81" s="66"/>
      <c r="K81" s="66"/>
      <c r="L81" s="66"/>
      <c r="M81" s="66"/>
    </row>
    <row r="82" spans="1:13" x14ac:dyDescent="0.25">
      <c r="A82" s="66"/>
      <c r="B82" s="66"/>
      <c r="C82" s="66"/>
      <c r="D82" s="66"/>
      <c r="E82" s="66"/>
      <c r="F82" s="66"/>
      <c r="G82" s="66"/>
      <c r="H82" s="66"/>
      <c r="I82" s="66"/>
      <c r="J82" s="66"/>
      <c r="K82" s="66"/>
      <c r="L82" s="66"/>
      <c r="M82" s="66"/>
    </row>
    <row r="83" spans="1:13" x14ac:dyDescent="0.25">
      <c r="A83" s="66"/>
      <c r="B83" s="66"/>
      <c r="C83" s="66"/>
      <c r="D83" s="66"/>
      <c r="E83" s="66"/>
      <c r="F83" s="66"/>
      <c r="G83" s="66"/>
      <c r="H83" s="66"/>
      <c r="I83" s="66"/>
      <c r="J83" s="66"/>
      <c r="K83" s="66"/>
      <c r="L83" s="66"/>
      <c r="M83" s="66"/>
    </row>
    <row r="84" spans="1:13" x14ac:dyDescent="0.25">
      <c r="A84" s="66"/>
      <c r="B84" s="66"/>
      <c r="C84" s="66"/>
      <c r="D84" s="66"/>
      <c r="E84" s="66"/>
      <c r="F84" s="66"/>
      <c r="G84" s="66"/>
      <c r="H84" s="66"/>
      <c r="I84" s="66"/>
      <c r="J84" s="66"/>
      <c r="K84" s="66"/>
      <c r="L84" s="66"/>
      <c r="M84" s="66"/>
    </row>
    <row r="85" spans="1:13" x14ac:dyDescent="0.25">
      <c r="A85" s="66"/>
      <c r="B85" s="66"/>
      <c r="C85" s="66"/>
      <c r="D85" s="66"/>
      <c r="E85" s="66"/>
      <c r="F85" s="66"/>
      <c r="G85" s="66"/>
      <c r="H85" s="66"/>
      <c r="I85" s="66"/>
      <c r="J85" s="66"/>
      <c r="K85" s="66"/>
      <c r="L85" s="66"/>
      <c r="M85" s="66"/>
    </row>
    <row r="86" spans="1:13" x14ac:dyDescent="0.25">
      <c r="A86" s="66"/>
      <c r="B86" s="66"/>
      <c r="C86" s="66"/>
      <c r="D86" s="66"/>
      <c r="E86" s="66"/>
      <c r="F86" s="66"/>
      <c r="G86" s="66"/>
      <c r="H86" s="66"/>
      <c r="I86" s="66"/>
      <c r="J86" s="66"/>
      <c r="K86" s="66"/>
      <c r="L86" s="66"/>
      <c r="M86" s="66"/>
    </row>
    <row r="87" spans="1:13" x14ac:dyDescent="0.25">
      <c r="A87" s="66"/>
      <c r="B87" s="66"/>
      <c r="C87" s="66"/>
      <c r="D87" s="66"/>
      <c r="E87" s="66"/>
      <c r="F87" s="66"/>
      <c r="G87" s="66"/>
      <c r="H87" s="66"/>
      <c r="I87" s="66"/>
      <c r="J87" s="66"/>
      <c r="K87" s="66"/>
      <c r="L87" s="66"/>
      <c r="M87" s="66"/>
    </row>
    <row r="88" spans="1:13" x14ac:dyDescent="0.25">
      <c r="A88" s="66"/>
      <c r="B88" s="66"/>
      <c r="C88" s="66"/>
      <c r="D88" s="66"/>
      <c r="E88" s="66"/>
      <c r="F88" s="66"/>
      <c r="G88" s="66"/>
      <c r="H88" s="66"/>
      <c r="I88" s="66"/>
      <c r="J88" s="66"/>
      <c r="K88" s="66"/>
      <c r="L88" s="66"/>
      <c r="M88" s="66"/>
    </row>
    <row r="89" spans="1:13" x14ac:dyDescent="0.25">
      <c r="A89" s="66"/>
      <c r="B89" s="66"/>
      <c r="C89" s="66"/>
      <c r="D89" s="66"/>
      <c r="E89" s="66"/>
      <c r="F89" s="66"/>
      <c r="G89" s="66"/>
      <c r="H89" s="66"/>
      <c r="I89" s="66"/>
      <c r="J89" s="66"/>
      <c r="K89" s="66"/>
      <c r="L89" s="66"/>
      <c r="M89" s="66"/>
    </row>
    <row r="90" spans="1:13" x14ac:dyDescent="0.25">
      <c r="A90" s="66"/>
      <c r="B90" s="66"/>
      <c r="C90" s="66"/>
      <c r="D90" s="66"/>
      <c r="E90" s="66"/>
      <c r="F90" s="66"/>
      <c r="G90" s="66"/>
      <c r="H90" s="66"/>
      <c r="I90" s="66"/>
      <c r="J90" s="66"/>
      <c r="K90" s="66"/>
      <c r="L90" s="66"/>
      <c r="M90" s="66"/>
    </row>
    <row r="91" spans="1:13" x14ac:dyDescent="0.25">
      <c r="A91" s="66"/>
      <c r="B91" s="66"/>
      <c r="C91" s="66"/>
      <c r="D91" s="66"/>
      <c r="E91" s="66"/>
      <c r="F91" s="66"/>
      <c r="G91" s="66"/>
      <c r="H91" s="66"/>
      <c r="I91" s="66"/>
      <c r="J91" s="66"/>
      <c r="K91" s="66"/>
      <c r="L91" s="66"/>
      <c r="M91" s="66"/>
    </row>
    <row r="92" spans="1:13" x14ac:dyDescent="0.25">
      <c r="A92" s="66"/>
      <c r="B92" s="66"/>
      <c r="C92" s="66"/>
      <c r="D92" s="66"/>
      <c r="E92" s="66"/>
      <c r="F92" s="66"/>
      <c r="G92" s="66"/>
      <c r="H92" s="66"/>
      <c r="I92" s="66"/>
      <c r="J92" s="66"/>
      <c r="K92" s="66"/>
      <c r="L92" s="66"/>
      <c r="M92" s="66"/>
    </row>
    <row r="93" spans="1:13" x14ac:dyDescent="0.25">
      <c r="A93" s="66"/>
      <c r="B93" s="66"/>
      <c r="C93" s="66"/>
      <c r="D93" s="66"/>
      <c r="E93" s="66"/>
      <c r="F93" s="66"/>
      <c r="G93" s="66"/>
      <c r="H93" s="66"/>
      <c r="I93" s="66"/>
      <c r="J93" s="66"/>
      <c r="K93" s="66"/>
      <c r="L93" s="66"/>
      <c r="M93" s="66"/>
    </row>
    <row r="94" spans="1:13" x14ac:dyDescent="0.25">
      <c r="A94" s="66"/>
      <c r="B94" s="66"/>
      <c r="C94" s="66"/>
      <c r="D94" s="66"/>
      <c r="E94" s="66"/>
      <c r="F94" s="66"/>
      <c r="G94" s="66"/>
      <c r="H94" s="66"/>
      <c r="I94" s="66"/>
      <c r="J94" s="66"/>
      <c r="K94" s="66"/>
      <c r="L94" s="66"/>
      <c r="M94" s="66"/>
    </row>
    <row r="95" spans="1:13" x14ac:dyDescent="0.25">
      <c r="A95" s="66"/>
      <c r="B95" s="66"/>
      <c r="C95" s="66"/>
      <c r="D95" s="66"/>
      <c r="E95" s="66"/>
      <c r="F95" s="66"/>
      <c r="G95" s="66"/>
      <c r="H95" s="66"/>
      <c r="I95" s="66"/>
      <c r="J95" s="66"/>
      <c r="K95" s="66"/>
      <c r="L95" s="66"/>
      <c r="M95" s="66"/>
    </row>
    <row r="96" spans="1:13" x14ac:dyDescent="0.25">
      <c r="A96" s="66"/>
      <c r="B96" s="66"/>
      <c r="C96" s="66"/>
      <c r="D96" s="66"/>
      <c r="E96" s="66"/>
      <c r="F96" s="66"/>
      <c r="G96" s="66"/>
      <c r="H96" s="66"/>
      <c r="I96" s="66"/>
      <c r="J96" s="66"/>
      <c r="K96" s="66"/>
      <c r="L96" s="66"/>
      <c r="M96" s="66"/>
    </row>
    <row r="97" spans="1:13" x14ac:dyDescent="0.25">
      <c r="A97" s="66"/>
      <c r="B97" s="66"/>
      <c r="C97" s="66"/>
      <c r="D97" s="66"/>
      <c r="E97" s="66"/>
      <c r="F97" s="66"/>
      <c r="G97" s="66"/>
      <c r="H97" s="66"/>
      <c r="I97" s="66"/>
      <c r="J97" s="66"/>
      <c r="K97" s="66"/>
      <c r="L97" s="66"/>
      <c r="M97" s="66"/>
    </row>
    <row r="98" spans="1:13" x14ac:dyDescent="0.25">
      <c r="A98" s="66"/>
      <c r="B98" s="66"/>
      <c r="C98" s="66"/>
      <c r="D98" s="66"/>
      <c r="E98" s="66"/>
      <c r="F98" s="66"/>
      <c r="G98" s="66"/>
      <c r="H98" s="66"/>
      <c r="I98" s="66"/>
      <c r="J98" s="66"/>
      <c r="K98" s="66"/>
      <c r="L98" s="66"/>
      <c r="M98" s="66"/>
    </row>
    <row r="99" spans="1:13" x14ac:dyDescent="0.25">
      <c r="A99" s="66"/>
      <c r="B99" s="66"/>
      <c r="C99" s="66"/>
      <c r="D99" s="66"/>
      <c r="E99" s="66"/>
      <c r="F99" s="66"/>
      <c r="G99" s="66"/>
      <c r="H99" s="66"/>
      <c r="I99" s="66"/>
      <c r="J99" s="66"/>
      <c r="K99" s="66"/>
      <c r="L99" s="66"/>
      <c r="M99" s="66"/>
    </row>
    <row r="100" spans="1:13" x14ac:dyDescent="0.25">
      <c r="A100" s="66"/>
      <c r="B100" s="66"/>
      <c r="C100" s="66"/>
      <c r="D100" s="66"/>
      <c r="E100" s="66"/>
      <c r="F100" s="66"/>
      <c r="G100" s="66"/>
      <c r="H100" s="66"/>
      <c r="I100" s="66"/>
      <c r="J100" s="66"/>
      <c r="K100" s="66"/>
      <c r="L100" s="66"/>
      <c r="M100" s="66"/>
    </row>
    <row r="101" spans="1:13" x14ac:dyDescent="0.25">
      <c r="A101" s="66"/>
      <c r="B101" s="66"/>
      <c r="C101" s="66"/>
      <c r="D101" s="66"/>
      <c r="E101" s="66"/>
      <c r="F101" s="66"/>
      <c r="G101" s="66"/>
      <c r="H101" s="66"/>
      <c r="I101" s="66"/>
      <c r="J101" s="66"/>
      <c r="K101" s="66"/>
      <c r="L101" s="66"/>
      <c r="M101" s="66"/>
    </row>
    <row r="102" spans="1:13" x14ac:dyDescent="0.25">
      <c r="A102" s="66"/>
      <c r="B102" s="66"/>
      <c r="C102" s="66"/>
      <c r="D102" s="66"/>
      <c r="E102" s="66"/>
      <c r="F102" s="66"/>
      <c r="G102" s="66"/>
      <c r="H102" s="66"/>
      <c r="I102" s="66"/>
      <c r="J102" s="66"/>
      <c r="K102" s="66"/>
      <c r="L102" s="66"/>
      <c r="M102" s="66"/>
    </row>
    <row r="103" spans="1:13" x14ac:dyDescent="0.25">
      <c r="A103" s="66"/>
      <c r="B103" s="66"/>
      <c r="C103" s="66"/>
      <c r="D103" s="66"/>
      <c r="E103" s="66"/>
      <c r="F103" s="66"/>
      <c r="G103" s="66"/>
      <c r="H103" s="66"/>
      <c r="I103" s="66"/>
      <c r="J103" s="66"/>
      <c r="K103" s="66"/>
      <c r="L103" s="66"/>
      <c r="M103" s="66"/>
    </row>
    <row r="104" spans="1:13" x14ac:dyDescent="0.25">
      <c r="A104" s="66"/>
      <c r="B104" s="66"/>
      <c r="C104" s="66"/>
      <c r="D104" s="66"/>
      <c r="E104" s="66"/>
      <c r="F104" s="66"/>
      <c r="G104" s="66"/>
      <c r="H104" s="66"/>
      <c r="I104" s="66"/>
      <c r="J104" s="66"/>
      <c r="K104" s="66"/>
      <c r="L104" s="66"/>
      <c r="M104" s="66"/>
    </row>
    <row r="105" spans="1:13" x14ac:dyDescent="0.25">
      <c r="A105" s="66"/>
      <c r="B105" s="66"/>
      <c r="C105" s="66"/>
      <c r="D105" s="66"/>
      <c r="E105" s="66"/>
      <c r="F105" s="66"/>
      <c r="G105" s="66"/>
      <c r="H105" s="66"/>
      <c r="I105" s="66"/>
      <c r="J105" s="66"/>
      <c r="K105" s="66"/>
      <c r="L105" s="66"/>
      <c r="M105" s="66"/>
    </row>
    <row r="106" spans="1:13" x14ac:dyDescent="0.25">
      <c r="A106" s="66"/>
      <c r="B106" s="66"/>
      <c r="C106" s="66"/>
      <c r="D106" s="66"/>
      <c r="E106" s="66"/>
      <c r="F106" s="66"/>
      <c r="G106" s="66"/>
      <c r="H106" s="66"/>
      <c r="I106" s="66"/>
      <c r="J106" s="66"/>
      <c r="K106" s="66"/>
      <c r="L106" s="66"/>
      <c r="M106" s="66"/>
    </row>
    <row r="107" spans="1:13" x14ac:dyDescent="0.25">
      <c r="A107" s="66"/>
      <c r="B107" s="66"/>
      <c r="C107" s="66"/>
      <c r="D107" s="66"/>
      <c r="E107" s="66"/>
      <c r="F107" s="66"/>
      <c r="G107" s="66"/>
      <c r="H107" s="66"/>
      <c r="I107" s="66"/>
      <c r="J107" s="66"/>
      <c r="K107" s="66"/>
      <c r="L107" s="66"/>
      <c r="M107" s="66"/>
    </row>
    <row r="108" spans="1:13" x14ac:dyDescent="0.25">
      <c r="A108" s="66"/>
      <c r="B108" s="66"/>
      <c r="C108" s="66"/>
      <c r="D108" s="66"/>
      <c r="E108" s="66"/>
      <c r="F108" s="66"/>
      <c r="G108" s="66"/>
      <c r="H108" s="66"/>
      <c r="I108" s="66"/>
      <c r="J108" s="66"/>
      <c r="K108" s="66"/>
      <c r="L108" s="66"/>
      <c r="M108" s="66"/>
    </row>
    <row r="109" spans="1:13" x14ac:dyDescent="0.25">
      <c r="A109" s="66"/>
      <c r="B109" s="66"/>
      <c r="C109" s="66"/>
      <c r="D109" s="66"/>
      <c r="E109" s="66"/>
      <c r="F109" s="66"/>
      <c r="G109" s="66"/>
      <c r="H109" s="66"/>
      <c r="I109" s="66"/>
      <c r="J109" s="66"/>
      <c r="K109" s="66"/>
      <c r="L109" s="66"/>
      <c r="M109" s="66"/>
    </row>
    <row r="110" spans="1:13" x14ac:dyDescent="0.25">
      <c r="A110" s="66"/>
      <c r="B110" s="66"/>
      <c r="C110" s="66"/>
      <c r="D110" s="66"/>
      <c r="E110" s="66"/>
      <c r="F110" s="66"/>
      <c r="G110" s="66"/>
      <c r="H110" s="66"/>
      <c r="I110" s="66"/>
      <c r="J110" s="66"/>
      <c r="K110" s="66"/>
      <c r="L110" s="66"/>
      <c r="M110" s="66"/>
    </row>
    <row r="111" spans="1:13" x14ac:dyDescent="0.25">
      <c r="A111" s="66"/>
      <c r="B111" s="66"/>
      <c r="C111" s="66"/>
      <c r="D111" s="66"/>
      <c r="E111" s="66"/>
      <c r="F111" s="66"/>
      <c r="G111" s="66"/>
      <c r="H111" s="66"/>
      <c r="I111" s="66"/>
      <c r="J111" s="66"/>
      <c r="K111" s="66"/>
      <c r="L111" s="66"/>
      <c r="M111" s="66"/>
    </row>
    <row r="112" spans="1:13" x14ac:dyDescent="0.25">
      <c r="A112" s="66"/>
      <c r="B112" s="66"/>
      <c r="C112" s="66"/>
      <c r="D112" s="66"/>
      <c r="E112" s="66"/>
      <c r="F112" s="66"/>
      <c r="G112" s="66"/>
      <c r="H112" s="66"/>
      <c r="I112" s="66"/>
      <c r="J112" s="66"/>
      <c r="K112" s="66"/>
      <c r="L112" s="66"/>
      <c r="M112" s="66"/>
    </row>
    <row r="113" spans="1:13" x14ac:dyDescent="0.25">
      <c r="A113" s="66"/>
      <c r="B113" s="66"/>
      <c r="C113" s="66"/>
      <c r="D113" s="66"/>
      <c r="E113" s="66"/>
      <c r="F113" s="66"/>
      <c r="G113" s="66"/>
      <c r="H113" s="66"/>
      <c r="I113" s="66"/>
      <c r="J113" s="66"/>
      <c r="K113" s="66"/>
      <c r="L113" s="66"/>
      <c r="M113" s="66"/>
    </row>
    <row r="114" spans="1:13" x14ac:dyDescent="0.25">
      <c r="A114" s="66"/>
      <c r="B114" s="66"/>
      <c r="C114" s="66"/>
      <c r="D114" s="66"/>
      <c r="E114" s="66"/>
      <c r="F114" s="66"/>
      <c r="G114" s="66"/>
      <c r="H114" s="66"/>
      <c r="I114" s="66"/>
      <c r="J114" s="66"/>
      <c r="K114" s="66"/>
      <c r="L114" s="66"/>
      <c r="M114" s="66"/>
    </row>
    <row r="115" spans="1:13" x14ac:dyDescent="0.25">
      <c r="A115" s="66"/>
      <c r="B115" s="66"/>
      <c r="C115" s="66"/>
      <c r="D115" s="66"/>
      <c r="E115" s="66"/>
      <c r="F115" s="66"/>
      <c r="G115" s="66"/>
      <c r="H115" s="66"/>
      <c r="I115" s="66"/>
      <c r="J115" s="66"/>
      <c r="K115" s="66"/>
      <c r="L115" s="66"/>
      <c r="M115" s="66"/>
    </row>
    <row r="116" spans="1:13" x14ac:dyDescent="0.25">
      <c r="A116" s="66"/>
      <c r="B116" s="66"/>
      <c r="C116" s="66"/>
      <c r="D116" s="66"/>
      <c r="E116" s="66"/>
      <c r="F116" s="66"/>
      <c r="G116" s="66"/>
      <c r="H116" s="66"/>
      <c r="I116" s="66"/>
      <c r="J116" s="66"/>
      <c r="K116" s="66"/>
      <c r="L116" s="66"/>
      <c r="M116" s="66"/>
    </row>
    <row r="117" spans="1:13" x14ac:dyDescent="0.25">
      <c r="A117" s="66"/>
      <c r="B117" s="66"/>
      <c r="C117" s="66"/>
      <c r="D117" s="66"/>
      <c r="E117" s="66"/>
      <c r="F117" s="66"/>
      <c r="G117" s="66"/>
      <c r="H117" s="66"/>
      <c r="I117" s="66"/>
      <c r="J117" s="66"/>
      <c r="K117" s="66"/>
      <c r="L117" s="66"/>
      <c r="M117" s="66"/>
    </row>
    <row r="118" spans="1:13" x14ac:dyDescent="0.25">
      <c r="A118" s="66"/>
      <c r="B118" s="66"/>
      <c r="C118" s="66"/>
      <c r="D118" s="66"/>
      <c r="E118" s="66"/>
      <c r="F118" s="66"/>
      <c r="G118" s="66"/>
      <c r="H118" s="66"/>
      <c r="I118" s="66"/>
      <c r="J118" s="66"/>
      <c r="K118" s="66"/>
      <c r="L118" s="66"/>
      <c r="M118" s="66"/>
    </row>
    <row r="119" spans="1:13" x14ac:dyDescent="0.25">
      <c r="A119" s="66"/>
      <c r="B119" s="66"/>
      <c r="C119" s="66"/>
      <c r="D119" s="66"/>
      <c r="E119" s="66"/>
      <c r="F119" s="66"/>
      <c r="G119" s="66"/>
      <c r="H119" s="66"/>
      <c r="I119" s="66"/>
      <c r="J119" s="66"/>
      <c r="K119" s="66"/>
      <c r="L119" s="66"/>
      <c r="M119" s="66"/>
    </row>
    <row r="120" spans="1:13" x14ac:dyDescent="0.25">
      <c r="A120" s="66"/>
      <c r="B120" s="66"/>
      <c r="C120" s="66"/>
      <c r="D120" s="66"/>
      <c r="E120" s="66"/>
      <c r="F120" s="66"/>
      <c r="G120" s="66"/>
      <c r="H120" s="66"/>
      <c r="I120" s="66"/>
      <c r="J120" s="66"/>
      <c r="K120" s="66"/>
      <c r="L120" s="66"/>
      <c r="M120" s="66"/>
    </row>
  </sheetData>
  <phoneticPr fontId="0" type="noConversion"/>
  <pageMargins left="0.5" right="0.5" top="0.75" bottom="0.7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V105"/>
  <sheetViews>
    <sheetView showGridLines="0" tabSelected="1" zoomScaleNormal="100" workbookViewId="0">
      <pane xSplit="2" ySplit="6" topLeftCell="C7" activePane="bottomRight" state="frozen"/>
      <selection activeCell="G56" sqref="G56"/>
      <selection pane="topRight" activeCell="G56" sqref="G56"/>
      <selection pane="bottomLeft" activeCell="G56" sqref="G56"/>
      <selection pane="bottomRight" activeCell="C97" sqref="C97"/>
    </sheetView>
  </sheetViews>
  <sheetFormatPr defaultColWidth="9.109375" defaultRowHeight="10.199999999999999" x14ac:dyDescent="0.2"/>
  <cols>
    <col min="1" max="1" width="6" style="66" customWidth="1"/>
    <col min="2" max="2" width="17.88671875" style="66" customWidth="1"/>
    <col min="3" max="4" width="9.88671875" style="66" customWidth="1"/>
    <col min="5" max="5" width="11.33203125" style="66" customWidth="1"/>
    <col min="6" max="7" width="9.5546875" style="66" customWidth="1"/>
    <col min="8" max="8" width="9.88671875" style="66" customWidth="1"/>
    <col min="9" max="9" width="10.44140625" style="66" customWidth="1"/>
    <col min="10" max="10" width="10.6640625" style="66" customWidth="1"/>
    <col min="11" max="14" width="11.109375" style="66" bestFit="1" customWidth="1"/>
    <col min="15" max="15" width="10.6640625" style="66" bestFit="1" customWidth="1"/>
    <col min="16" max="16" width="9.88671875" style="66" bestFit="1" customWidth="1"/>
    <col min="17" max="21" width="9.109375" style="66"/>
    <col min="22" max="22" width="9.6640625" style="66" bestFit="1" customWidth="1"/>
    <col min="23" max="16384" width="9.109375" style="66"/>
  </cols>
  <sheetData>
    <row r="2" spans="1:16" x14ac:dyDescent="0.2">
      <c r="B2" s="83" t="s">
        <v>75</v>
      </c>
      <c r="C2" s="84"/>
    </row>
    <row r="3" spans="1:16" x14ac:dyDescent="0.2">
      <c r="C3" s="84"/>
    </row>
    <row r="4" spans="1:16" x14ac:dyDescent="0.2">
      <c r="C4" s="85"/>
      <c r="D4" s="85"/>
      <c r="E4" s="85"/>
      <c r="F4" s="85"/>
      <c r="G4" s="85"/>
      <c r="H4" s="86"/>
      <c r="I4" s="86"/>
      <c r="J4" s="83"/>
    </row>
    <row r="5" spans="1:16" x14ac:dyDescent="0.2">
      <c r="C5" s="85"/>
      <c r="D5" s="85"/>
      <c r="E5" s="85"/>
      <c r="F5" s="85"/>
      <c r="G5" s="85"/>
      <c r="H5" s="86"/>
      <c r="I5" s="86"/>
      <c r="J5" s="85"/>
    </row>
    <row r="6" spans="1:16" ht="9.9" customHeight="1" x14ac:dyDescent="0.2">
      <c r="C6" s="125">
        <v>43586</v>
      </c>
      <c r="D6" s="87">
        <f t="shared" ref="D6:N6" si="0">EOMONTH(C6,1)</f>
        <v>43646</v>
      </c>
      <c r="E6" s="87">
        <f t="shared" si="0"/>
        <v>43677</v>
      </c>
      <c r="F6" s="87">
        <f t="shared" si="0"/>
        <v>43708</v>
      </c>
      <c r="G6" s="87">
        <f t="shared" si="0"/>
        <v>43738</v>
      </c>
      <c r="H6" s="87">
        <f t="shared" si="0"/>
        <v>43769</v>
      </c>
      <c r="I6" s="87">
        <f t="shared" si="0"/>
        <v>43799</v>
      </c>
      <c r="J6" s="87">
        <f t="shared" si="0"/>
        <v>43830</v>
      </c>
      <c r="K6" s="87">
        <f t="shared" si="0"/>
        <v>43861</v>
      </c>
      <c r="L6" s="87">
        <f t="shared" si="0"/>
        <v>43890</v>
      </c>
      <c r="M6" s="87">
        <f t="shared" si="0"/>
        <v>43921</v>
      </c>
      <c r="N6" s="87">
        <f t="shared" si="0"/>
        <v>43951</v>
      </c>
    </row>
    <row r="7" spans="1:16" s="67" customFormat="1" x14ac:dyDescent="0.2">
      <c r="A7" s="88" t="s">
        <v>44</v>
      </c>
      <c r="C7" s="126">
        <v>170.64</v>
      </c>
      <c r="D7" s="126">
        <v>118.18</v>
      </c>
      <c r="E7" s="126">
        <v>128.02000000000001</v>
      </c>
      <c r="F7" s="126">
        <v>111.88</v>
      </c>
      <c r="G7" s="126">
        <v>125.72</v>
      </c>
      <c r="H7" s="126">
        <v>133</v>
      </c>
      <c r="I7" s="126">
        <v>133.46</v>
      </c>
      <c r="J7" s="126">
        <v>133.88999999999999</v>
      </c>
      <c r="K7" s="126">
        <v>134.86000000000001</v>
      </c>
      <c r="L7" s="126">
        <v>123.48</v>
      </c>
      <c r="M7" s="126">
        <v>150.16999999999999</v>
      </c>
      <c r="N7" s="126">
        <v>164.08</v>
      </c>
    </row>
    <row r="8" spans="1:16" x14ac:dyDescent="0.2">
      <c r="A8" s="66" t="s">
        <v>45</v>
      </c>
      <c r="C8" s="89">
        <v>0</v>
      </c>
      <c r="D8" s="89">
        <v>0</v>
      </c>
      <c r="E8" s="89">
        <v>0</v>
      </c>
      <c r="F8" s="89">
        <v>0</v>
      </c>
      <c r="G8" s="89">
        <v>0</v>
      </c>
      <c r="H8" s="89">
        <v>0</v>
      </c>
      <c r="I8" s="89">
        <v>0</v>
      </c>
      <c r="J8" s="89">
        <v>0</v>
      </c>
      <c r="K8" s="89">
        <v>0</v>
      </c>
      <c r="L8" s="89">
        <v>0</v>
      </c>
      <c r="M8" s="89">
        <v>0</v>
      </c>
      <c r="N8" s="89">
        <v>0</v>
      </c>
    </row>
    <row r="9" spans="1:16" x14ac:dyDescent="0.2">
      <c r="A9" s="66" t="s">
        <v>46</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16" x14ac:dyDescent="0.2">
      <c r="A10" s="83" t="s">
        <v>47</v>
      </c>
      <c r="C10" s="91">
        <f t="shared" ref="C10:N10" si="2">+C7-C9</f>
        <v>170.64</v>
      </c>
      <c r="D10" s="91">
        <f t="shared" si="2"/>
        <v>118.18</v>
      </c>
      <c r="E10" s="91">
        <f t="shared" si="2"/>
        <v>128.02000000000001</v>
      </c>
      <c r="F10" s="91">
        <f t="shared" si="2"/>
        <v>111.88</v>
      </c>
      <c r="G10" s="91">
        <f t="shared" si="2"/>
        <v>125.72</v>
      </c>
      <c r="H10" s="91">
        <f t="shared" si="2"/>
        <v>133</v>
      </c>
      <c r="I10" s="91">
        <f t="shared" si="2"/>
        <v>133.46</v>
      </c>
      <c r="J10" s="91">
        <f t="shared" si="2"/>
        <v>133.88999999999999</v>
      </c>
      <c r="K10" s="91">
        <f t="shared" si="2"/>
        <v>134.86000000000001</v>
      </c>
      <c r="L10" s="91">
        <f t="shared" si="2"/>
        <v>123.48</v>
      </c>
      <c r="M10" s="91">
        <f t="shared" si="2"/>
        <v>150.16999999999999</v>
      </c>
      <c r="N10" s="91">
        <f t="shared" si="2"/>
        <v>164.08</v>
      </c>
    </row>
    <row r="12" spans="1:16" x14ac:dyDescent="0.2">
      <c r="A12" s="83" t="s">
        <v>48</v>
      </c>
    </row>
    <row r="13" spans="1:16" s="92" customFormat="1" x14ac:dyDescent="0.2">
      <c r="B13" s="92" t="s">
        <v>23</v>
      </c>
      <c r="C13" s="123">
        <v>0</v>
      </c>
      <c r="D13" s="123">
        <f>+C13</f>
        <v>0</v>
      </c>
      <c r="E13" s="123">
        <f t="shared" ref="E13:M13" si="3">+D13</f>
        <v>0</v>
      </c>
      <c r="F13" s="123">
        <f t="shared" si="3"/>
        <v>0</v>
      </c>
      <c r="G13" s="123">
        <f t="shared" si="3"/>
        <v>0</v>
      </c>
      <c r="H13" s="123">
        <f t="shared" si="3"/>
        <v>0</v>
      </c>
      <c r="I13" s="123">
        <f t="shared" si="3"/>
        <v>0</v>
      </c>
      <c r="J13" s="123">
        <f t="shared" si="3"/>
        <v>0</v>
      </c>
      <c r="K13" s="123">
        <v>0</v>
      </c>
      <c r="L13" s="123">
        <f t="shared" si="3"/>
        <v>0</v>
      </c>
      <c r="M13" s="123">
        <f t="shared" si="3"/>
        <v>0</v>
      </c>
      <c r="N13" s="123">
        <v>0</v>
      </c>
      <c r="P13" s="66"/>
    </row>
    <row r="14" spans="1:16" s="92" customFormat="1" x14ac:dyDescent="0.2">
      <c r="B14" s="92" t="s">
        <v>27</v>
      </c>
      <c r="C14" s="123">
        <v>0.1845</v>
      </c>
      <c r="D14" s="123">
        <f t="shared" ref="D14:N23" si="4">+C14</f>
        <v>0.1845</v>
      </c>
      <c r="E14" s="123">
        <f t="shared" si="4"/>
        <v>0.1845</v>
      </c>
      <c r="F14" s="123">
        <f t="shared" si="4"/>
        <v>0.1845</v>
      </c>
      <c r="G14" s="123">
        <f t="shared" si="4"/>
        <v>0.1845</v>
      </c>
      <c r="H14" s="123">
        <f t="shared" si="4"/>
        <v>0.1845</v>
      </c>
      <c r="I14" s="123">
        <f t="shared" si="4"/>
        <v>0.1845</v>
      </c>
      <c r="J14" s="123">
        <f t="shared" si="4"/>
        <v>0.1845</v>
      </c>
      <c r="K14" s="123">
        <v>0.21870000000000001</v>
      </c>
      <c r="L14" s="123">
        <f t="shared" si="4"/>
        <v>0.21870000000000001</v>
      </c>
      <c r="M14" s="123">
        <f t="shared" si="4"/>
        <v>0.21870000000000001</v>
      </c>
      <c r="N14" s="123">
        <f t="shared" si="4"/>
        <v>0.21870000000000001</v>
      </c>
    </row>
    <row r="15" spans="1:16" s="92" customFormat="1" x14ac:dyDescent="0.2">
      <c r="B15" s="92" t="s">
        <v>49</v>
      </c>
      <c r="C15" s="123">
        <v>0</v>
      </c>
      <c r="D15" s="123">
        <f t="shared" si="4"/>
        <v>0</v>
      </c>
      <c r="E15" s="123">
        <f t="shared" si="4"/>
        <v>0</v>
      </c>
      <c r="F15" s="123">
        <f t="shared" si="4"/>
        <v>0</v>
      </c>
      <c r="G15" s="123">
        <f t="shared" si="4"/>
        <v>0</v>
      </c>
      <c r="H15" s="123">
        <f t="shared" si="4"/>
        <v>0</v>
      </c>
      <c r="I15" s="123">
        <f t="shared" si="4"/>
        <v>0</v>
      </c>
      <c r="J15" s="123">
        <f t="shared" si="4"/>
        <v>0</v>
      </c>
      <c r="K15" s="123">
        <v>0</v>
      </c>
      <c r="L15" s="123">
        <f t="shared" si="4"/>
        <v>0</v>
      </c>
      <c r="M15" s="123">
        <f t="shared" si="4"/>
        <v>0</v>
      </c>
      <c r="N15" s="123">
        <f t="shared" si="4"/>
        <v>0</v>
      </c>
    </row>
    <row r="16" spans="1:16" s="92" customFormat="1" x14ac:dyDescent="0.2">
      <c r="B16" s="92" t="s">
        <v>50</v>
      </c>
      <c r="C16" s="123">
        <v>1.7500000000000002E-2</v>
      </c>
      <c r="D16" s="123">
        <f t="shared" si="4"/>
        <v>1.7500000000000002E-2</v>
      </c>
      <c r="E16" s="123">
        <f t="shared" si="4"/>
        <v>1.7500000000000002E-2</v>
      </c>
      <c r="F16" s="123">
        <f t="shared" si="4"/>
        <v>1.7500000000000002E-2</v>
      </c>
      <c r="G16" s="123">
        <f t="shared" si="4"/>
        <v>1.7500000000000002E-2</v>
      </c>
      <c r="H16" s="123">
        <f t="shared" si="4"/>
        <v>1.7500000000000002E-2</v>
      </c>
      <c r="I16" s="123">
        <f t="shared" si="4"/>
        <v>1.7500000000000002E-2</v>
      </c>
      <c r="J16" s="123">
        <f t="shared" si="4"/>
        <v>1.7500000000000002E-2</v>
      </c>
      <c r="K16" s="123">
        <v>1.7899999999999999E-2</v>
      </c>
      <c r="L16" s="123">
        <f t="shared" si="4"/>
        <v>1.7899999999999999E-2</v>
      </c>
      <c r="M16" s="123">
        <f t="shared" si="4"/>
        <v>1.7899999999999999E-2</v>
      </c>
      <c r="N16" s="123">
        <f t="shared" si="4"/>
        <v>1.7899999999999999E-2</v>
      </c>
    </row>
    <row r="17" spans="1:14" s="92" customFormat="1" x14ac:dyDescent="0.2">
      <c r="B17" s="92" t="s">
        <v>51</v>
      </c>
      <c r="C17" s="123">
        <v>6.2E-2</v>
      </c>
      <c r="D17" s="123">
        <f t="shared" si="4"/>
        <v>6.2E-2</v>
      </c>
      <c r="E17" s="123">
        <f t="shared" si="4"/>
        <v>6.2E-2</v>
      </c>
      <c r="F17" s="123">
        <f t="shared" si="4"/>
        <v>6.2E-2</v>
      </c>
      <c r="G17" s="123">
        <f t="shared" si="4"/>
        <v>6.2E-2</v>
      </c>
      <c r="H17" s="123">
        <f t="shared" si="4"/>
        <v>6.2E-2</v>
      </c>
      <c r="I17" s="123">
        <f t="shared" si="4"/>
        <v>6.2E-2</v>
      </c>
      <c r="J17" s="123">
        <f t="shared" si="4"/>
        <v>6.2E-2</v>
      </c>
      <c r="K17" s="123">
        <v>5.9700000000000003E-2</v>
      </c>
      <c r="L17" s="123">
        <f t="shared" si="4"/>
        <v>5.9700000000000003E-2</v>
      </c>
      <c r="M17" s="123">
        <f t="shared" si="4"/>
        <v>5.9700000000000003E-2</v>
      </c>
      <c r="N17" s="123">
        <f t="shared" si="4"/>
        <v>5.9700000000000003E-2</v>
      </c>
    </row>
    <row r="18" spans="1:14" s="92" customFormat="1" x14ac:dyDescent="0.2">
      <c r="B18" s="92" t="s">
        <v>52</v>
      </c>
      <c r="C18" s="123">
        <v>1.0800000000000001E-2</v>
      </c>
      <c r="D18" s="123">
        <f t="shared" si="4"/>
        <v>1.0800000000000001E-2</v>
      </c>
      <c r="E18" s="123">
        <f t="shared" si="4"/>
        <v>1.0800000000000001E-2</v>
      </c>
      <c r="F18" s="123">
        <f t="shared" si="4"/>
        <v>1.0800000000000001E-2</v>
      </c>
      <c r="G18" s="123">
        <f t="shared" si="4"/>
        <v>1.0800000000000001E-2</v>
      </c>
      <c r="H18" s="123">
        <f t="shared" si="4"/>
        <v>1.0800000000000001E-2</v>
      </c>
      <c r="I18" s="123">
        <f t="shared" si="4"/>
        <v>1.0800000000000001E-2</v>
      </c>
      <c r="J18" s="123">
        <f t="shared" si="4"/>
        <v>1.0800000000000001E-2</v>
      </c>
      <c r="K18" s="123">
        <v>1.15E-2</v>
      </c>
      <c r="L18" s="123">
        <f t="shared" si="4"/>
        <v>1.15E-2</v>
      </c>
      <c r="M18" s="123">
        <f t="shared" si="4"/>
        <v>1.15E-2</v>
      </c>
      <c r="N18" s="123">
        <f t="shared" si="4"/>
        <v>1.15E-2</v>
      </c>
    </row>
    <row r="19" spans="1:14" s="92" customFormat="1" x14ac:dyDescent="0.2">
      <c r="B19" s="66" t="s">
        <v>53</v>
      </c>
      <c r="C19" s="123">
        <v>4.4000000000000003E-3</v>
      </c>
      <c r="D19" s="123">
        <f t="shared" si="4"/>
        <v>4.4000000000000003E-3</v>
      </c>
      <c r="E19" s="123">
        <f t="shared" si="4"/>
        <v>4.4000000000000003E-3</v>
      </c>
      <c r="F19" s="123">
        <f t="shared" si="4"/>
        <v>4.4000000000000003E-3</v>
      </c>
      <c r="G19" s="123">
        <f t="shared" si="4"/>
        <v>4.4000000000000003E-3</v>
      </c>
      <c r="H19" s="123">
        <f t="shared" si="4"/>
        <v>4.4000000000000003E-3</v>
      </c>
      <c r="I19" s="123">
        <f t="shared" si="4"/>
        <v>4.4000000000000003E-3</v>
      </c>
      <c r="J19" s="123">
        <f t="shared" si="4"/>
        <v>4.4000000000000003E-3</v>
      </c>
      <c r="K19" s="123">
        <v>3.5000000000000001E-3</v>
      </c>
      <c r="L19" s="123">
        <f t="shared" si="4"/>
        <v>3.5000000000000001E-3</v>
      </c>
      <c r="M19" s="123">
        <f t="shared" si="4"/>
        <v>3.5000000000000001E-3</v>
      </c>
      <c r="N19" s="123">
        <f t="shared" si="4"/>
        <v>3.5000000000000001E-3</v>
      </c>
    </row>
    <row r="20" spans="1:14" s="92" customFormat="1" x14ac:dyDescent="0.2">
      <c r="B20" s="66" t="s">
        <v>22</v>
      </c>
      <c r="C20" s="123">
        <v>0.1125</v>
      </c>
      <c r="D20" s="123">
        <f t="shared" si="4"/>
        <v>0.1125</v>
      </c>
      <c r="E20" s="123">
        <f t="shared" si="4"/>
        <v>0.1125</v>
      </c>
      <c r="F20" s="123">
        <f t="shared" si="4"/>
        <v>0.1125</v>
      </c>
      <c r="G20" s="123">
        <f t="shared" si="4"/>
        <v>0.1125</v>
      </c>
      <c r="H20" s="123">
        <f t="shared" si="4"/>
        <v>0.1125</v>
      </c>
      <c r="I20" s="123">
        <f t="shared" si="4"/>
        <v>0.1125</v>
      </c>
      <c r="J20" s="123">
        <f t="shared" si="4"/>
        <v>0.1125</v>
      </c>
      <c r="K20" s="123">
        <v>7.3700000000000002E-2</v>
      </c>
      <c r="L20" s="123">
        <f t="shared" si="4"/>
        <v>7.3700000000000002E-2</v>
      </c>
      <c r="M20" s="123">
        <f t="shared" si="4"/>
        <v>7.3700000000000002E-2</v>
      </c>
      <c r="N20" s="123">
        <f t="shared" si="4"/>
        <v>7.3700000000000002E-2</v>
      </c>
    </row>
    <row r="21" spans="1:14" s="92" customFormat="1" x14ac:dyDescent="0.2">
      <c r="B21" s="66" t="s">
        <v>87</v>
      </c>
      <c r="C21" s="123">
        <v>4.24E-2</v>
      </c>
      <c r="D21" s="123">
        <f t="shared" si="4"/>
        <v>4.24E-2</v>
      </c>
      <c r="E21" s="123">
        <f t="shared" si="4"/>
        <v>4.24E-2</v>
      </c>
      <c r="F21" s="123">
        <f t="shared" si="4"/>
        <v>4.24E-2</v>
      </c>
      <c r="G21" s="123">
        <f t="shared" si="4"/>
        <v>4.24E-2</v>
      </c>
      <c r="H21" s="123">
        <f t="shared" si="4"/>
        <v>4.24E-2</v>
      </c>
      <c r="I21" s="123">
        <f t="shared" si="4"/>
        <v>4.24E-2</v>
      </c>
      <c r="J21" s="123">
        <f t="shared" si="4"/>
        <v>4.24E-2</v>
      </c>
      <c r="K21" s="123">
        <v>3.4299999999999997E-2</v>
      </c>
      <c r="L21" s="123">
        <f t="shared" si="4"/>
        <v>3.4299999999999997E-2</v>
      </c>
      <c r="M21" s="123">
        <f t="shared" si="4"/>
        <v>3.4299999999999997E-2</v>
      </c>
      <c r="N21" s="123">
        <f t="shared" si="4"/>
        <v>3.4299999999999997E-2</v>
      </c>
    </row>
    <row r="22" spans="1:14" s="92" customFormat="1" x14ac:dyDescent="0.2">
      <c r="B22" s="92" t="s">
        <v>54</v>
      </c>
      <c r="C22" s="123">
        <v>0.1434</v>
      </c>
      <c r="D22" s="123">
        <f t="shared" si="4"/>
        <v>0.1434</v>
      </c>
      <c r="E22" s="123">
        <f t="shared" si="4"/>
        <v>0.1434</v>
      </c>
      <c r="F22" s="123">
        <f t="shared" si="4"/>
        <v>0.1434</v>
      </c>
      <c r="G22" s="123">
        <f t="shared" si="4"/>
        <v>0.1434</v>
      </c>
      <c r="H22" s="123">
        <f t="shared" si="4"/>
        <v>0.1434</v>
      </c>
      <c r="I22" s="123">
        <f t="shared" si="4"/>
        <v>0.1434</v>
      </c>
      <c r="J22" s="123">
        <f t="shared" si="4"/>
        <v>0.1434</v>
      </c>
      <c r="K22" s="123">
        <v>0.18779999999999999</v>
      </c>
      <c r="L22" s="123">
        <f t="shared" si="4"/>
        <v>0.18779999999999999</v>
      </c>
      <c r="M22" s="123">
        <f t="shared" si="4"/>
        <v>0.18779999999999999</v>
      </c>
      <c r="N22" s="123">
        <f t="shared" si="4"/>
        <v>0.18779999999999999</v>
      </c>
    </row>
    <row r="23" spans="1:14" s="92" customFormat="1" x14ac:dyDescent="0.2">
      <c r="B23" s="92" t="s">
        <v>55</v>
      </c>
      <c r="C23" s="124">
        <v>0.42249999999999999</v>
      </c>
      <c r="D23" s="123">
        <f t="shared" si="4"/>
        <v>0.42249999999999999</v>
      </c>
      <c r="E23" s="123">
        <f t="shared" si="4"/>
        <v>0.42249999999999999</v>
      </c>
      <c r="F23" s="123">
        <f t="shared" si="4"/>
        <v>0.42249999999999999</v>
      </c>
      <c r="G23" s="123">
        <f t="shared" si="4"/>
        <v>0.42249999999999999</v>
      </c>
      <c r="H23" s="123">
        <f t="shared" si="4"/>
        <v>0.42249999999999999</v>
      </c>
      <c r="I23" s="123">
        <f t="shared" si="4"/>
        <v>0.42249999999999999</v>
      </c>
      <c r="J23" s="123">
        <f t="shared" si="4"/>
        <v>0.42249999999999999</v>
      </c>
      <c r="K23" s="123">
        <v>0.39290000000000003</v>
      </c>
      <c r="L23" s="123">
        <f t="shared" si="4"/>
        <v>0.39290000000000003</v>
      </c>
      <c r="M23" s="123">
        <f t="shared" si="4"/>
        <v>0.39290000000000003</v>
      </c>
      <c r="N23" s="123">
        <f t="shared" si="4"/>
        <v>0.39290000000000003</v>
      </c>
    </row>
    <row r="24" spans="1:14" x14ac:dyDescent="0.2">
      <c r="C24" s="93">
        <v>1</v>
      </c>
      <c r="D24" s="93">
        <v>1</v>
      </c>
      <c r="E24" s="93">
        <v>1</v>
      </c>
      <c r="F24" s="93">
        <v>1</v>
      </c>
      <c r="G24" s="93">
        <v>1</v>
      </c>
      <c r="H24" s="93">
        <v>1</v>
      </c>
      <c r="I24" s="93">
        <v>1</v>
      </c>
      <c r="J24" s="93">
        <v>1</v>
      </c>
      <c r="K24" s="93">
        <v>1</v>
      </c>
      <c r="L24" s="93">
        <v>1</v>
      </c>
      <c r="M24" s="93">
        <v>1</v>
      </c>
      <c r="N24" s="93">
        <v>1</v>
      </c>
    </row>
    <row r="26" spans="1:14" x14ac:dyDescent="0.2">
      <c r="A26" s="83" t="s">
        <v>56</v>
      </c>
    </row>
    <row r="27" spans="1:14" x14ac:dyDescent="0.2">
      <c r="B27" s="66" t="s">
        <v>23</v>
      </c>
      <c r="C27" s="75">
        <f t="shared" ref="C27:C37" si="5">+C$10*C13</f>
        <v>0</v>
      </c>
      <c r="D27" s="75">
        <f t="shared" ref="D27:M27" si="6">+D$10*D13</f>
        <v>0</v>
      </c>
      <c r="E27" s="75">
        <f t="shared" si="6"/>
        <v>0</v>
      </c>
      <c r="F27" s="75">
        <f t="shared" si="6"/>
        <v>0</v>
      </c>
      <c r="G27" s="75">
        <f t="shared" si="6"/>
        <v>0</v>
      </c>
      <c r="H27" s="75">
        <f t="shared" si="6"/>
        <v>0</v>
      </c>
      <c r="I27" s="75">
        <f t="shared" si="6"/>
        <v>0</v>
      </c>
      <c r="J27" s="75">
        <f t="shared" si="6"/>
        <v>0</v>
      </c>
      <c r="K27" s="75">
        <f t="shared" si="6"/>
        <v>0</v>
      </c>
      <c r="L27" s="75">
        <f t="shared" si="6"/>
        <v>0</v>
      </c>
      <c r="M27" s="75">
        <f t="shared" si="6"/>
        <v>0</v>
      </c>
      <c r="N27" s="75">
        <f>+N$10*N13</f>
        <v>0</v>
      </c>
    </row>
    <row r="28" spans="1:14" x14ac:dyDescent="0.2">
      <c r="B28" s="66" t="s">
        <v>27</v>
      </c>
      <c r="C28" s="75">
        <f t="shared" si="5"/>
        <v>31.483079999999998</v>
      </c>
      <c r="D28" s="75">
        <f t="shared" ref="D28:M28" si="7">+D$10*D14</f>
        <v>21.804210000000001</v>
      </c>
      <c r="E28" s="75">
        <f>+E$10*E14</f>
        <v>23.619690000000002</v>
      </c>
      <c r="F28" s="75">
        <f t="shared" si="7"/>
        <v>20.641859999999998</v>
      </c>
      <c r="G28" s="75">
        <f t="shared" si="7"/>
        <v>23.195339999999998</v>
      </c>
      <c r="H28" s="75">
        <f t="shared" si="7"/>
        <v>24.538499999999999</v>
      </c>
      <c r="I28" s="75">
        <f t="shared" si="7"/>
        <v>24.623370000000001</v>
      </c>
      <c r="J28" s="75">
        <f t="shared" si="7"/>
        <v>24.702704999999998</v>
      </c>
      <c r="K28" s="75">
        <f t="shared" si="7"/>
        <v>29.493882000000003</v>
      </c>
      <c r="L28" s="75">
        <f t="shared" si="7"/>
        <v>27.005076000000003</v>
      </c>
      <c r="M28" s="75">
        <f t="shared" si="7"/>
        <v>32.842179000000002</v>
      </c>
      <c r="N28" s="75">
        <f>+N$10*N14</f>
        <v>35.884296000000006</v>
      </c>
    </row>
    <row r="29" spans="1:14" x14ac:dyDescent="0.2">
      <c r="B29" s="66" t="s">
        <v>49</v>
      </c>
      <c r="C29" s="75">
        <f t="shared" si="5"/>
        <v>0</v>
      </c>
      <c r="D29" s="75">
        <f t="shared" ref="D29:N29" si="8">+D$10*D15</f>
        <v>0</v>
      </c>
      <c r="E29" s="75">
        <f t="shared" si="8"/>
        <v>0</v>
      </c>
      <c r="F29" s="75">
        <f t="shared" si="8"/>
        <v>0</v>
      </c>
      <c r="G29" s="75">
        <f t="shared" si="8"/>
        <v>0</v>
      </c>
      <c r="H29" s="75">
        <f t="shared" si="8"/>
        <v>0</v>
      </c>
      <c r="I29" s="75">
        <f t="shared" si="8"/>
        <v>0</v>
      </c>
      <c r="J29" s="75">
        <f t="shared" si="8"/>
        <v>0</v>
      </c>
      <c r="K29" s="75">
        <f t="shared" si="8"/>
        <v>0</v>
      </c>
      <c r="L29" s="75">
        <f t="shared" si="8"/>
        <v>0</v>
      </c>
      <c r="M29" s="75">
        <f t="shared" si="8"/>
        <v>0</v>
      </c>
      <c r="N29" s="75">
        <f t="shared" si="8"/>
        <v>0</v>
      </c>
    </row>
    <row r="30" spans="1:14" x14ac:dyDescent="0.2">
      <c r="B30" s="66" t="s">
        <v>50</v>
      </c>
      <c r="C30" s="75">
        <f t="shared" si="5"/>
        <v>2.9862000000000002</v>
      </c>
      <c r="D30" s="75">
        <f t="shared" ref="D30:N30" si="9">+D$10*D16</f>
        <v>2.0681500000000002</v>
      </c>
      <c r="E30" s="75">
        <f t="shared" si="9"/>
        <v>2.2403500000000003</v>
      </c>
      <c r="F30" s="75">
        <f t="shared" si="9"/>
        <v>1.9579000000000002</v>
      </c>
      <c r="G30" s="75">
        <f t="shared" si="9"/>
        <v>2.2001000000000004</v>
      </c>
      <c r="H30" s="75">
        <f t="shared" si="9"/>
        <v>2.3275000000000001</v>
      </c>
      <c r="I30" s="75">
        <f t="shared" si="9"/>
        <v>2.3355500000000005</v>
      </c>
      <c r="J30" s="75">
        <f t="shared" si="9"/>
        <v>2.3430749999999998</v>
      </c>
      <c r="K30" s="75">
        <f t="shared" si="9"/>
        <v>2.4139940000000002</v>
      </c>
      <c r="L30" s="75">
        <f t="shared" si="9"/>
        <v>2.2102919999999999</v>
      </c>
      <c r="M30" s="75">
        <f t="shared" si="9"/>
        <v>2.6880429999999995</v>
      </c>
      <c r="N30" s="75">
        <f t="shared" si="9"/>
        <v>2.9370320000000003</v>
      </c>
    </row>
    <row r="31" spans="1:14" x14ac:dyDescent="0.2">
      <c r="B31" s="66" t="s">
        <v>51</v>
      </c>
      <c r="C31" s="75">
        <f t="shared" si="5"/>
        <v>10.57968</v>
      </c>
      <c r="D31" s="75">
        <f t="shared" ref="D31:N31" si="10">+D$10*D17</f>
        <v>7.3271600000000001</v>
      </c>
      <c r="E31" s="75">
        <f t="shared" si="10"/>
        <v>7.937240000000001</v>
      </c>
      <c r="F31" s="75">
        <f t="shared" si="10"/>
        <v>6.9365600000000001</v>
      </c>
      <c r="G31" s="75">
        <f t="shared" si="10"/>
        <v>7.7946400000000002</v>
      </c>
      <c r="H31" s="75">
        <f t="shared" si="10"/>
        <v>8.2460000000000004</v>
      </c>
      <c r="I31" s="75">
        <f t="shared" si="10"/>
        <v>8.2745200000000008</v>
      </c>
      <c r="J31" s="75">
        <f t="shared" si="10"/>
        <v>8.3011799999999987</v>
      </c>
      <c r="K31" s="75">
        <f t="shared" si="10"/>
        <v>8.0511420000000005</v>
      </c>
      <c r="L31" s="75">
        <f t="shared" si="10"/>
        <v>7.3717560000000004</v>
      </c>
      <c r="M31" s="75">
        <f t="shared" si="10"/>
        <v>8.9651490000000003</v>
      </c>
      <c r="N31" s="75">
        <f t="shared" si="10"/>
        <v>9.7955760000000005</v>
      </c>
    </row>
    <row r="32" spans="1:14" x14ac:dyDescent="0.2">
      <c r="B32" s="66" t="s">
        <v>52</v>
      </c>
      <c r="C32" s="75">
        <f t="shared" si="5"/>
        <v>1.8429119999999999</v>
      </c>
      <c r="D32" s="75">
        <f t="shared" ref="D32:N32" si="11">+D$10*D18</f>
        <v>1.2763440000000001</v>
      </c>
      <c r="E32" s="75">
        <f t="shared" si="11"/>
        <v>1.3826160000000003</v>
      </c>
      <c r="F32" s="75">
        <f t="shared" si="11"/>
        <v>1.208304</v>
      </c>
      <c r="G32" s="75">
        <f t="shared" si="11"/>
        <v>1.3577760000000001</v>
      </c>
      <c r="H32" s="75">
        <f t="shared" si="11"/>
        <v>1.4364000000000001</v>
      </c>
      <c r="I32" s="75">
        <f t="shared" si="11"/>
        <v>1.4413680000000002</v>
      </c>
      <c r="J32" s="75">
        <f t="shared" si="11"/>
        <v>1.4460119999999999</v>
      </c>
      <c r="K32" s="75">
        <f t="shared" si="11"/>
        <v>1.5508900000000001</v>
      </c>
      <c r="L32" s="75">
        <f t="shared" si="11"/>
        <v>1.4200200000000001</v>
      </c>
      <c r="M32" s="75">
        <f t="shared" si="11"/>
        <v>1.7269549999999998</v>
      </c>
      <c r="N32" s="75">
        <f t="shared" si="11"/>
        <v>1.8869200000000002</v>
      </c>
    </row>
    <row r="33" spans="1:14" x14ac:dyDescent="0.2">
      <c r="B33" s="66" t="s">
        <v>53</v>
      </c>
      <c r="C33" s="75">
        <f t="shared" si="5"/>
        <v>0.75081600000000004</v>
      </c>
      <c r="D33" s="75">
        <f t="shared" ref="D33:N33" si="12">+D$10*D19</f>
        <v>0.51999200000000001</v>
      </c>
      <c r="E33" s="75">
        <f t="shared" si="12"/>
        <v>0.56328800000000012</v>
      </c>
      <c r="F33" s="75">
        <f t="shared" si="12"/>
        <v>0.49227199999999999</v>
      </c>
      <c r="G33" s="75">
        <f t="shared" si="12"/>
        <v>0.55316799999999999</v>
      </c>
      <c r="H33" s="75">
        <f t="shared" si="12"/>
        <v>0.58520000000000005</v>
      </c>
      <c r="I33" s="75">
        <f t="shared" si="12"/>
        <v>0.58722400000000008</v>
      </c>
      <c r="J33" s="75">
        <f t="shared" si="12"/>
        <v>0.58911599999999997</v>
      </c>
      <c r="K33" s="75">
        <f t="shared" si="12"/>
        <v>0.47201000000000004</v>
      </c>
      <c r="L33" s="75">
        <f t="shared" si="12"/>
        <v>0.43218000000000001</v>
      </c>
      <c r="M33" s="75">
        <f t="shared" si="12"/>
        <v>0.52559499999999992</v>
      </c>
      <c r="N33" s="75">
        <f t="shared" si="12"/>
        <v>0.57428000000000001</v>
      </c>
    </row>
    <row r="34" spans="1:14" x14ac:dyDescent="0.2">
      <c r="B34" s="66" t="s">
        <v>22</v>
      </c>
      <c r="C34" s="75">
        <f t="shared" si="5"/>
        <v>19.196999999999999</v>
      </c>
      <c r="D34" s="75">
        <f t="shared" ref="D34:N34" si="13">+D$10*D20</f>
        <v>13.295250000000001</v>
      </c>
      <c r="E34" s="75">
        <f t="shared" si="13"/>
        <v>14.402250000000002</v>
      </c>
      <c r="F34" s="75">
        <f t="shared" si="13"/>
        <v>12.586499999999999</v>
      </c>
      <c r="G34" s="75">
        <f t="shared" si="13"/>
        <v>14.1435</v>
      </c>
      <c r="H34" s="75">
        <f t="shared" si="13"/>
        <v>14.9625</v>
      </c>
      <c r="I34" s="75">
        <f t="shared" si="13"/>
        <v>15.014250000000001</v>
      </c>
      <c r="J34" s="75">
        <f t="shared" si="13"/>
        <v>15.062624999999999</v>
      </c>
      <c r="K34" s="75">
        <f t="shared" si="13"/>
        <v>9.9391820000000006</v>
      </c>
      <c r="L34" s="75">
        <f t="shared" si="13"/>
        <v>9.1004760000000005</v>
      </c>
      <c r="M34" s="75">
        <f t="shared" si="13"/>
        <v>11.067528999999999</v>
      </c>
      <c r="N34" s="75">
        <f t="shared" si="13"/>
        <v>12.092696000000002</v>
      </c>
    </row>
    <row r="35" spans="1:14" x14ac:dyDescent="0.2">
      <c r="B35" s="66" t="s">
        <v>87</v>
      </c>
      <c r="C35" s="75">
        <f t="shared" si="5"/>
        <v>7.2351359999999998</v>
      </c>
      <c r="D35" s="75">
        <f t="shared" ref="D35:N35" si="14">+D$10*D21</f>
        <v>5.0108320000000006</v>
      </c>
      <c r="E35" s="75">
        <f t="shared" si="14"/>
        <v>5.4280480000000004</v>
      </c>
      <c r="F35" s="75">
        <f t="shared" si="14"/>
        <v>4.7437119999999995</v>
      </c>
      <c r="G35" s="75">
        <f t="shared" si="14"/>
        <v>5.3305280000000002</v>
      </c>
      <c r="H35" s="75">
        <f t="shared" si="14"/>
        <v>5.6391999999999998</v>
      </c>
      <c r="I35" s="75">
        <f t="shared" si="14"/>
        <v>5.6587040000000002</v>
      </c>
      <c r="J35" s="75">
        <f t="shared" si="14"/>
        <v>5.6769359999999995</v>
      </c>
      <c r="K35" s="75">
        <f t="shared" si="14"/>
        <v>4.6256979999999999</v>
      </c>
      <c r="L35" s="75">
        <f t="shared" si="14"/>
        <v>4.2353639999999997</v>
      </c>
      <c r="M35" s="75">
        <f t="shared" si="14"/>
        <v>5.1508309999999993</v>
      </c>
      <c r="N35" s="75">
        <f t="shared" si="14"/>
        <v>5.6279440000000003</v>
      </c>
    </row>
    <row r="36" spans="1:14" x14ac:dyDescent="0.2">
      <c r="B36" s="66" t="s">
        <v>54</v>
      </c>
      <c r="C36" s="75">
        <f t="shared" si="5"/>
        <v>24.469776</v>
      </c>
      <c r="D36" s="75">
        <f t="shared" ref="D36:N36" si="15">+D$10*D22</f>
        <v>16.947012000000001</v>
      </c>
      <c r="E36" s="75">
        <f t="shared" si="15"/>
        <v>18.358068000000003</v>
      </c>
      <c r="F36" s="75">
        <f t="shared" si="15"/>
        <v>16.043592</v>
      </c>
      <c r="G36" s="75">
        <f t="shared" si="15"/>
        <v>18.028248000000001</v>
      </c>
      <c r="H36" s="75">
        <f t="shared" si="15"/>
        <v>19.072199999999999</v>
      </c>
      <c r="I36" s="75">
        <f t="shared" si="15"/>
        <v>19.138164</v>
      </c>
      <c r="J36" s="75">
        <f t="shared" si="15"/>
        <v>19.199825999999998</v>
      </c>
      <c r="K36" s="75">
        <f t="shared" si="15"/>
        <v>25.326708000000004</v>
      </c>
      <c r="L36" s="75">
        <f t="shared" si="15"/>
        <v>23.189544000000001</v>
      </c>
      <c r="M36" s="75">
        <f t="shared" si="15"/>
        <v>28.201925999999997</v>
      </c>
      <c r="N36" s="75">
        <f t="shared" si="15"/>
        <v>30.814224000000003</v>
      </c>
    </row>
    <row r="37" spans="1:14" x14ac:dyDescent="0.2">
      <c r="B37" s="66" t="s">
        <v>55</v>
      </c>
      <c r="C37" s="90">
        <f t="shared" si="5"/>
        <v>72.095399999999998</v>
      </c>
      <c r="D37" s="90">
        <f t="shared" ref="D37:N37" si="16">+D$10*D23</f>
        <v>49.931049999999999</v>
      </c>
      <c r="E37" s="90">
        <f t="shared" si="16"/>
        <v>54.088450000000002</v>
      </c>
      <c r="F37" s="90">
        <f t="shared" si="16"/>
        <v>47.269299999999994</v>
      </c>
      <c r="G37" s="90">
        <f t="shared" si="16"/>
        <v>53.116699999999994</v>
      </c>
      <c r="H37" s="90">
        <f t="shared" si="16"/>
        <v>56.192499999999995</v>
      </c>
      <c r="I37" s="90">
        <f t="shared" si="16"/>
        <v>56.386850000000003</v>
      </c>
      <c r="J37" s="90">
        <f t="shared" si="16"/>
        <v>56.568524999999994</v>
      </c>
      <c r="K37" s="90">
        <f t="shared" si="16"/>
        <v>52.986494000000008</v>
      </c>
      <c r="L37" s="90">
        <f t="shared" si="16"/>
        <v>48.515292000000002</v>
      </c>
      <c r="M37" s="90">
        <f t="shared" si="16"/>
        <v>59.001792999999999</v>
      </c>
      <c r="N37" s="90">
        <f t="shared" si="16"/>
        <v>64.467032000000003</v>
      </c>
    </row>
    <row r="38" spans="1:14" x14ac:dyDescent="0.2">
      <c r="C38" s="75">
        <f>SUM(C27:C37)</f>
        <v>170.64</v>
      </c>
      <c r="D38" s="75">
        <f t="shared" ref="D38:N38" si="17">SUM(D27:D37)</f>
        <v>118.18</v>
      </c>
      <c r="E38" s="75">
        <f t="shared" si="17"/>
        <v>128.02000000000001</v>
      </c>
      <c r="F38" s="75">
        <f t="shared" si="17"/>
        <v>111.88</v>
      </c>
      <c r="G38" s="75">
        <f t="shared" si="17"/>
        <v>125.72</v>
      </c>
      <c r="H38" s="75">
        <f t="shared" si="17"/>
        <v>133</v>
      </c>
      <c r="I38" s="75">
        <f t="shared" si="17"/>
        <v>133.46</v>
      </c>
      <c r="J38" s="75">
        <f t="shared" si="17"/>
        <v>133.88999999999999</v>
      </c>
      <c r="K38" s="75">
        <f t="shared" si="17"/>
        <v>134.86000000000001</v>
      </c>
      <c r="L38" s="75">
        <f t="shared" si="17"/>
        <v>123.48</v>
      </c>
      <c r="M38" s="75">
        <f t="shared" si="17"/>
        <v>150.16999999999999</v>
      </c>
      <c r="N38" s="75">
        <f t="shared" si="17"/>
        <v>164.08000000000004</v>
      </c>
    </row>
    <row r="40" spans="1:14" x14ac:dyDescent="0.2">
      <c r="A40" s="83" t="s">
        <v>57</v>
      </c>
    </row>
    <row r="41" spans="1:14" x14ac:dyDescent="0.2">
      <c r="B41" s="66" t="s">
        <v>23</v>
      </c>
      <c r="C41" s="94">
        <v>1</v>
      </c>
      <c r="D41" s="95">
        <v>1</v>
      </c>
      <c r="E41" s="95">
        <v>1</v>
      </c>
      <c r="F41" s="95">
        <v>1</v>
      </c>
      <c r="G41" s="95">
        <v>1</v>
      </c>
      <c r="H41" s="95">
        <v>1</v>
      </c>
      <c r="I41" s="95">
        <v>1</v>
      </c>
      <c r="J41" s="95">
        <v>1</v>
      </c>
      <c r="K41" s="95">
        <v>1</v>
      </c>
      <c r="L41" s="95">
        <v>1</v>
      </c>
      <c r="M41" s="95">
        <v>1</v>
      </c>
      <c r="N41" s="95">
        <v>1</v>
      </c>
    </row>
    <row r="42" spans="1:14" x14ac:dyDescent="0.2">
      <c r="B42" s="66" t="s">
        <v>27</v>
      </c>
      <c r="C42" s="94">
        <v>1</v>
      </c>
      <c r="D42" s="95">
        <v>1</v>
      </c>
      <c r="E42" s="95">
        <v>1</v>
      </c>
      <c r="F42" s="95">
        <v>1</v>
      </c>
      <c r="G42" s="95">
        <v>1</v>
      </c>
      <c r="H42" s="95">
        <v>1</v>
      </c>
      <c r="I42" s="95">
        <v>1</v>
      </c>
      <c r="J42" s="95">
        <v>1</v>
      </c>
      <c r="K42" s="95">
        <v>1</v>
      </c>
      <c r="L42" s="95">
        <v>1</v>
      </c>
      <c r="M42" s="95">
        <v>1</v>
      </c>
      <c r="N42" s="95">
        <v>1</v>
      </c>
    </row>
    <row r="43" spans="1:14" x14ac:dyDescent="0.2">
      <c r="B43" s="66" t="s">
        <v>49</v>
      </c>
      <c r="C43" s="94">
        <v>1</v>
      </c>
      <c r="D43" s="95">
        <v>1</v>
      </c>
      <c r="E43" s="95">
        <v>1</v>
      </c>
      <c r="F43" s="95">
        <v>1</v>
      </c>
      <c r="G43" s="95">
        <v>1</v>
      </c>
      <c r="H43" s="95">
        <v>1</v>
      </c>
      <c r="I43" s="95">
        <v>1</v>
      </c>
      <c r="J43" s="95">
        <v>1</v>
      </c>
      <c r="K43" s="95">
        <v>1</v>
      </c>
      <c r="L43" s="95">
        <v>1</v>
      </c>
      <c r="M43" s="95">
        <v>1</v>
      </c>
      <c r="N43" s="95">
        <v>1</v>
      </c>
    </row>
    <row r="44" spans="1:14" x14ac:dyDescent="0.2">
      <c r="B44" s="66" t="s">
        <v>50</v>
      </c>
      <c r="C44" s="94">
        <v>1</v>
      </c>
      <c r="D44" s="95">
        <v>1</v>
      </c>
      <c r="E44" s="95">
        <v>1</v>
      </c>
      <c r="F44" s="95">
        <v>1</v>
      </c>
      <c r="G44" s="95">
        <v>1</v>
      </c>
      <c r="H44" s="95">
        <v>1</v>
      </c>
      <c r="I44" s="95">
        <v>1</v>
      </c>
      <c r="J44" s="95">
        <v>1</v>
      </c>
      <c r="K44" s="95">
        <v>1</v>
      </c>
      <c r="L44" s="95">
        <v>1</v>
      </c>
      <c r="M44" s="95">
        <v>1</v>
      </c>
      <c r="N44" s="95">
        <v>1</v>
      </c>
    </row>
    <row r="45" spans="1:14" x14ac:dyDescent="0.2">
      <c r="B45" s="66" t="s">
        <v>51</v>
      </c>
      <c r="C45" s="94">
        <v>1</v>
      </c>
      <c r="D45" s="95">
        <v>1</v>
      </c>
      <c r="E45" s="95">
        <v>1</v>
      </c>
      <c r="F45" s="95">
        <v>1</v>
      </c>
      <c r="G45" s="95">
        <v>1</v>
      </c>
      <c r="H45" s="95">
        <v>1</v>
      </c>
      <c r="I45" s="95">
        <v>1</v>
      </c>
      <c r="J45" s="95">
        <v>1</v>
      </c>
      <c r="K45" s="95">
        <v>1</v>
      </c>
      <c r="L45" s="95">
        <v>1</v>
      </c>
      <c r="M45" s="95">
        <v>1</v>
      </c>
      <c r="N45" s="95">
        <v>1</v>
      </c>
    </row>
    <row r="46" spans="1:14" x14ac:dyDescent="0.2">
      <c r="B46" s="66" t="s">
        <v>52</v>
      </c>
      <c r="C46" s="94">
        <v>1</v>
      </c>
      <c r="D46" s="95">
        <v>1</v>
      </c>
      <c r="E46" s="95">
        <v>1</v>
      </c>
      <c r="F46" s="95">
        <v>1</v>
      </c>
      <c r="G46" s="95">
        <v>1</v>
      </c>
      <c r="H46" s="95">
        <v>1</v>
      </c>
      <c r="I46" s="95">
        <v>1</v>
      </c>
      <c r="J46" s="95">
        <v>1</v>
      </c>
      <c r="K46" s="95">
        <v>1</v>
      </c>
      <c r="L46" s="95">
        <v>1</v>
      </c>
      <c r="M46" s="95">
        <v>1</v>
      </c>
      <c r="N46" s="95">
        <v>1</v>
      </c>
    </row>
    <row r="47" spans="1:14" x14ac:dyDescent="0.2">
      <c r="B47" s="66" t="s">
        <v>53</v>
      </c>
      <c r="C47" s="94">
        <v>1</v>
      </c>
      <c r="D47" s="95">
        <v>1</v>
      </c>
      <c r="E47" s="95">
        <v>1</v>
      </c>
      <c r="F47" s="95">
        <v>1</v>
      </c>
      <c r="G47" s="95">
        <v>1</v>
      </c>
      <c r="H47" s="95">
        <v>1</v>
      </c>
      <c r="I47" s="95">
        <v>1</v>
      </c>
      <c r="J47" s="95">
        <v>1</v>
      </c>
      <c r="K47" s="95">
        <v>1</v>
      </c>
      <c r="L47" s="95">
        <v>1</v>
      </c>
      <c r="M47" s="95">
        <v>1</v>
      </c>
      <c r="N47" s="95">
        <v>1</v>
      </c>
    </row>
    <row r="48" spans="1:14" x14ac:dyDescent="0.2">
      <c r="B48" s="66" t="s">
        <v>22</v>
      </c>
      <c r="C48" s="94">
        <v>1</v>
      </c>
      <c r="D48" s="95">
        <v>1</v>
      </c>
      <c r="E48" s="95">
        <v>1</v>
      </c>
      <c r="F48" s="95">
        <v>1</v>
      </c>
      <c r="G48" s="95">
        <v>1</v>
      </c>
      <c r="H48" s="95">
        <v>1</v>
      </c>
      <c r="I48" s="95">
        <v>1</v>
      </c>
      <c r="J48" s="95">
        <v>1</v>
      </c>
      <c r="K48" s="95">
        <v>1</v>
      </c>
      <c r="L48" s="95">
        <v>1</v>
      </c>
      <c r="M48" s="95">
        <v>1</v>
      </c>
      <c r="N48" s="95">
        <v>1</v>
      </c>
    </row>
    <row r="49" spans="1:14" x14ac:dyDescent="0.2">
      <c r="B49" s="66" t="s">
        <v>87</v>
      </c>
      <c r="C49" s="94">
        <v>1</v>
      </c>
      <c r="D49" s="95">
        <v>1</v>
      </c>
      <c r="E49" s="95">
        <v>1</v>
      </c>
      <c r="F49" s="95">
        <v>1</v>
      </c>
      <c r="G49" s="95">
        <v>1</v>
      </c>
      <c r="H49" s="95">
        <v>1</v>
      </c>
      <c r="I49" s="95">
        <v>1</v>
      </c>
      <c r="J49" s="95">
        <v>1</v>
      </c>
      <c r="K49" s="95">
        <v>1</v>
      </c>
      <c r="L49" s="95">
        <v>1</v>
      </c>
      <c r="M49" s="95">
        <v>1</v>
      </c>
      <c r="N49" s="95">
        <v>1</v>
      </c>
    </row>
    <row r="50" spans="1:14" x14ac:dyDescent="0.2">
      <c r="B50" s="66" t="s">
        <v>54</v>
      </c>
      <c r="C50" s="94">
        <v>1</v>
      </c>
      <c r="D50" s="95">
        <v>1</v>
      </c>
      <c r="E50" s="95">
        <v>1</v>
      </c>
      <c r="F50" s="95">
        <v>1</v>
      </c>
      <c r="G50" s="95">
        <v>1</v>
      </c>
      <c r="H50" s="95">
        <v>1</v>
      </c>
      <c r="I50" s="95">
        <v>1</v>
      </c>
      <c r="J50" s="95">
        <v>1</v>
      </c>
      <c r="K50" s="95">
        <v>1</v>
      </c>
      <c r="L50" s="95">
        <v>1</v>
      </c>
      <c r="M50" s="95">
        <v>1</v>
      </c>
      <c r="N50" s="95">
        <v>1</v>
      </c>
    </row>
    <row r="51" spans="1:14" ht="14.25" customHeight="1" x14ac:dyDescent="0.2">
      <c r="C51" s="93"/>
      <c r="D51" s="95"/>
      <c r="E51" s="95"/>
      <c r="F51" s="95"/>
      <c r="G51" s="95"/>
      <c r="H51" s="95"/>
      <c r="I51" s="95"/>
      <c r="J51" s="95"/>
      <c r="K51" s="95"/>
      <c r="L51" s="95"/>
      <c r="M51" s="95"/>
      <c r="N51" s="95"/>
    </row>
    <row r="52" spans="1:14" x14ac:dyDescent="0.2">
      <c r="A52" s="66" t="s">
        <v>55</v>
      </c>
      <c r="C52" s="93">
        <f>+C65/C37</f>
        <v>1</v>
      </c>
      <c r="D52" s="95">
        <v>1</v>
      </c>
      <c r="E52" s="95">
        <v>1</v>
      </c>
      <c r="F52" s="95">
        <v>1</v>
      </c>
      <c r="G52" s="95">
        <v>1</v>
      </c>
      <c r="H52" s="95">
        <v>1</v>
      </c>
      <c r="I52" s="95">
        <v>1</v>
      </c>
      <c r="J52" s="95">
        <v>1</v>
      </c>
      <c r="K52" s="95">
        <v>1</v>
      </c>
      <c r="L52" s="95">
        <v>1</v>
      </c>
      <c r="M52" s="95">
        <v>1</v>
      </c>
      <c r="N52" s="95">
        <v>1</v>
      </c>
    </row>
    <row r="53" spans="1:14" x14ac:dyDescent="0.2">
      <c r="L53" s="93"/>
      <c r="N53" s="95"/>
    </row>
    <row r="54" spans="1:14" x14ac:dyDescent="0.2">
      <c r="A54" s="83" t="s">
        <v>58</v>
      </c>
      <c r="L54" s="93"/>
      <c r="N54" s="95"/>
    </row>
    <row r="55" spans="1:14" x14ac:dyDescent="0.2">
      <c r="B55" s="66" t="s">
        <v>23</v>
      </c>
      <c r="C55" s="75">
        <f t="shared" ref="C55:C64" si="18">+C27*C41</f>
        <v>0</v>
      </c>
      <c r="D55" s="75">
        <f t="shared" ref="D55:N55" si="19">+D27*D41</f>
        <v>0</v>
      </c>
      <c r="E55" s="75">
        <f>+E27*E41</f>
        <v>0</v>
      </c>
      <c r="F55" s="75">
        <f t="shared" si="19"/>
        <v>0</v>
      </c>
      <c r="G55" s="75">
        <f t="shared" si="19"/>
        <v>0</v>
      </c>
      <c r="H55" s="75">
        <f t="shared" si="19"/>
        <v>0</v>
      </c>
      <c r="I55" s="75">
        <f t="shared" si="19"/>
        <v>0</v>
      </c>
      <c r="J55" s="75">
        <f t="shared" si="19"/>
        <v>0</v>
      </c>
      <c r="K55" s="75">
        <f t="shared" si="19"/>
        <v>0</v>
      </c>
      <c r="L55" s="75">
        <f t="shared" si="19"/>
        <v>0</v>
      </c>
      <c r="M55" s="75">
        <f t="shared" si="19"/>
        <v>0</v>
      </c>
      <c r="N55" s="75">
        <f t="shared" si="19"/>
        <v>0</v>
      </c>
    </row>
    <row r="56" spans="1:14" x14ac:dyDescent="0.2">
      <c r="B56" s="66" t="s">
        <v>27</v>
      </c>
      <c r="C56" s="75">
        <f t="shared" si="18"/>
        <v>31.483079999999998</v>
      </c>
      <c r="D56" s="75">
        <f t="shared" ref="D56:N56" si="20">+D28*D42</f>
        <v>21.804210000000001</v>
      </c>
      <c r="E56" s="75">
        <f t="shared" si="20"/>
        <v>23.619690000000002</v>
      </c>
      <c r="F56" s="75">
        <f t="shared" si="20"/>
        <v>20.641859999999998</v>
      </c>
      <c r="G56" s="75">
        <f t="shared" si="20"/>
        <v>23.195339999999998</v>
      </c>
      <c r="H56" s="75">
        <f t="shared" si="20"/>
        <v>24.538499999999999</v>
      </c>
      <c r="I56" s="75">
        <f t="shared" si="20"/>
        <v>24.623370000000001</v>
      </c>
      <c r="J56" s="75">
        <f t="shared" si="20"/>
        <v>24.702704999999998</v>
      </c>
      <c r="K56" s="75">
        <f t="shared" si="20"/>
        <v>29.493882000000003</v>
      </c>
      <c r="L56" s="75">
        <f t="shared" si="20"/>
        <v>27.005076000000003</v>
      </c>
      <c r="M56" s="75">
        <f t="shared" si="20"/>
        <v>32.842179000000002</v>
      </c>
      <c r="N56" s="75">
        <f t="shared" si="20"/>
        <v>35.884296000000006</v>
      </c>
    </row>
    <row r="57" spans="1:14" x14ac:dyDescent="0.2">
      <c r="B57" s="66" t="s">
        <v>49</v>
      </c>
      <c r="C57" s="75">
        <f t="shared" si="18"/>
        <v>0</v>
      </c>
      <c r="D57" s="75">
        <f t="shared" ref="D57:N57" si="21">+D29*D43</f>
        <v>0</v>
      </c>
      <c r="E57" s="75">
        <f t="shared" si="21"/>
        <v>0</v>
      </c>
      <c r="F57" s="75">
        <f t="shared" si="21"/>
        <v>0</v>
      </c>
      <c r="G57" s="75">
        <f t="shared" si="21"/>
        <v>0</v>
      </c>
      <c r="H57" s="75">
        <f t="shared" si="21"/>
        <v>0</v>
      </c>
      <c r="I57" s="75">
        <f t="shared" si="21"/>
        <v>0</v>
      </c>
      <c r="J57" s="75">
        <f t="shared" si="21"/>
        <v>0</v>
      </c>
      <c r="K57" s="75">
        <f t="shared" si="21"/>
        <v>0</v>
      </c>
      <c r="L57" s="75">
        <f t="shared" si="21"/>
        <v>0</v>
      </c>
      <c r="M57" s="75">
        <f t="shared" si="21"/>
        <v>0</v>
      </c>
      <c r="N57" s="75">
        <f t="shared" si="21"/>
        <v>0</v>
      </c>
    </row>
    <row r="58" spans="1:14" x14ac:dyDescent="0.2">
      <c r="B58" s="66" t="s">
        <v>50</v>
      </c>
      <c r="C58" s="75">
        <f t="shared" si="18"/>
        <v>2.9862000000000002</v>
      </c>
      <c r="D58" s="75">
        <f t="shared" ref="D58:N58" si="22">+D30*D44</f>
        <v>2.0681500000000002</v>
      </c>
      <c r="E58" s="75">
        <f t="shared" si="22"/>
        <v>2.2403500000000003</v>
      </c>
      <c r="F58" s="75">
        <f t="shared" si="22"/>
        <v>1.9579000000000002</v>
      </c>
      <c r="G58" s="75">
        <f t="shared" si="22"/>
        <v>2.2001000000000004</v>
      </c>
      <c r="H58" s="75">
        <f t="shared" si="22"/>
        <v>2.3275000000000001</v>
      </c>
      <c r="I58" s="75">
        <f t="shared" si="22"/>
        <v>2.3355500000000005</v>
      </c>
      <c r="J58" s="75">
        <f t="shared" si="22"/>
        <v>2.3430749999999998</v>
      </c>
      <c r="K58" s="75">
        <f t="shared" si="22"/>
        <v>2.4139940000000002</v>
      </c>
      <c r="L58" s="75">
        <f t="shared" si="22"/>
        <v>2.2102919999999999</v>
      </c>
      <c r="M58" s="75">
        <f t="shared" si="22"/>
        <v>2.6880429999999995</v>
      </c>
      <c r="N58" s="75">
        <f t="shared" si="22"/>
        <v>2.9370320000000003</v>
      </c>
    </row>
    <row r="59" spans="1:14" x14ac:dyDescent="0.2">
      <c r="B59" s="66" t="s">
        <v>51</v>
      </c>
      <c r="C59" s="75">
        <f t="shared" si="18"/>
        <v>10.57968</v>
      </c>
      <c r="D59" s="75">
        <f t="shared" ref="D59:N59" si="23">+D31*D45</f>
        <v>7.3271600000000001</v>
      </c>
      <c r="E59" s="75">
        <f t="shared" si="23"/>
        <v>7.937240000000001</v>
      </c>
      <c r="F59" s="75">
        <f t="shared" si="23"/>
        <v>6.9365600000000001</v>
      </c>
      <c r="G59" s="75">
        <f t="shared" si="23"/>
        <v>7.7946400000000002</v>
      </c>
      <c r="H59" s="75">
        <f t="shared" si="23"/>
        <v>8.2460000000000004</v>
      </c>
      <c r="I59" s="75">
        <f t="shared" si="23"/>
        <v>8.2745200000000008</v>
      </c>
      <c r="J59" s="75">
        <f t="shared" si="23"/>
        <v>8.3011799999999987</v>
      </c>
      <c r="K59" s="75">
        <f t="shared" si="23"/>
        <v>8.0511420000000005</v>
      </c>
      <c r="L59" s="75">
        <f t="shared" si="23"/>
        <v>7.3717560000000004</v>
      </c>
      <c r="M59" s="75">
        <f t="shared" si="23"/>
        <v>8.9651490000000003</v>
      </c>
      <c r="N59" s="75">
        <f t="shared" si="23"/>
        <v>9.7955760000000005</v>
      </c>
    </row>
    <row r="60" spans="1:14" x14ac:dyDescent="0.2">
      <c r="B60" s="66" t="s">
        <v>52</v>
      </c>
      <c r="C60" s="96">
        <f t="shared" si="18"/>
        <v>1.8429119999999999</v>
      </c>
      <c r="D60" s="96">
        <f t="shared" ref="D60:N60" si="24">+D32*D46</f>
        <v>1.2763440000000001</v>
      </c>
      <c r="E60" s="96">
        <f t="shared" si="24"/>
        <v>1.3826160000000003</v>
      </c>
      <c r="F60" s="96">
        <f t="shared" si="24"/>
        <v>1.208304</v>
      </c>
      <c r="G60" s="96">
        <f t="shared" si="24"/>
        <v>1.3577760000000001</v>
      </c>
      <c r="H60" s="96">
        <f t="shared" si="24"/>
        <v>1.4364000000000001</v>
      </c>
      <c r="I60" s="96">
        <f t="shared" si="24"/>
        <v>1.4413680000000002</v>
      </c>
      <c r="J60" s="96">
        <f t="shared" si="24"/>
        <v>1.4460119999999999</v>
      </c>
      <c r="K60" s="96">
        <f t="shared" si="24"/>
        <v>1.5508900000000001</v>
      </c>
      <c r="L60" s="96">
        <f t="shared" si="24"/>
        <v>1.4200200000000001</v>
      </c>
      <c r="M60" s="96">
        <f t="shared" si="24"/>
        <v>1.7269549999999998</v>
      </c>
      <c r="N60" s="96">
        <f t="shared" si="24"/>
        <v>1.8869200000000002</v>
      </c>
    </row>
    <row r="61" spans="1:14" x14ac:dyDescent="0.2">
      <c r="B61" s="66" t="s">
        <v>53</v>
      </c>
      <c r="C61" s="75">
        <f t="shared" si="18"/>
        <v>0.75081600000000004</v>
      </c>
      <c r="D61" s="75">
        <f t="shared" ref="D61:N61" si="25">+D33*D47</f>
        <v>0.51999200000000001</v>
      </c>
      <c r="E61" s="75">
        <f t="shared" si="25"/>
        <v>0.56328800000000012</v>
      </c>
      <c r="F61" s="75">
        <f t="shared" si="25"/>
        <v>0.49227199999999999</v>
      </c>
      <c r="G61" s="75">
        <f t="shared" si="25"/>
        <v>0.55316799999999999</v>
      </c>
      <c r="H61" s="75">
        <f t="shared" si="25"/>
        <v>0.58520000000000005</v>
      </c>
      <c r="I61" s="75">
        <f t="shared" si="25"/>
        <v>0.58722400000000008</v>
      </c>
      <c r="J61" s="75">
        <f t="shared" si="25"/>
        <v>0.58911599999999997</v>
      </c>
      <c r="K61" s="75">
        <f t="shared" si="25"/>
        <v>0.47201000000000004</v>
      </c>
      <c r="L61" s="75">
        <f t="shared" si="25"/>
        <v>0.43218000000000001</v>
      </c>
      <c r="M61" s="75">
        <f t="shared" si="25"/>
        <v>0.52559499999999992</v>
      </c>
      <c r="N61" s="75">
        <f t="shared" si="25"/>
        <v>0.57428000000000001</v>
      </c>
    </row>
    <row r="62" spans="1:14" x14ac:dyDescent="0.2">
      <c r="B62" s="66" t="s">
        <v>46</v>
      </c>
      <c r="C62" s="75">
        <f t="shared" si="18"/>
        <v>19.196999999999999</v>
      </c>
      <c r="D62" s="75">
        <f t="shared" ref="D62:N62" si="26">+D34*D48</f>
        <v>13.295250000000001</v>
      </c>
      <c r="E62" s="75">
        <f t="shared" si="26"/>
        <v>14.402250000000002</v>
      </c>
      <c r="F62" s="75">
        <f t="shared" si="26"/>
        <v>12.586499999999999</v>
      </c>
      <c r="G62" s="75">
        <f t="shared" si="26"/>
        <v>14.1435</v>
      </c>
      <c r="H62" s="75">
        <f t="shared" si="26"/>
        <v>14.9625</v>
      </c>
      <c r="I62" s="75">
        <f t="shared" si="26"/>
        <v>15.014250000000001</v>
      </c>
      <c r="J62" s="75">
        <f t="shared" si="26"/>
        <v>15.062624999999999</v>
      </c>
      <c r="K62" s="75">
        <f t="shared" si="26"/>
        <v>9.9391820000000006</v>
      </c>
      <c r="L62" s="75">
        <f t="shared" si="26"/>
        <v>9.1004760000000005</v>
      </c>
      <c r="M62" s="75">
        <f t="shared" si="26"/>
        <v>11.067528999999999</v>
      </c>
      <c r="N62" s="75">
        <f t="shared" si="26"/>
        <v>12.092696000000002</v>
      </c>
    </row>
    <row r="63" spans="1:14" x14ac:dyDescent="0.2">
      <c r="B63" s="66" t="s">
        <v>87</v>
      </c>
      <c r="C63" s="75">
        <f t="shared" si="18"/>
        <v>7.2351359999999998</v>
      </c>
      <c r="D63" s="75">
        <f t="shared" ref="D63:N63" si="27">+D35*D49</f>
        <v>5.0108320000000006</v>
      </c>
      <c r="E63" s="75">
        <f t="shared" si="27"/>
        <v>5.4280480000000004</v>
      </c>
      <c r="F63" s="75">
        <f t="shared" si="27"/>
        <v>4.7437119999999995</v>
      </c>
      <c r="G63" s="75">
        <f t="shared" si="27"/>
        <v>5.3305280000000002</v>
      </c>
      <c r="H63" s="75">
        <f t="shared" si="27"/>
        <v>5.6391999999999998</v>
      </c>
      <c r="I63" s="75">
        <f t="shared" si="27"/>
        <v>5.6587040000000002</v>
      </c>
      <c r="J63" s="75">
        <f t="shared" si="27"/>
        <v>5.6769359999999995</v>
      </c>
      <c r="K63" s="75">
        <f t="shared" si="27"/>
        <v>4.6256979999999999</v>
      </c>
      <c r="L63" s="75">
        <f t="shared" si="27"/>
        <v>4.2353639999999997</v>
      </c>
      <c r="M63" s="75">
        <f t="shared" si="27"/>
        <v>5.1508309999999993</v>
      </c>
      <c r="N63" s="75">
        <f t="shared" si="27"/>
        <v>5.6279440000000003</v>
      </c>
    </row>
    <row r="64" spans="1:14" x14ac:dyDescent="0.2">
      <c r="B64" s="66" t="s">
        <v>54</v>
      </c>
      <c r="C64" s="75">
        <f t="shared" si="18"/>
        <v>24.469776</v>
      </c>
      <c r="D64" s="75">
        <f t="shared" ref="D64:N64" si="28">+D36*D50</f>
        <v>16.947012000000001</v>
      </c>
      <c r="E64" s="75">
        <f t="shared" si="28"/>
        <v>18.358068000000003</v>
      </c>
      <c r="F64" s="75">
        <f t="shared" si="28"/>
        <v>16.043592</v>
      </c>
      <c r="G64" s="75">
        <f t="shared" si="28"/>
        <v>18.028248000000001</v>
      </c>
      <c r="H64" s="75">
        <f t="shared" si="28"/>
        <v>19.072199999999999</v>
      </c>
      <c r="I64" s="75">
        <f t="shared" si="28"/>
        <v>19.138164</v>
      </c>
      <c r="J64" s="75">
        <f t="shared" si="28"/>
        <v>19.199825999999998</v>
      </c>
      <c r="K64" s="75">
        <f t="shared" si="28"/>
        <v>25.326708000000004</v>
      </c>
      <c r="L64" s="75">
        <f t="shared" si="28"/>
        <v>23.189544000000001</v>
      </c>
      <c r="M64" s="75">
        <f t="shared" si="28"/>
        <v>28.201925999999997</v>
      </c>
      <c r="N64" s="75">
        <f t="shared" si="28"/>
        <v>30.814224000000003</v>
      </c>
    </row>
    <row r="65" spans="1:22" x14ac:dyDescent="0.2">
      <c r="B65" s="66" t="s">
        <v>55</v>
      </c>
      <c r="C65" s="90">
        <f>+C7-SUM(C55:C64)</f>
        <v>72.095399999999998</v>
      </c>
      <c r="D65" s="90">
        <f t="shared" ref="D65:N65" si="29">+D7-SUM(D55:D64)</f>
        <v>49.931049999999999</v>
      </c>
      <c r="E65" s="90">
        <f t="shared" si="29"/>
        <v>54.088450000000009</v>
      </c>
      <c r="F65" s="90">
        <f t="shared" si="29"/>
        <v>47.269300000000001</v>
      </c>
      <c r="G65" s="90">
        <f t="shared" si="29"/>
        <v>53.116699999999994</v>
      </c>
      <c r="H65" s="90">
        <f t="shared" si="29"/>
        <v>56.192499999999995</v>
      </c>
      <c r="I65" s="90">
        <f t="shared" si="29"/>
        <v>56.38685000000001</v>
      </c>
      <c r="J65" s="90">
        <f t="shared" si="29"/>
        <v>56.568524999999994</v>
      </c>
      <c r="K65" s="90">
        <f t="shared" si="29"/>
        <v>52.986494000000008</v>
      </c>
      <c r="L65" s="90">
        <f t="shared" si="29"/>
        <v>48.515292000000002</v>
      </c>
      <c r="M65" s="90">
        <f t="shared" si="29"/>
        <v>59.001792999999992</v>
      </c>
      <c r="N65" s="90">
        <f t="shared" si="29"/>
        <v>64.467031999999989</v>
      </c>
    </row>
    <row r="66" spans="1:22" x14ac:dyDescent="0.2">
      <c r="C66" s="75">
        <f>SUM(C55:C65)</f>
        <v>170.64</v>
      </c>
      <c r="D66" s="75">
        <f t="shared" ref="D66:N66" si="30">SUM(D55:D65)</f>
        <v>118.18</v>
      </c>
      <c r="E66" s="75">
        <f t="shared" si="30"/>
        <v>128.02000000000001</v>
      </c>
      <c r="F66" s="75">
        <f t="shared" si="30"/>
        <v>111.88</v>
      </c>
      <c r="G66" s="75">
        <f t="shared" si="30"/>
        <v>125.72</v>
      </c>
      <c r="H66" s="75">
        <f t="shared" si="30"/>
        <v>133</v>
      </c>
      <c r="I66" s="75">
        <f t="shared" si="30"/>
        <v>133.46</v>
      </c>
      <c r="J66" s="75">
        <f t="shared" si="30"/>
        <v>133.88999999999999</v>
      </c>
      <c r="K66" s="75">
        <f t="shared" si="30"/>
        <v>134.86000000000001</v>
      </c>
      <c r="L66" s="75">
        <f t="shared" si="30"/>
        <v>123.48</v>
      </c>
      <c r="M66" s="75">
        <f t="shared" si="30"/>
        <v>150.16999999999999</v>
      </c>
      <c r="N66" s="75">
        <f t="shared" si="30"/>
        <v>164.08</v>
      </c>
    </row>
    <row r="67" spans="1:22" ht="8.1" customHeight="1" x14ac:dyDescent="0.2"/>
    <row r="68" spans="1:22" ht="14.4" x14ac:dyDescent="0.3">
      <c r="A68" s="97" t="s">
        <v>59</v>
      </c>
      <c r="S68" s="147"/>
      <c r="T68" s="147"/>
    </row>
    <row r="69" spans="1:22" ht="13.2" x14ac:dyDescent="0.25">
      <c r="B69" s="66" t="s">
        <v>23</v>
      </c>
      <c r="C69" s="180">
        <v>0</v>
      </c>
      <c r="D69" s="180">
        <v>0</v>
      </c>
      <c r="E69" s="180">
        <v>0</v>
      </c>
      <c r="F69" s="180">
        <v>0</v>
      </c>
      <c r="G69" s="181">
        <v>0</v>
      </c>
      <c r="H69" s="181">
        <v>0</v>
      </c>
      <c r="I69" s="180">
        <v>0</v>
      </c>
      <c r="J69" s="180">
        <v>0</v>
      </c>
      <c r="K69" s="180">
        <v>0</v>
      </c>
      <c r="L69" s="182">
        <v>0</v>
      </c>
      <c r="M69" s="182">
        <v>0</v>
      </c>
      <c r="N69" s="182">
        <v>0</v>
      </c>
      <c r="Q69" s="149"/>
      <c r="R69" s="60"/>
      <c r="S69" s="150"/>
      <c r="T69" s="150"/>
      <c r="U69" s="150"/>
      <c r="V69" s="150"/>
    </row>
    <row r="70" spans="1:22" ht="13.2" x14ac:dyDescent="0.25">
      <c r="B70" s="66" t="s">
        <v>27</v>
      </c>
      <c r="C70" s="180">
        <v>46.536000000000001</v>
      </c>
      <c r="D70" s="180">
        <v>46.432000000000002</v>
      </c>
      <c r="E70" s="180">
        <v>46.488</v>
      </c>
      <c r="F70" s="180">
        <v>49.024000000000001</v>
      </c>
      <c r="G70" s="181">
        <v>42.736000000000004</v>
      </c>
      <c r="H70" s="181">
        <v>39.6</v>
      </c>
      <c r="I70" s="180">
        <v>39.44</v>
      </c>
      <c r="J70" s="180">
        <v>33.808</v>
      </c>
      <c r="K70" s="180">
        <v>49.104000000000006</v>
      </c>
      <c r="L70" s="180">
        <v>61.256</v>
      </c>
      <c r="M70" s="180">
        <v>77.816000000000003</v>
      </c>
      <c r="N70" s="180">
        <v>87.360000000000014</v>
      </c>
      <c r="Q70" s="149"/>
      <c r="R70" s="60"/>
      <c r="S70" s="150"/>
      <c r="T70" s="150"/>
      <c r="U70" s="150"/>
      <c r="V70" s="150"/>
    </row>
    <row r="71" spans="1:22" ht="13.2" x14ac:dyDescent="0.25">
      <c r="B71" s="66" t="s">
        <v>49</v>
      </c>
      <c r="C71" s="180">
        <v>0</v>
      </c>
      <c r="D71" s="180">
        <v>0</v>
      </c>
      <c r="E71" s="180">
        <v>0</v>
      </c>
      <c r="F71" s="180">
        <v>0</v>
      </c>
      <c r="G71" s="181">
        <v>0</v>
      </c>
      <c r="H71" s="181">
        <v>0</v>
      </c>
      <c r="I71" s="180">
        <v>0</v>
      </c>
      <c r="J71" s="180">
        <v>0</v>
      </c>
      <c r="K71" s="180">
        <v>0</v>
      </c>
      <c r="L71" s="180">
        <v>0</v>
      </c>
      <c r="M71" s="180">
        <v>0</v>
      </c>
      <c r="N71" s="180">
        <v>0</v>
      </c>
      <c r="Q71" s="149"/>
      <c r="R71" s="60"/>
      <c r="S71" s="150"/>
      <c r="T71" s="150"/>
      <c r="U71" s="150"/>
      <c r="V71" s="150"/>
    </row>
    <row r="72" spans="1:22" ht="13.2" x14ac:dyDescent="0.25">
      <c r="B72" s="66" t="s">
        <v>50</v>
      </c>
      <c r="C72" s="180">
        <v>78.888000000000005</v>
      </c>
      <c r="D72" s="180">
        <v>79.384000000000015</v>
      </c>
      <c r="E72" s="180">
        <v>77.312000000000012</v>
      </c>
      <c r="F72" s="180">
        <v>79.232000000000014</v>
      </c>
      <c r="G72" s="181">
        <v>72.712000000000003</v>
      </c>
      <c r="H72" s="181">
        <v>63.903999999999996</v>
      </c>
      <c r="I72" s="180">
        <v>75.664000000000001</v>
      </c>
      <c r="J72" s="180">
        <v>84.927999999999997</v>
      </c>
      <c r="K72" s="180">
        <v>100.072</v>
      </c>
      <c r="L72" s="180">
        <v>88.112000000000009</v>
      </c>
      <c r="M72" s="180">
        <v>88.463999999999999</v>
      </c>
      <c r="N72" s="180">
        <v>58.960000000000008</v>
      </c>
      <c r="Q72" s="149"/>
      <c r="R72" s="60"/>
      <c r="S72" s="150"/>
      <c r="T72" s="150"/>
      <c r="U72" s="150"/>
      <c r="V72" s="150"/>
    </row>
    <row r="73" spans="1:22" ht="13.2" x14ac:dyDescent="0.25">
      <c r="B73" s="66" t="s">
        <v>51</v>
      </c>
      <c r="C73" s="180">
        <v>91.139148387096753</v>
      </c>
      <c r="D73" s="180">
        <v>87.110709677419337</v>
      </c>
      <c r="E73" s="180">
        <f>73.3967483870968</f>
        <v>73.396748387096807</v>
      </c>
      <c r="F73" s="180">
        <v>44.623664516129033</v>
      </c>
      <c r="G73" s="181">
        <v>50.163174193548386</v>
      </c>
      <c r="H73" s="181">
        <v>32.19341935483871</v>
      </c>
      <c r="I73" s="180">
        <v>43.972916129032299</v>
      </c>
      <c r="J73" s="180">
        <v>67.076283870967742</v>
      </c>
      <c r="K73" s="180">
        <v>104.12982914572862</v>
      </c>
      <c r="L73" s="180">
        <v>111.3465527638191</v>
      </c>
      <c r="M73" s="180">
        <v>86.397949748743713</v>
      </c>
      <c r="N73" s="180">
        <v>69.097936348408709</v>
      </c>
      <c r="Q73" s="149"/>
      <c r="R73" s="60"/>
      <c r="S73" s="150"/>
      <c r="T73" s="150"/>
      <c r="U73" s="150"/>
      <c r="V73" s="150"/>
    </row>
    <row r="74" spans="1:22" ht="13.2" x14ac:dyDescent="0.25">
      <c r="B74" s="66" t="s">
        <v>52</v>
      </c>
      <c r="C74" s="180">
        <v>822</v>
      </c>
      <c r="D74" s="180">
        <v>800.06400000000008</v>
      </c>
      <c r="E74" s="180">
        <v>724.95200000000011</v>
      </c>
      <c r="F74" s="180">
        <v>680.40000000000009</v>
      </c>
      <c r="G74" s="181">
        <v>663.01600000000008</v>
      </c>
      <c r="H74" s="181">
        <v>718.5920000000001</v>
      </c>
      <c r="I74" s="180">
        <v>677.26400000000012</v>
      </c>
      <c r="J74" s="180">
        <v>695.32</v>
      </c>
      <c r="K74" s="180">
        <v>687.22400000000005</v>
      </c>
      <c r="L74" s="180">
        <v>654.64800000000002</v>
      </c>
      <c r="M74" s="180">
        <v>700.69600000000003</v>
      </c>
      <c r="N74" s="180">
        <v>603.48</v>
      </c>
      <c r="Q74" s="149"/>
      <c r="R74" s="60"/>
      <c r="S74" s="150"/>
      <c r="T74" s="150"/>
      <c r="U74" s="150"/>
      <c r="V74" s="150"/>
    </row>
    <row r="75" spans="1:22" ht="13.2" x14ac:dyDescent="0.25">
      <c r="B75" s="66" t="s">
        <v>53</v>
      </c>
      <c r="C75" s="180">
        <v>45.360000000000007</v>
      </c>
      <c r="D75" s="180">
        <v>45.704000000000008</v>
      </c>
      <c r="E75" s="180">
        <v>45.712000000000003</v>
      </c>
      <c r="F75" s="180">
        <v>49.304000000000002</v>
      </c>
      <c r="G75" s="181">
        <v>44.288000000000004</v>
      </c>
      <c r="H75" s="181">
        <v>40.584000000000003</v>
      </c>
      <c r="I75" s="180">
        <v>49.6</v>
      </c>
      <c r="J75" s="180">
        <v>57.344000000000008</v>
      </c>
      <c r="K75" s="180">
        <v>67.84</v>
      </c>
      <c r="L75" s="180">
        <v>60.032000000000011</v>
      </c>
      <c r="M75" s="180">
        <v>61.00800000000001</v>
      </c>
      <c r="N75" s="180">
        <v>38.128</v>
      </c>
      <c r="Q75" s="103"/>
      <c r="R75" s="60"/>
      <c r="S75" s="150"/>
      <c r="T75" s="150"/>
      <c r="U75" s="150"/>
      <c r="V75" s="150"/>
    </row>
    <row r="76" spans="1:22" ht="14.4" x14ac:dyDescent="0.3">
      <c r="B76" s="66" t="s">
        <v>46</v>
      </c>
      <c r="C76" s="180">
        <v>-5.29</v>
      </c>
      <c r="D76" s="180">
        <v>-6.25</v>
      </c>
      <c r="E76" s="180">
        <v>1.2000000000000002</v>
      </c>
      <c r="F76" s="180">
        <v>2.7520000000000002</v>
      </c>
      <c r="G76" s="181">
        <v>6.048</v>
      </c>
      <c r="H76" s="181">
        <v>6.2480000000000002</v>
      </c>
      <c r="I76" s="180">
        <v>3.2320000000000002</v>
      </c>
      <c r="J76" s="180">
        <v>5.152000000000001</v>
      </c>
      <c r="K76" s="180">
        <v>6.008</v>
      </c>
      <c r="L76" s="180">
        <v>2.4079999999999999</v>
      </c>
      <c r="M76" s="180">
        <v>6.4560000000000004</v>
      </c>
      <c r="N76" s="180">
        <v>3.8159999999999998</v>
      </c>
      <c r="Q76" s="151"/>
      <c r="R76" s="60"/>
      <c r="S76" s="150"/>
      <c r="T76" s="150"/>
      <c r="U76" s="150"/>
      <c r="V76" s="150"/>
    </row>
    <row r="77" spans="1:22" x14ac:dyDescent="0.2">
      <c r="B77" s="66" t="s">
        <v>87</v>
      </c>
      <c r="C77" s="182">
        <v>0</v>
      </c>
      <c r="D77" s="182">
        <v>0</v>
      </c>
      <c r="E77" s="182">
        <v>0</v>
      </c>
      <c r="F77" s="182">
        <v>0</v>
      </c>
      <c r="G77" s="183">
        <v>0</v>
      </c>
      <c r="H77" s="183">
        <v>0</v>
      </c>
      <c r="I77" s="182">
        <v>0</v>
      </c>
      <c r="J77" s="182">
        <v>0</v>
      </c>
      <c r="K77" s="182">
        <v>0</v>
      </c>
      <c r="L77" s="182">
        <v>0</v>
      </c>
      <c r="M77" s="182">
        <v>0</v>
      </c>
      <c r="N77" s="182">
        <v>0</v>
      </c>
    </row>
    <row r="78" spans="1:22" x14ac:dyDescent="0.2">
      <c r="B78" s="66" t="s">
        <v>54</v>
      </c>
      <c r="C78" s="182">
        <v>-77.290000000000006</v>
      </c>
      <c r="D78" s="182">
        <v>-77.290000000000006</v>
      </c>
      <c r="E78" s="182">
        <v>-77.290000000000006</v>
      </c>
      <c r="F78" s="182">
        <v>-77.290000000000006</v>
      </c>
      <c r="G78" s="183">
        <v>-77.290000000000006</v>
      </c>
      <c r="H78" s="183">
        <v>-81.319999999999993</v>
      </c>
      <c r="I78" s="182">
        <v>-81.319999999999993</v>
      </c>
      <c r="J78" s="182">
        <v>-81.319999999999993</v>
      </c>
      <c r="K78" s="182">
        <v>-154.67000000000002</v>
      </c>
      <c r="L78" s="182">
        <v>-149.94</v>
      </c>
      <c r="M78" s="182">
        <v>-140.9</v>
      </c>
      <c r="N78" s="182">
        <v>-137.41</v>
      </c>
    </row>
    <row r="79" spans="1:22" ht="14.4" x14ac:dyDescent="0.3">
      <c r="B79" s="66" t="s">
        <v>55</v>
      </c>
      <c r="C79" s="180">
        <v>14.391999999999999</v>
      </c>
      <c r="D79" s="180">
        <v>13.991999999999999</v>
      </c>
      <c r="E79" s="180">
        <v>10.752000000000001</v>
      </c>
      <c r="F79" s="180">
        <v>4.1120000000000001</v>
      </c>
      <c r="G79" s="181">
        <v>-0.75</v>
      </c>
      <c r="H79" s="181">
        <v>-14.77</v>
      </c>
      <c r="I79" s="180">
        <v>3.9520000000000004</v>
      </c>
      <c r="J79" s="180">
        <v>4.4320000000000004</v>
      </c>
      <c r="K79" s="180">
        <v>5.8320000000000007</v>
      </c>
      <c r="L79" s="180">
        <v>9.952</v>
      </c>
      <c r="M79" s="180">
        <v>11.136000000000001</v>
      </c>
      <c r="N79" s="182">
        <v>2.7360000000000002</v>
      </c>
      <c r="O79" s="111">
        <f>SUM(C69:N79)</f>
        <v>10344.658332522828</v>
      </c>
      <c r="Q79" s="147"/>
      <c r="R79" s="147"/>
      <c r="S79" s="148"/>
      <c r="T79" s="148"/>
    </row>
    <row r="80" spans="1:22" ht="8.1" customHeight="1" x14ac:dyDescent="0.2"/>
    <row r="81" spans="1:16" x14ac:dyDescent="0.2">
      <c r="A81" s="83" t="s">
        <v>60</v>
      </c>
    </row>
    <row r="82" spans="1:16" x14ac:dyDescent="0.2">
      <c r="B82" s="66" t="s">
        <v>23</v>
      </c>
      <c r="C82" s="98">
        <f>+C69*C55</f>
        <v>0</v>
      </c>
      <c r="D82" s="75">
        <f t="shared" ref="D82:M82" si="31">+D69*D55</f>
        <v>0</v>
      </c>
      <c r="E82" s="75">
        <f>+E69*E55</f>
        <v>0</v>
      </c>
      <c r="F82" s="75">
        <f>+F69*F55</f>
        <v>0</v>
      </c>
      <c r="G82" s="75">
        <f t="shared" si="31"/>
        <v>0</v>
      </c>
      <c r="H82" s="75">
        <f t="shared" si="31"/>
        <v>0</v>
      </c>
      <c r="I82" s="75">
        <f>+I69*I55</f>
        <v>0</v>
      </c>
      <c r="J82" s="75">
        <f t="shared" si="31"/>
        <v>0</v>
      </c>
      <c r="K82" s="75">
        <f t="shared" si="31"/>
        <v>0</v>
      </c>
      <c r="L82" s="75">
        <f t="shared" si="31"/>
        <v>0</v>
      </c>
      <c r="M82" s="75">
        <f t="shared" si="31"/>
        <v>0</v>
      </c>
      <c r="N82" s="75">
        <f>+N69*N55</f>
        <v>0</v>
      </c>
    </row>
    <row r="83" spans="1:16" x14ac:dyDescent="0.2">
      <c r="B83" s="66" t="s">
        <v>27</v>
      </c>
      <c r="C83" s="98">
        <f t="shared" ref="C83:N83" si="32">+C70*C56</f>
        <v>1465.0966108799998</v>
      </c>
      <c r="D83" s="75">
        <f t="shared" si="32"/>
        <v>1012.4130787200002</v>
      </c>
      <c r="E83" s="75">
        <f t="shared" si="32"/>
        <v>1098.0321487200001</v>
      </c>
      <c r="F83" s="75">
        <f t="shared" si="32"/>
        <v>1011.94654464</v>
      </c>
      <c r="G83" s="75">
        <f t="shared" si="32"/>
        <v>991.27605024000002</v>
      </c>
      <c r="H83" s="75">
        <f>+H70*H56</f>
        <v>971.72460000000001</v>
      </c>
      <c r="I83" s="75">
        <f t="shared" si="32"/>
        <v>971.14571279999996</v>
      </c>
      <c r="J83" s="75">
        <f t="shared" si="32"/>
        <v>835.14905063999993</v>
      </c>
      <c r="K83" s="75">
        <f t="shared" si="32"/>
        <v>1448.2675817280003</v>
      </c>
      <c r="L83" s="75">
        <f t="shared" si="32"/>
        <v>1654.2229354560002</v>
      </c>
      <c r="M83" s="75">
        <f t="shared" si="32"/>
        <v>2555.6470010640001</v>
      </c>
      <c r="N83" s="75">
        <f t="shared" si="32"/>
        <v>3134.8520985600012</v>
      </c>
    </row>
    <row r="84" spans="1:16" x14ac:dyDescent="0.2">
      <c r="B84" s="66" t="s">
        <v>49</v>
      </c>
      <c r="C84" s="98">
        <f t="shared" ref="C84:N84" si="33">+C71*C57</f>
        <v>0</v>
      </c>
      <c r="D84" s="75">
        <f t="shared" si="33"/>
        <v>0</v>
      </c>
      <c r="E84" s="75">
        <f t="shared" si="33"/>
        <v>0</v>
      </c>
      <c r="F84" s="75">
        <f t="shared" si="33"/>
        <v>0</v>
      </c>
      <c r="G84" s="75">
        <f t="shared" si="33"/>
        <v>0</v>
      </c>
      <c r="H84" s="75">
        <f t="shared" si="33"/>
        <v>0</v>
      </c>
      <c r="I84" s="75"/>
      <c r="J84" s="75">
        <f t="shared" si="33"/>
        <v>0</v>
      </c>
      <c r="K84" s="75">
        <f t="shared" si="33"/>
        <v>0</v>
      </c>
      <c r="L84" s="75">
        <f t="shared" si="33"/>
        <v>0</v>
      </c>
      <c r="M84" s="75">
        <f t="shared" si="33"/>
        <v>0</v>
      </c>
      <c r="N84" s="75">
        <f t="shared" si="33"/>
        <v>0</v>
      </c>
    </row>
    <row r="85" spans="1:16" x14ac:dyDescent="0.2">
      <c r="B85" s="66" t="s">
        <v>50</v>
      </c>
      <c r="C85" s="98">
        <f t="shared" ref="C85:N85" si="34">+C72*C58</f>
        <v>235.57534560000002</v>
      </c>
      <c r="D85" s="75">
        <f t="shared" si="34"/>
        <v>164.17801960000006</v>
      </c>
      <c r="E85" s="75">
        <f t="shared" si="34"/>
        <v>173.20593920000005</v>
      </c>
      <c r="F85" s="75">
        <f t="shared" si="34"/>
        <v>155.12833280000004</v>
      </c>
      <c r="G85" s="75">
        <f t="shared" si="34"/>
        <v>159.97367120000004</v>
      </c>
      <c r="H85" s="75">
        <f t="shared" si="34"/>
        <v>148.73656</v>
      </c>
      <c r="I85" s="75">
        <f t="shared" si="34"/>
        <v>176.71705520000003</v>
      </c>
      <c r="J85" s="75">
        <f t="shared" si="34"/>
        <v>198.99267359999999</v>
      </c>
      <c r="K85" s="75">
        <f t="shared" si="34"/>
        <v>241.57320756800002</v>
      </c>
      <c r="L85" s="75">
        <f t="shared" si="34"/>
        <v>194.75324870400001</v>
      </c>
      <c r="M85" s="75">
        <f t="shared" si="34"/>
        <v>237.79503595199995</v>
      </c>
      <c r="N85" s="75">
        <f t="shared" si="34"/>
        <v>173.16740672000003</v>
      </c>
    </row>
    <row r="86" spans="1:16" x14ac:dyDescent="0.2">
      <c r="B86" s="66" t="s">
        <v>51</v>
      </c>
      <c r="C86" s="98">
        <f t="shared" ref="C86:N86" si="35">+C73*C59</f>
        <v>964.22302540799978</v>
      </c>
      <c r="D86" s="75">
        <f t="shared" si="35"/>
        <v>638.27410751999992</v>
      </c>
      <c r="E86" s="75">
        <f t="shared" si="35"/>
        <v>582.56760716800034</v>
      </c>
      <c r="F86" s="75">
        <f t="shared" si="35"/>
        <v>309.53472633600001</v>
      </c>
      <c r="G86" s="75">
        <f t="shared" si="35"/>
        <v>391.00388409599998</v>
      </c>
      <c r="H86" s="75">
        <f t="shared" si="35"/>
        <v>265.46693600000003</v>
      </c>
      <c r="I86" s="75">
        <f t="shared" si="35"/>
        <v>363.85477396800036</v>
      </c>
      <c r="J86" s="75">
        <f t="shared" si="35"/>
        <v>556.81230614399988</v>
      </c>
      <c r="K86" s="75">
        <f t="shared" si="35"/>
        <v>838.36404088799986</v>
      </c>
      <c r="L86" s="75">
        <f t="shared" si="35"/>
        <v>820.81961841600014</v>
      </c>
      <c r="M86" s="75">
        <f t="shared" si="35"/>
        <v>774.57049279199998</v>
      </c>
      <c r="N86" s="75">
        <f t="shared" si="35"/>
        <v>676.85408694400007</v>
      </c>
    </row>
    <row r="87" spans="1:16" x14ac:dyDescent="0.2">
      <c r="B87" s="66" t="s">
        <v>52</v>
      </c>
      <c r="C87" s="98">
        <f t="shared" ref="C87:N87" si="36">+C74*C60</f>
        <v>1514.873664</v>
      </c>
      <c r="D87" s="75">
        <f t="shared" si="36"/>
        <v>1021.1568860160003</v>
      </c>
      <c r="E87" s="75">
        <f t="shared" si="36"/>
        <v>1002.3302344320003</v>
      </c>
      <c r="F87" s="75">
        <f t="shared" si="36"/>
        <v>822.13004160000014</v>
      </c>
      <c r="G87" s="75">
        <f t="shared" si="36"/>
        <v>900.22721241600016</v>
      </c>
      <c r="H87" s="75">
        <f t="shared" si="36"/>
        <v>1032.1855488000003</v>
      </c>
      <c r="I87" s="75">
        <f t="shared" si="36"/>
        <v>976.18665715200029</v>
      </c>
      <c r="J87" s="75">
        <f t="shared" si="36"/>
        <v>1005.44106384</v>
      </c>
      <c r="K87" s="75">
        <f t="shared" si="36"/>
        <v>1065.8088293600001</v>
      </c>
      <c r="L87" s="75">
        <f t="shared" si="36"/>
        <v>929.61325296000007</v>
      </c>
      <c r="M87" s="75">
        <f t="shared" si="36"/>
        <v>1210.07046068</v>
      </c>
      <c r="N87" s="75">
        <f t="shared" si="36"/>
        <v>1138.7184816000001</v>
      </c>
    </row>
    <row r="88" spans="1:16" x14ac:dyDescent="0.2">
      <c r="B88" s="66" t="s">
        <v>53</v>
      </c>
      <c r="C88" s="98">
        <f t="shared" ref="C88:N88" si="37">+C75*C61</f>
        <v>34.057013760000004</v>
      </c>
      <c r="D88" s="75">
        <f t="shared" si="37"/>
        <v>23.765714368000005</v>
      </c>
      <c r="E88" s="75">
        <f t="shared" si="37"/>
        <v>25.749021056000007</v>
      </c>
      <c r="F88" s="75">
        <f t="shared" si="37"/>
        <v>24.270978688</v>
      </c>
      <c r="G88" s="75">
        <f t="shared" si="37"/>
        <v>24.498704384000003</v>
      </c>
      <c r="H88" s="75">
        <f t="shared" si="37"/>
        <v>23.749756800000004</v>
      </c>
      <c r="I88" s="75">
        <f t="shared" si="37"/>
        <v>29.126310400000005</v>
      </c>
      <c r="J88" s="75">
        <f t="shared" si="37"/>
        <v>33.782267904000001</v>
      </c>
      <c r="K88" s="75">
        <f t="shared" si="37"/>
        <v>32.021158400000004</v>
      </c>
      <c r="L88" s="75">
        <f t="shared" si="37"/>
        <v>25.944629760000005</v>
      </c>
      <c r="M88" s="75">
        <f t="shared" si="37"/>
        <v>32.065499760000002</v>
      </c>
      <c r="N88" s="75">
        <f t="shared" si="37"/>
        <v>21.896147840000001</v>
      </c>
    </row>
    <row r="89" spans="1:16" x14ac:dyDescent="0.2">
      <c r="B89" s="66" t="s">
        <v>46</v>
      </c>
      <c r="C89" s="98">
        <f t="shared" ref="C89:N89" si="38">+C76*C62</f>
        <v>-101.55212999999999</v>
      </c>
      <c r="D89" s="75">
        <f t="shared" si="38"/>
        <v>-83.095312500000006</v>
      </c>
      <c r="E89" s="75">
        <f t="shared" si="38"/>
        <v>17.282700000000006</v>
      </c>
      <c r="F89" s="75">
        <f t="shared" si="38"/>
        <v>34.638047999999998</v>
      </c>
      <c r="G89" s="75">
        <f t="shared" si="38"/>
        <v>85.539887999999991</v>
      </c>
      <c r="H89" s="75">
        <f t="shared" si="38"/>
        <v>93.485700000000008</v>
      </c>
      <c r="I89" s="75">
        <f t="shared" si="38"/>
        <v>48.526056000000004</v>
      </c>
      <c r="J89" s="75">
        <f t="shared" si="38"/>
        <v>77.602644000000012</v>
      </c>
      <c r="K89" s="75">
        <f t="shared" si="38"/>
        <v>59.714605456000001</v>
      </c>
      <c r="L89" s="75">
        <f t="shared" si="38"/>
        <v>21.913946207999999</v>
      </c>
      <c r="M89" s="75">
        <f t="shared" si="38"/>
        <v>71.451967224000001</v>
      </c>
      <c r="N89" s="75">
        <f t="shared" si="38"/>
        <v>46.145727936000007</v>
      </c>
    </row>
    <row r="90" spans="1:16" x14ac:dyDescent="0.2">
      <c r="B90" s="66" t="s">
        <v>87</v>
      </c>
      <c r="C90" s="98">
        <f t="shared" ref="C90:N90" si="39">+C77*C63</f>
        <v>0</v>
      </c>
      <c r="D90" s="75">
        <f t="shared" si="39"/>
        <v>0</v>
      </c>
      <c r="E90" s="75">
        <f t="shared" si="39"/>
        <v>0</v>
      </c>
      <c r="F90" s="75">
        <f t="shared" si="39"/>
        <v>0</v>
      </c>
      <c r="G90" s="75">
        <f t="shared" si="39"/>
        <v>0</v>
      </c>
      <c r="H90" s="75">
        <f t="shared" si="39"/>
        <v>0</v>
      </c>
      <c r="I90" s="75">
        <f t="shared" si="39"/>
        <v>0</v>
      </c>
      <c r="J90" s="75">
        <f t="shared" si="39"/>
        <v>0</v>
      </c>
      <c r="K90" s="75">
        <f t="shared" si="39"/>
        <v>0</v>
      </c>
      <c r="L90" s="75">
        <f t="shared" si="39"/>
        <v>0</v>
      </c>
      <c r="M90" s="75">
        <f t="shared" si="39"/>
        <v>0</v>
      </c>
      <c r="N90" s="75">
        <f t="shared" si="39"/>
        <v>0</v>
      </c>
    </row>
    <row r="91" spans="1:16" x14ac:dyDescent="0.2">
      <c r="B91" s="66" t="s">
        <v>54</v>
      </c>
      <c r="C91" s="98">
        <f t="shared" ref="C91:N91" si="40">+C78*C64</f>
        <v>-1891.2689870400002</v>
      </c>
      <c r="D91" s="75">
        <f t="shared" si="40"/>
        <v>-1309.8345574800003</v>
      </c>
      <c r="E91" s="75">
        <f t="shared" si="40"/>
        <v>-1418.8950757200002</v>
      </c>
      <c r="F91" s="75">
        <f t="shared" si="40"/>
        <v>-1240.0092256800001</v>
      </c>
      <c r="G91" s="75">
        <f t="shared" si="40"/>
        <v>-1393.4032879200001</v>
      </c>
      <c r="H91" s="75">
        <f t="shared" si="40"/>
        <v>-1550.9513039999997</v>
      </c>
      <c r="I91" s="75">
        <f t="shared" si="40"/>
        <v>-1556.3154964799999</v>
      </c>
      <c r="J91" s="75">
        <f t="shared" si="40"/>
        <v>-1561.3298503199997</v>
      </c>
      <c r="K91" s="75">
        <f t="shared" si="40"/>
        <v>-3917.2819263600009</v>
      </c>
      <c r="L91" s="75">
        <f t="shared" si="40"/>
        <v>-3477.0402273600002</v>
      </c>
      <c r="M91" s="75">
        <f t="shared" si="40"/>
        <v>-3973.6513733999996</v>
      </c>
      <c r="N91" s="75">
        <f t="shared" si="40"/>
        <v>-4234.1825198400002</v>
      </c>
    </row>
    <row r="92" spans="1:16" x14ac:dyDescent="0.2">
      <c r="B92" s="66" t="s">
        <v>55</v>
      </c>
      <c r="C92" s="99">
        <f t="shared" ref="C92:N92" si="41">+C79*C65</f>
        <v>1037.5969967999999</v>
      </c>
      <c r="D92" s="90">
        <f t="shared" si="41"/>
        <v>698.63525159999995</v>
      </c>
      <c r="E92" s="90">
        <f t="shared" si="41"/>
        <v>581.55901440000014</v>
      </c>
      <c r="F92" s="90">
        <f t="shared" si="41"/>
        <v>194.3713616</v>
      </c>
      <c r="G92" s="90">
        <f t="shared" si="41"/>
        <v>-39.837524999999999</v>
      </c>
      <c r="H92" s="90">
        <f t="shared" si="41"/>
        <v>-829.96322499999985</v>
      </c>
      <c r="I92" s="90">
        <f t="shared" si="41"/>
        <v>222.84083120000005</v>
      </c>
      <c r="J92" s="90">
        <f t="shared" si="41"/>
        <v>250.71170279999998</v>
      </c>
      <c r="K92" s="75">
        <f t="shared" si="41"/>
        <v>309.01723300800006</v>
      </c>
      <c r="L92" s="75">
        <f t="shared" si="41"/>
        <v>482.824185984</v>
      </c>
      <c r="M92" s="75">
        <f t="shared" si="41"/>
        <v>657.04396684799997</v>
      </c>
      <c r="N92" s="75">
        <f t="shared" si="41"/>
        <v>176.38179955199999</v>
      </c>
    </row>
    <row r="93" spans="1:16" x14ac:dyDescent="0.2">
      <c r="A93" s="83" t="s">
        <v>61</v>
      </c>
      <c r="B93" s="83"/>
      <c r="C93" s="100">
        <f t="shared" ref="C93:N93" si="42">SUM(C82:C92)</f>
        <v>3258.6015394079996</v>
      </c>
      <c r="D93" s="101">
        <f t="shared" si="42"/>
        <v>2165.4931878439997</v>
      </c>
      <c r="E93" s="101">
        <f t="shared" si="42"/>
        <v>2061.8315892560008</v>
      </c>
      <c r="F93" s="101">
        <f t="shared" si="42"/>
        <v>1312.0108079839999</v>
      </c>
      <c r="G93" s="101">
        <f t="shared" si="42"/>
        <v>1119.2785974160004</v>
      </c>
      <c r="H93" s="101">
        <f t="shared" si="42"/>
        <v>154.43457260000116</v>
      </c>
      <c r="I93" s="101">
        <f t="shared" si="42"/>
        <v>1232.081900240001</v>
      </c>
      <c r="J93" s="101">
        <f t="shared" si="42"/>
        <v>1397.1618586080003</v>
      </c>
      <c r="K93" s="110">
        <f t="shared" si="42"/>
        <v>77.484730047999733</v>
      </c>
      <c r="L93" s="110">
        <f t="shared" si="42"/>
        <v>653.0515901280005</v>
      </c>
      <c r="M93" s="110">
        <f t="shared" si="42"/>
        <v>1564.9930509200012</v>
      </c>
      <c r="N93" s="110">
        <f t="shared" si="42"/>
        <v>1133.8332293120009</v>
      </c>
      <c r="O93" s="111">
        <f>SUM(C93:N93)</f>
        <v>16130.256653764001</v>
      </c>
      <c r="P93" s="111">
        <f>O93/2</f>
        <v>8065.1283268820007</v>
      </c>
    </row>
    <row r="94" spans="1:16" x14ac:dyDescent="0.2">
      <c r="A94" s="83" t="s">
        <v>62</v>
      </c>
      <c r="B94" s="83"/>
      <c r="C94" s="100">
        <f>+C93/C66</f>
        <v>19.096352199999998</v>
      </c>
      <c r="D94" s="101">
        <f t="shared" ref="D94:M94" si="43">+D93/D66</f>
        <v>18.323685799999996</v>
      </c>
      <c r="E94" s="101">
        <f>+E93/E66</f>
        <v>16.105542800000006</v>
      </c>
      <c r="F94" s="101">
        <f t="shared" si="43"/>
        <v>11.7269468</v>
      </c>
      <c r="G94" s="101">
        <f t="shared" si="43"/>
        <v>8.9029478000000033</v>
      </c>
      <c r="H94" s="101">
        <f t="shared" si="43"/>
        <v>1.1611622000000088</v>
      </c>
      <c r="I94" s="101">
        <f t="shared" si="43"/>
        <v>9.2318440000000077</v>
      </c>
      <c r="J94" s="101">
        <f t="shared" si="43"/>
        <v>10.435147200000003</v>
      </c>
      <c r="K94" s="75">
        <f t="shared" si="43"/>
        <v>0.57455679999999798</v>
      </c>
      <c r="L94" s="75">
        <f t="shared" si="43"/>
        <v>5.2887236000000035</v>
      </c>
      <c r="M94" s="75">
        <f t="shared" si="43"/>
        <v>10.421476000000009</v>
      </c>
      <c r="N94" s="75">
        <f>+N93/N66</f>
        <v>6.9102464000000046</v>
      </c>
    </row>
    <row r="95" spans="1:16" ht="8.1" customHeight="1" x14ac:dyDescent="0.2"/>
    <row r="96" spans="1:16" x14ac:dyDescent="0.2">
      <c r="A96" s="83"/>
      <c r="C96" s="111">
        <v>19.100000000000001</v>
      </c>
      <c r="D96" s="111">
        <v>18.32</v>
      </c>
      <c r="E96" s="111">
        <v>16.11</v>
      </c>
      <c r="F96" s="111">
        <v>11.73</v>
      </c>
      <c r="G96" s="111">
        <v>8.9</v>
      </c>
      <c r="H96" s="111">
        <v>1.1599999999999999</v>
      </c>
      <c r="I96" s="111">
        <v>9.23</v>
      </c>
      <c r="J96" s="111">
        <v>10.44</v>
      </c>
      <c r="K96" s="111">
        <v>0.56999999999999995</v>
      </c>
      <c r="L96" s="111">
        <v>5.29</v>
      </c>
      <c r="M96" s="111">
        <v>10.42</v>
      </c>
      <c r="N96" s="111">
        <v>6.91</v>
      </c>
    </row>
    <row r="97" spans="1:14" x14ac:dyDescent="0.2">
      <c r="C97" s="98">
        <f>C94-C96</f>
        <v>-3.6478000000030875E-3</v>
      </c>
      <c r="D97" s="98">
        <f t="shared" ref="D97:N97" si="44">D94-D96</f>
        <v>3.6857999999959645E-3</v>
      </c>
      <c r="E97" s="98">
        <f t="shared" si="44"/>
        <v>-4.4571999999938328E-3</v>
      </c>
      <c r="F97" s="98">
        <f t="shared" si="44"/>
        <v>-3.0532000000000892E-3</v>
      </c>
      <c r="G97" s="98">
        <f t="shared" si="44"/>
        <v>2.9478000000029425E-3</v>
      </c>
      <c r="H97" s="98">
        <f t="shared" si="44"/>
        <v>1.1622000000088839E-3</v>
      </c>
      <c r="I97" s="98">
        <f t="shared" si="44"/>
        <v>1.8440000000072843E-3</v>
      </c>
      <c r="J97" s="98">
        <f t="shared" si="44"/>
        <v>-4.8527999999965488E-3</v>
      </c>
      <c r="K97" s="98">
        <f t="shared" si="44"/>
        <v>4.5567999999980291E-3</v>
      </c>
      <c r="L97" s="98">
        <f t="shared" si="44"/>
        <v>-1.2763999999965137E-3</v>
      </c>
      <c r="M97" s="98">
        <f t="shared" si="44"/>
        <v>1.4760000000091367E-3</v>
      </c>
      <c r="N97" s="98">
        <f t="shared" si="44"/>
        <v>2.4640000000442086E-4</v>
      </c>
    </row>
    <row r="98" spans="1:14" x14ac:dyDescent="0.2">
      <c r="A98" s="83"/>
      <c r="B98" s="83"/>
      <c r="C98" s="100"/>
      <c r="D98" s="100"/>
      <c r="E98" s="100"/>
      <c r="F98" s="100"/>
      <c r="G98" s="100"/>
      <c r="H98" s="100"/>
      <c r="I98" s="100"/>
      <c r="J98" s="104"/>
    </row>
    <row r="99" spans="1:14" x14ac:dyDescent="0.2">
      <c r="C99" s="111"/>
      <c r="D99" s="111"/>
      <c r="E99" s="111"/>
      <c r="F99" s="111"/>
      <c r="G99" s="111"/>
      <c r="H99" s="111"/>
      <c r="I99" s="111"/>
      <c r="J99" s="111"/>
      <c r="K99" s="111"/>
      <c r="L99" s="111"/>
      <c r="M99" s="111"/>
      <c r="N99" s="111"/>
    </row>
    <row r="100" spans="1:14" x14ac:dyDescent="0.2">
      <c r="A100" s="83"/>
      <c r="B100" s="83"/>
      <c r="C100" s="98"/>
      <c r="D100" s="98"/>
      <c r="E100" s="98"/>
      <c r="F100" s="98"/>
      <c r="G100" s="98"/>
      <c r="H100" s="98"/>
      <c r="I100" s="98"/>
      <c r="J100" s="98"/>
      <c r="K100" s="98"/>
      <c r="L100" s="98"/>
      <c r="M100" s="98"/>
      <c r="N100" s="98"/>
    </row>
    <row r="101" spans="1:14" ht="8.1" customHeight="1" x14ac:dyDescent="0.2">
      <c r="C101" s="103"/>
      <c r="D101" s="103"/>
      <c r="E101" s="103"/>
      <c r="F101" s="103"/>
      <c r="G101" s="103"/>
      <c r="H101" s="103"/>
      <c r="I101" s="103"/>
      <c r="J101" s="103"/>
    </row>
    <row r="102" spans="1:14" x14ac:dyDescent="0.2">
      <c r="A102" s="83"/>
      <c r="C102" s="102"/>
      <c r="D102" s="102"/>
      <c r="E102" s="102"/>
      <c r="F102" s="102"/>
      <c r="G102" s="102"/>
      <c r="H102" s="102"/>
      <c r="I102" s="102"/>
      <c r="J102" s="105"/>
    </row>
    <row r="105" spans="1:14" x14ac:dyDescent="0.2">
      <c r="B105" s="66" t="str">
        <f ca="1">CELL("filename")</f>
        <v>Z:\Division\Accounting\WUTC\2020\SeaTac - Div 4183\[SeaTac Tariff Pages - 6.12.2020.xls]Check Sheet</v>
      </c>
    </row>
  </sheetData>
  <phoneticPr fontId="0" type="noConversion"/>
  <pageMargins left="0.5" right="0.5" top="0.75" bottom="0.75" header="0.5" footer="0.5"/>
  <pageSetup scale="60" fitToWidth="0" orientation="portrait" r:id="rId1"/>
  <headerFooter alignWithMargins="0"/>
  <rowBreaks count="1" manualBreakCount="1">
    <brk id="53"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25"/>
  <sheetViews>
    <sheetView workbookViewId="0">
      <selection activeCell="D26" sqref="D26"/>
    </sheetView>
  </sheetViews>
  <sheetFormatPr defaultRowHeight="13.2" x14ac:dyDescent="0.25"/>
  <cols>
    <col min="1" max="1" width="29" customWidth="1"/>
    <col min="3" max="3" width="10.109375" bestFit="1" customWidth="1"/>
    <col min="4" max="4" width="10.5546875" customWidth="1"/>
    <col min="5" max="5" width="10.6640625" bestFit="1" customWidth="1"/>
  </cols>
  <sheetData>
    <row r="2" spans="1:5" ht="13.8" thickBot="1" x14ac:dyDescent="0.3"/>
    <row r="3" spans="1:5" ht="13.8" thickBot="1" x14ac:dyDescent="0.3">
      <c r="A3" s="164" t="s">
        <v>93</v>
      </c>
      <c r="B3" s="165"/>
      <c r="C3" s="166">
        <v>15403.51</v>
      </c>
    </row>
    <row r="4" spans="1:5" x14ac:dyDescent="0.25">
      <c r="C4" s="167"/>
    </row>
    <row r="5" spans="1:5" x14ac:dyDescent="0.25">
      <c r="A5" s="168" t="s">
        <v>94</v>
      </c>
      <c r="D5" s="168" t="s">
        <v>95</v>
      </c>
      <c r="E5" s="168" t="s">
        <v>96</v>
      </c>
    </row>
    <row r="6" spans="1:5" x14ac:dyDescent="0.25">
      <c r="A6" s="169" t="s">
        <v>97</v>
      </c>
      <c r="B6" s="60"/>
      <c r="C6" s="170">
        <v>5501.2535714285714</v>
      </c>
      <c r="D6" s="171">
        <v>5028.1428378275687</v>
      </c>
      <c r="E6" s="170">
        <v>473.11073360100312</v>
      </c>
    </row>
    <row r="7" spans="1:5" x14ac:dyDescent="0.25">
      <c r="A7" s="169" t="s">
        <v>98</v>
      </c>
      <c r="B7" s="60"/>
      <c r="C7" s="170">
        <v>7701.7550000000001</v>
      </c>
      <c r="D7" s="171">
        <f>C7*D12</f>
        <v>7637.7842022593331</v>
      </c>
      <c r="E7" s="170">
        <f>C7*E12</f>
        <v>63.97079774066674</v>
      </c>
    </row>
    <row r="8" spans="1:5" x14ac:dyDescent="0.25">
      <c r="A8" s="172" t="s">
        <v>99</v>
      </c>
      <c r="B8" s="173"/>
      <c r="C8" s="174">
        <v>2200.5014285714283</v>
      </c>
      <c r="D8" s="175">
        <f>C8*D13</f>
        <v>2120.3711244497795</v>
      </c>
      <c r="E8" s="176">
        <f>C8*E13</f>
        <v>80.130304121648649</v>
      </c>
    </row>
    <row r="10" spans="1:5" x14ac:dyDescent="0.25">
      <c r="A10" t="s">
        <v>100</v>
      </c>
      <c r="B10" t="s">
        <v>101</v>
      </c>
      <c r="C10" t="s">
        <v>102</v>
      </c>
      <c r="D10" t="s">
        <v>103</v>
      </c>
      <c r="E10" t="s">
        <v>104</v>
      </c>
    </row>
    <row r="11" spans="1:5" x14ac:dyDescent="0.25">
      <c r="A11">
        <v>4172</v>
      </c>
      <c r="B11">
        <v>41236</v>
      </c>
      <c r="C11">
        <v>3880</v>
      </c>
      <c r="D11" s="178">
        <v>0.91399946803794663</v>
      </c>
      <c r="E11" s="178">
        <v>8.6000531962053373E-2</v>
      </c>
    </row>
    <row r="12" spans="1:5" x14ac:dyDescent="0.25">
      <c r="A12">
        <v>4176</v>
      </c>
      <c r="B12">
        <v>78920</v>
      </c>
      <c r="C12">
        <v>661</v>
      </c>
      <c r="D12" s="178">
        <f>B12/(B12+C12)</f>
        <v>0.9916939973109159</v>
      </c>
      <c r="E12" s="178">
        <f>C12/(C12+B12)</f>
        <v>8.3060026890840778E-3</v>
      </c>
    </row>
    <row r="13" spans="1:5" x14ac:dyDescent="0.25">
      <c r="A13">
        <v>4183</v>
      </c>
      <c r="B13">
        <v>16512</v>
      </c>
      <c r="C13">
        <v>624</v>
      </c>
      <c r="D13" s="178">
        <f>B13/(B13+C13)</f>
        <v>0.96358543417366949</v>
      </c>
      <c r="E13" s="178">
        <f>C13/(C13+B13)</f>
        <v>3.6414565826330535E-2</v>
      </c>
    </row>
    <row r="14" spans="1:5" x14ac:dyDescent="0.25">
      <c r="D14" s="178"/>
      <c r="E14" s="178"/>
    </row>
    <row r="19" spans="1:4" x14ac:dyDescent="0.25">
      <c r="A19" s="177" t="s">
        <v>106</v>
      </c>
      <c r="D19" s="167">
        <f>D8</f>
        <v>2120.3711244497795</v>
      </c>
    </row>
    <row r="21" spans="1:4" x14ac:dyDescent="0.25">
      <c r="A21" s="177" t="s">
        <v>20</v>
      </c>
      <c r="D21" s="179">
        <f>'WUTC_AW of Kent (SeaTac)_SF'!B26</f>
        <v>61163</v>
      </c>
    </row>
    <row r="23" spans="1:4" x14ac:dyDescent="0.25">
      <c r="A23" s="177" t="s">
        <v>105</v>
      </c>
      <c r="D23">
        <f>D19/D21</f>
        <v>3.4667546138184513E-2</v>
      </c>
    </row>
    <row r="25" spans="1:4" x14ac:dyDescent="0.25">
      <c r="D25">
        <v>3.5999999999999997E-2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F9240655280FA47A4D516280905F427" ma:contentTypeVersion="52" ma:contentTypeDescription="" ma:contentTypeScope="" ma:versionID="f8ab53fcb1c1a3177f22e2655a50461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2020-06-16T07:00:00+00:00</OpenedDate>
    <SignificantOrder xmlns="dc463f71-b30c-4ab2-9473-d307f9d35888">false</SignificantOrder>
    <Date1 xmlns="dc463f71-b30c-4ab2-9473-d307f9d35888">2020-06-16T07:00:00+00:00</Date1>
    <IsDocumentOrder xmlns="dc463f71-b30c-4ab2-9473-d307f9d35888">false</IsDocumentOrder>
    <IsHighlyConfidential xmlns="dc463f71-b30c-4ab2-9473-d307f9d35888">false</IsHighlyConfidential>
    <CaseCompanyNames xmlns="dc463f71-b30c-4ab2-9473-d307f9d35888">RABANCO LTD</CaseCompanyNames>
    <Nickname xmlns="http://schemas.microsoft.com/sharepoint/v3" xsi:nil="true"/>
    <DocketNumber xmlns="dc463f71-b30c-4ab2-9473-d307f9d35888">200557</DocketNumber>
    <DelegatedOrder xmlns="dc463f71-b30c-4ab2-9473-d307f9d35888">false</DelegatedOrder>
  </documentManagement>
</p:properties>
</file>

<file path=customXml/itemProps1.xml><?xml version="1.0" encoding="utf-8"?>
<ds:datastoreItem xmlns:ds="http://schemas.openxmlformats.org/officeDocument/2006/customXml" ds:itemID="{98D8BF82-4790-444C-A734-6A3562573FD6}"/>
</file>

<file path=customXml/itemProps2.xml><?xml version="1.0" encoding="utf-8"?>
<ds:datastoreItem xmlns:ds="http://schemas.openxmlformats.org/officeDocument/2006/customXml" ds:itemID="{D5CFBA87-68CB-48CD-83A6-DCF0393D79FF}"/>
</file>

<file path=customXml/itemProps3.xml><?xml version="1.0" encoding="utf-8"?>
<ds:datastoreItem xmlns:ds="http://schemas.openxmlformats.org/officeDocument/2006/customXml" ds:itemID="{D7FEC2F0-B2B1-4910-8230-A53434BC313A}"/>
</file>

<file path=customXml/itemProps4.xml><?xml version="1.0" encoding="utf-8"?>
<ds:datastoreItem xmlns:ds="http://schemas.openxmlformats.org/officeDocument/2006/customXml" ds:itemID="{0CAC6891-E388-46A7-BF24-FB0A238C0D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WUTC_LYNNWOOD_SF</vt:lpstr>
      <vt:lpstr>WUTC_AW of Kent (SeaTac)_SF</vt:lpstr>
      <vt:lpstr>Value</vt:lpstr>
      <vt:lpstr>Commodity Tonnages</vt:lpstr>
      <vt:lpstr>Pricing</vt:lpstr>
      <vt:lpstr>Single Family</vt:lpstr>
      <vt:lpstr>RSA</vt:lpstr>
      <vt:lpstr>Pricing!Print_Area</vt:lpstr>
      <vt:lpstr>'Single Family'!Print_Area</vt:lpstr>
      <vt:lpstr>'WUTC_AW of Kent (SeaTac)_SF'!Print_Area</vt:lpstr>
      <vt:lpstr>WUTC_LYNNWOOD_SF!Print_Area</vt:lpstr>
      <vt:lpstr>'Single Family'!Print_Titles</vt:lpstr>
    </vt:vector>
  </TitlesOfParts>
  <Company>Allied Waste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JG00116</dc:creator>
  <cp:lastModifiedBy>Robinson, Kristen</cp:lastModifiedBy>
  <cp:lastPrinted>2019-06-14T19:27:42Z</cp:lastPrinted>
  <dcterms:created xsi:type="dcterms:W3CDTF">2008-05-23T15:47:44Z</dcterms:created>
  <dcterms:modified xsi:type="dcterms:W3CDTF">2020-06-12T23:03:38Z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0x0101006E56B4D1795A2E4DB2F0B01679ED314A00DF9240655280FA47A4D516280905F427</vt:lpwstr>
  </property>
  <property fmtid="{D5CDD505-2E9C-101B-9397-08002B2CF9AE}" pid="3" name="_docset_NoMedatataSyncRequired">
    <vt:lpwstr>False</vt:lpwstr>
  </property>
  <property fmtid="{D5CDD505-2E9C-101B-9397-08002B2CF9AE}" pid="4" name="IsEFSEC">
    <vt:bool>false</vt:bool>
  </property>
</Properties>
</file>