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BAD0735 - Bainbridge Disposal\Rate Case\2020 Disposal fee only\Draft Submission\"/>
    </mc:Choice>
  </mc:AlternateContent>
  <bookViews>
    <workbookView xWindow="-105" yWindow="-105" windowWidth="22785" windowHeight="14655" activeTab="1"/>
  </bookViews>
  <sheets>
    <sheet name="Notes" sheetId="8" r:id="rId1"/>
    <sheet name="References" sheetId="4" r:id="rId2"/>
    <sheet name="Staff calcs 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1">References!$A$1:$L$59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4" l="1"/>
  <c r="G26" i="7" l="1"/>
  <c r="I26" i="7"/>
  <c r="B22" i="4" l="1"/>
  <c r="F18" i="4"/>
  <c r="F19" i="4" s="1"/>
  <c r="G12" i="7" l="1"/>
  <c r="H12" i="7"/>
  <c r="I12" i="7" l="1"/>
  <c r="Q12" i="7"/>
  <c r="P47" i="4" l="1"/>
  <c r="P48" i="4" s="1"/>
  <c r="Q47" i="4"/>
  <c r="R47" i="4"/>
  <c r="S47" i="4"/>
  <c r="O47" i="4"/>
  <c r="O48" i="4" s="1"/>
  <c r="T36" i="4"/>
  <c r="T37" i="4"/>
  <c r="T38" i="4"/>
  <c r="T39" i="4"/>
  <c r="T40" i="4"/>
  <c r="T41" i="4"/>
  <c r="T42" i="4"/>
  <c r="T43" i="4"/>
  <c r="T44" i="4"/>
  <c r="T45" i="4"/>
  <c r="T46" i="4"/>
  <c r="T35" i="4"/>
  <c r="T47" i="4" l="1"/>
  <c r="G31" i="7"/>
  <c r="Q31" i="7" s="1"/>
  <c r="G30" i="7"/>
  <c r="G27" i="7"/>
  <c r="I27" i="7" s="1"/>
  <c r="Q27" i="7"/>
  <c r="I31" i="7" l="1"/>
  <c r="Q30" i="7"/>
  <c r="I30" i="7"/>
  <c r="E71" i="7"/>
  <c r="Q26" i="7" l="1"/>
  <c r="G41" i="7" l="1"/>
  <c r="E20" i="7"/>
  <c r="E28" i="7"/>
  <c r="E21" i="7"/>
  <c r="K48" i="4" l="1"/>
  <c r="T48" i="4" s="1"/>
  <c r="F47" i="4" l="1"/>
  <c r="G47" i="4"/>
  <c r="G49" i="4" s="1"/>
  <c r="H47" i="4"/>
  <c r="H49" i="4" s="1"/>
  <c r="I47" i="4"/>
  <c r="I49" i="4" s="1"/>
  <c r="E47" i="4"/>
  <c r="E49" i="4" s="1"/>
  <c r="F49" i="4" l="1"/>
  <c r="K46" i="4" l="1"/>
  <c r="K45" i="4"/>
  <c r="K44" i="4"/>
  <c r="K43" i="4"/>
  <c r="K42" i="4"/>
  <c r="K41" i="4"/>
  <c r="K40" i="4"/>
  <c r="K39" i="4"/>
  <c r="K38" i="4"/>
  <c r="K37" i="4"/>
  <c r="K36" i="4" l="1"/>
  <c r="K35" i="4"/>
  <c r="K47" i="4" l="1"/>
  <c r="K49" i="4" s="1"/>
  <c r="N37" i="7"/>
  <c r="N36" i="7"/>
  <c r="N35" i="7"/>
  <c r="N33" i="7"/>
  <c r="N32" i="7"/>
  <c r="D6" i="4"/>
  <c r="G6" i="4" s="1"/>
  <c r="F35" i="7" l="1"/>
  <c r="E6" i="4"/>
  <c r="F36" i="7" s="1"/>
  <c r="G36" i="7" s="1"/>
  <c r="F6" i="4"/>
  <c r="F37" i="7" s="1"/>
  <c r="G37" i="7" s="1"/>
  <c r="Q37" i="7" s="1"/>
  <c r="Q36" i="7" l="1"/>
  <c r="E72" i="7"/>
  <c r="R68" i="7"/>
  <c r="Q68" i="7"/>
  <c r="G68" i="7"/>
  <c r="I68" i="7" s="1"/>
  <c r="R67" i="7"/>
  <c r="Q67" i="7"/>
  <c r="G67" i="7"/>
  <c r="I67" i="7" s="1"/>
  <c r="R66" i="7"/>
  <c r="Q66" i="7"/>
  <c r="G66" i="7"/>
  <c r="I66" i="7" s="1"/>
  <c r="R65" i="7"/>
  <c r="Q65" i="7"/>
  <c r="G65" i="7"/>
  <c r="I65" i="7" s="1"/>
  <c r="R64" i="7"/>
  <c r="Q64" i="7"/>
  <c r="G64" i="7"/>
  <c r="I64" i="7" s="1"/>
  <c r="R63" i="7"/>
  <c r="Q63" i="7"/>
  <c r="G63" i="7"/>
  <c r="I63" i="7" s="1"/>
  <c r="R62" i="7"/>
  <c r="Q62" i="7"/>
  <c r="F62" i="7"/>
  <c r="G62" i="7" s="1"/>
  <c r="I62" i="7" s="1"/>
  <c r="R61" i="7"/>
  <c r="Q61" i="7"/>
  <c r="G61" i="7"/>
  <c r="I61" i="7" s="1"/>
  <c r="R60" i="7"/>
  <c r="Q60" i="7"/>
  <c r="F60" i="7"/>
  <c r="G60" i="7" s="1"/>
  <c r="I60" i="7" s="1"/>
  <c r="R59" i="7"/>
  <c r="Q59" i="7"/>
  <c r="G59" i="7"/>
  <c r="I59" i="7" s="1"/>
  <c r="R58" i="7"/>
  <c r="Q58" i="7"/>
  <c r="F58" i="7"/>
  <c r="G58" i="7" s="1"/>
  <c r="I58" i="7" s="1"/>
  <c r="R57" i="7"/>
  <c r="Q57" i="7"/>
  <c r="G57" i="7"/>
  <c r="I57" i="7" s="1"/>
  <c r="R56" i="7"/>
  <c r="Q56" i="7"/>
  <c r="G56" i="7"/>
  <c r="I56" i="7" s="1"/>
  <c r="R55" i="7"/>
  <c r="Q55" i="7"/>
  <c r="G55" i="7"/>
  <c r="I55" i="7" s="1"/>
  <c r="R54" i="7"/>
  <c r="Q54" i="7"/>
  <c r="F54" i="7"/>
  <c r="G54" i="7" s="1"/>
  <c r="I54" i="7" s="1"/>
  <c r="Q49" i="7"/>
  <c r="Q48" i="7"/>
  <c r="Q47" i="7"/>
  <c r="Q44" i="7"/>
  <c r="Q43" i="7"/>
  <c r="Q42" i="7"/>
  <c r="E39" i="7"/>
  <c r="I37" i="7"/>
  <c r="I36" i="7"/>
  <c r="G35" i="7"/>
  <c r="Q25" i="7"/>
  <c r="H25" i="7"/>
  <c r="Q24" i="7"/>
  <c r="Q23" i="7"/>
  <c r="H23" i="7"/>
  <c r="Q22" i="7"/>
  <c r="H22" i="7"/>
  <c r="Q21" i="7"/>
  <c r="Q19" i="7"/>
  <c r="Q18" i="7"/>
  <c r="Q6" i="7"/>
  <c r="Q15" i="7"/>
  <c r="Q14" i="7"/>
  <c r="Q13" i="7"/>
  <c r="Q11" i="7"/>
  <c r="Q10" i="7"/>
  <c r="Q9" i="7"/>
  <c r="Q8" i="7"/>
  <c r="Q7" i="7"/>
  <c r="G45" i="7" l="1"/>
  <c r="G50" i="7"/>
  <c r="S55" i="7"/>
  <c r="S57" i="7"/>
  <c r="S61" i="7"/>
  <c r="I35" i="7"/>
  <c r="Q35" i="7"/>
  <c r="I42" i="7"/>
  <c r="S54" i="7"/>
  <c r="I49" i="7"/>
  <c r="I44" i="7"/>
  <c r="I41" i="7"/>
  <c r="R42" i="7"/>
  <c r="S42" i="7" s="1"/>
  <c r="I43" i="7"/>
  <c r="R44" i="7"/>
  <c r="S44" i="7" s="1"/>
  <c r="I46" i="7"/>
  <c r="R47" i="7"/>
  <c r="S47" i="7" s="1"/>
  <c r="I48" i="7"/>
  <c r="R43" i="7"/>
  <c r="S43" i="7" s="1"/>
  <c r="R46" i="7"/>
  <c r="I47" i="7"/>
  <c r="S56" i="7"/>
  <c r="S60" i="7"/>
  <c r="E51" i="7"/>
  <c r="Q41" i="7"/>
  <c r="Q45" i="7" s="1"/>
  <c r="Q46" i="7"/>
  <c r="Q50" i="7" s="1"/>
  <c r="R48" i="7"/>
  <c r="R49" i="7"/>
  <c r="S58" i="7"/>
  <c r="S59" i="7"/>
  <c r="S62" i="7"/>
  <c r="S63" i="7"/>
  <c r="S64" i="7"/>
  <c r="S65" i="7"/>
  <c r="S66" i="7"/>
  <c r="S67" i="7"/>
  <c r="S68" i="7"/>
  <c r="I50" i="7" l="1"/>
  <c r="I45" i="7"/>
  <c r="S46" i="7"/>
  <c r="S48" i="7"/>
  <c r="R50" i="7"/>
  <c r="S49" i="7"/>
  <c r="S50" i="7" l="1"/>
  <c r="B17" i="4"/>
  <c r="B20" i="4" s="1"/>
  <c r="B21" i="4" s="1"/>
  <c r="C16" i="4"/>
  <c r="C15" i="4"/>
  <c r="D9" i="4"/>
  <c r="D8" i="4"/>
  <c r="D7" i="4"/>
  <c r="F29" i="7" s="1"/>
  <c r="G29" i="7" s="1"/>
  <c r="I29" i="7" l="1"/>
  <c r="Q29" i="7"/>
  <c r="B23" i="4"/>
  <c r="G8" i="4"/>
  <c r="F8" i="4"/>
  <c r="E8" i="4"/>
  <c r="F25" i="7"/>
  <c r="G25" i="7" s="1"/>
  <c r="I25" i="7" s="1"/>
  <c r="F14" i="7"/>
  <c r="G14" i="7" s="1"/>
  <c r="I14" i="7" s="1"/>
  <c r="F34" i="7"/>
  <c r="G34" i="7" s="1"/>
  <c r="F24" i="7"/>
  <c r="G24" i="7" s="1"/>
  <c r="I24" i="7" s="1"/>
  <c r="F13" i="7"/>
  <c r="G13" i="7" s="1"/>
  <c r="I13" i="7" s="1"/>
  <c r="G7" i="4"/>
  <c r="F33" i="7" s="1"/>
  <c r="G33" i="7" s="1"/>
  <c r="F7" i="4"/>
  <c r="E7" i="4"/>
  <c r="F32" i="7" s="1"/>
  <c r="G32" i="7" s="1"/>
  <c r="F19" i="7"/>
  <c r="G19" i="7" s="1"/>
  <c r="I19" i="7" s="1"/>
  <c r="F28" i="7"/>
  <c r="G28" i="7" s="1"/>
  <c r="F21" i="7"/>
  <c r="G21" i="7" s="1"/>
  <c r="F17" i="7"/>
  <c r="G17" i="7" s="1"/>
  <c r="F6" i="7"/>
  <c r="G6" i="7" s="1"/>
  <c r="F11" i="7"/>
  <c r="G11" i="7" s="1"/>
  <c r="I11" i="7" s="1"/>
  <c r="F9" i="7"/>
  <c r="G9" i="7" s="1"/>
  <c r="I9" i="7" s="1"/>
  <c r="F7" i="7"/>
  <c r="G7" i="7" s="1"/>
  <c r="F23" i="7"/>
  <c r="G23" i="7" s="1"/>
  <c r="I23" i="7" s="1"/>
  <c r="F22" i="7"/>
  <c r="G22" i="7" s="1"/>
  <c r="I22" i="7" s="1"/>
  <c r="F10" i="7"/>
  <c r="G10" i="7" s="1"/>
  <c r="I10" i="7" s="1"/>
  <c r="F8" i="7"/>
  <c r="G8" i="7" s="1"/>
  <c r="I8" i="7" s="1"/>
  <c r="G9" i="4"/>
  <c r="F9" i="4"/>
  <c r="E9" i="4"/>
  <c r="F38" i="7"/>
  <c r="G38" i="7" s="1"/>
  <c r="F18" i="7"/>
  <c r="G18" i="7" s="1"/>
  <c r="I18" i="7" s="1"/>
  <c r="F16" i="7"/>
  <c r="G16" i="7" s="1"/>
  <c r="F15" i="7"/>
  <c r="G15" i="7" s="1"/>
  <c r="I15" i="7" s="1"/>
  <c r="C17" i="4"/>
  <c r="I6" i="7" l="1"/>
  <c r="G20" i="7"/>
  <c r="I21" i="7"/>
  <c r="G39" i="7"/>
  <c r="I34" i="7"/>
  <c r="Q34" i="7"/>
  <c r="Q16" i="7"/>
  <c r="I16" i="7"/>
  <c r="I38" i="7"/>
  <c r="Q38" i="7"/>
  <c r="R38" i="7"/>
  <c r="I7" i="7"/>
  <c r="I17" i="7"/>
  <c r="Q17" i="7"/>
  <c r="I28" i="7"/>
  <c r="Q28" i="7"/>
  <c r="I32" i="7"/>
  <c r="Q32" i="7"/>
  <c r="I33" i="7"/>
  <c r="Q33" i="7"/>
  <c r="Q20" i="7" l="1"/>
  <c r="I20" i="7"/>
  <c r="Q39" i="7"/>
  <c r="S38" i="7"/>
  <c r="I39" i="7"/>
  <c r="E73" i="7"/>
  <c r="G51" i="7"/>
  <c r="Q51" i="7" l="1"/>
  <c r="I51" i="7"/>
  <c r="E74" i="7" s="1"/>
  <c r="J26" i="7" s="1"/>
  <c r="K26" i="7" s="1"/>
  <c r="L26" i="7" s="1"/>
  <c r="M26" i="7" s="1"/>
  <c r="J31" i="7" l="1"/>
  <c r="K31" i="7" s="1"/>
  <c r="L31" i="7" s="1"/>
  <c r="M31" i="7" s="1"/>
  <c r="O31" i="7" s="1"/>
  <c r="T31" i="7" s="1"/>
  <c r="U31" i="7" s="1"/>
  <c r="J12" i="7"/>
  <c r="K12" i="7" s="1"/>
  <c r="L12" i="7" s="1"/>
  <c r="M12" i="7" s="1"/>
  <c r="O12" i="7" s="1"/>
  <c r="J29" i="7"/>
  <c r="K29" i="7" s="1"/>
  <c r="L29" i="7" s="1"/>
  <c r="M29" i="7" s="1"/>
  <c r="O29" i="7" s="1"/>
  <c r="P29" i="7" s="1"/>
  <c r="R29" i="7" s="1"/>
  <c r="S29" i="7" s="1"/>
  <c r="J30" i="7"/>
  <c r="K30" i="7" s="1"/>
  <c r="L30" i="7" s="1"/>
  <c r="M30" i="7" s="1"/>
  <c r="O30" i="7" s="1"/>
  <c r="O26" i="7"/>
  <c r="T26" i="7" s="1"/>
  <c r="U26" i="7" s="1"/>
  <c r="J27" i="7"/>
  <c r="K27" i="7" s="1"/>
  <c r="L27" i="7" s="1"/>
  <c r="M27" i="7" s="1"/>
  <c r="O27" i="7" s="1"/>
  <c r="J38" i="7"/>
  <c r="K38" i="7" s="1"/>
  <c r="L38" i="7" s="1"/>
  <c r="M38" i="7" s="1"/>
  <c r="O38" i="7" s="1"/>
  <c r="J6" i="7"/>
  <c r="J68" i="7"/>
  <c r="K68" i="7" s="1"/>
  <c r="L68" i="7" s="1"/>
  <c r="O68" i="7" s="1"/>
  <c r="T68" i="7" s="1"/>
  <c r="J7" i="7"/>
  <c r="K7" i="7" s="1"/>
  <c r="L7" i="7" s="1"/>
  <c r="M7" i="7" s="1"/>
  <c r="O7" i="7" s="1"/>
  <c r="P7" i="7" s="1"/>
  <c r="R7" i="7" s="1"/>
  <c r="J15" i="7"/>
  <c r="K15" i="7" s="1"/>
  <c r="L15" i="7" s="1"/>
  <c r="M15" i="7" s="1"/>
  <c r="J18" i="7"/>
  <c r="K18" i="7" s="1"/>
  <c r="L18" i="7" s="1"/>
  <c r="M18" i="7" s="1"/>
  <c r="O18" i="7" s="1"/>
  <c r="R18" i="7" s="1"/>
  <c r="S18" i="7" s="1"/>
  <c r="J36" i="7"/>
  <c r="K36" i="7" s="1"/>
  <c r="L36" i="7" s="1"/>
  <c r="M36" i="7" s="1"/>
  <c r="O36" i="7" s="1"/>
  <c r="R36" i="7" s="1"/>
  <c r="S36" i="7" s="1"/>
  <c r="J34" i="7"/>
  <c r="K34" i="7" s="1"/>
  <c r="L34" i="7" s="1"/>
  <c r="M34" i="7" s="1"/>
  <c r="J25" i="7"/>
  <c r="K25" i="7" s="1"/>
  <c r="L25" i="7" s="1"/>
  <c r="M25" i="7" s="1"/>
  <c r="O25" i="7" s="1"/>
  <c r="R25" i="7" s="1"/>
  <c r="S25" i="7" s="1"/>
  <c r="J65" i="7"/>
  <c r="K65" i="7" s="1"/>
  <c r="L65" i="7" s="1"/>
  <c r="O65" i="7" s="1"/>
  <c r="T65" i="7" s="1"/>
  <c r="J21" i="7"/>
  <c r="K21" i="7" s="1"/>
  <c r="L21" i="7" s="1"/>
  <c r="M21" i="7" s="1"/>
  <c r="O21" i="7" s="1"/>
  <c r="P21" i="7" s="1"/>
  <c r="R21" i="7" s="1"/>
  <c r="J11" i="7"/>
  <c r="K11" i="7" s="1"/>
  <c r="L11" i="7" s="1"/>
  <c r="M11" i="7" s="1"/>
  <c r="O11" i="7" s="1"/>
  <c r="J66" i="7"/>
  <c r="K66" i="7" s="1"/>
  <c r="L66" i="7" s="1"/>
  <c r="O66" i="7" s="1"/>
  <c r="T66" i="7" s="1"/>
  <c r="J44" i="7"/>
  <c r="K44" i="7" s="1"/>
  <c r="L44" i="7" s="1"/>
  <c r="M44" i="7" s="1"/>
  <c r="J32" i="7"/>
  <c r="K32" i="7" s="1"/>
  <c r="L32" i="7" s="1"/>
  <c r="M32" i="7" s="1"/>
  <c r="O32" i="7" s="1"/>
  <c r="R32" i="7" s="1"/>
  <c r="S32" i="7" s="1"/>
  <c r="J22" i="7"/>
  <c r="K22" i="7" s="1"/>
  <c r="L22" i="7" s="1"/>
  <c r="M22" i="7" s="1"/>
  <c r="O22" i="7" s="1"/>
  <c r="R22" i="7" s="1"/>
  <c r="S22" i="7" s="1"/>
  <c r="J54" i="7"/>
  <c r="K54" i="7" s="1"/>
  <c r="L54" i="7" s="1"/>
  <c r="J35" i="7"/>
  <c r="K35" i="7" s="1"/>
  <c r="L35" i="7" s="1"/>
  <c r="M35" i="7" s="1"/>
  <c r="O35" i="7" s="1"/>
  <c r="R35" i="7" s="1"/>
  <c r="S35" i="7" s="1"/>
  <c r="J62" i="7"/>
  <c r="K62" i="7" s="1"/>
  <c r="L62" i="7" s="1"/>
  <c r="O62" i="7" s="1"/>
  <c r="T62" i="7" s="1"/>
  <c r="J9" i="7"/>
  <c r="K9" i="7" s="1"/>
  <c r="L9" i="7" s="1"/>
  <c r="M9" i="7" s="1"/>
  <c r="O9" i="7" s="1"/>
  <c r="P9" i="7" s="1"/>
  <c r="R9" i="7" s="1"/>
  <c r="S9" i="7" s="1"/>
  <c r="J10" i="7"/>
  <c r="K10" i="7" s="1"/>
  <c r="L10" i="7" s="1"/>
  <c r="M10" i="7" s="1"/>
  <c r="O10" i="7" s="1"/>
  <c r="P10" i="7" s="1"/>
  <c r="R10" i="7" s="1"/>
  <c r="S10" i="7" s="1"/>
  <c r="J23" i="7"/>
  <c r="K23" i="7" s="1"/>
  <c r="L23" i="7" s="1"/>
  <c r="M23" i="7" s="1"/>
  <c r="O23" i="7" s="1"/>
  <c r="J33" i="7"/>
  <c r="K33" i="7" s="1"/>
  <c r="L33" i="7" s="1"/>
  <c r="M33" i="7" s="1"/>
  <c r="O33" i="7" s="1"/>
  <c r="R33" i="7" s="1"/>
  <c r="S33" i="7" s="1"/>
  <c r="J64" i="7"/>
  <c r="K64" i="7" s="1"/>
  <c r="L64" i="7" s="1"/>
  <c r="O64" i="7" s="1"/>
  <c r="T64" i="7" s="1"/>
  <c r="J48" i="7"/>
  <c r="K48" i="7" s="1"/>
  <c r="L48" i="7" s="1"/>
  <c r="M48" i="7" s="1"/>
  <c r="J47" i="7"/>
  <c r="J14" i="7"/>
  <c r="K14" i="7" s="1"/>
  <c r="L14" i="7" s="1"/>
  <c r="M14" i="7" s="1"/>
  <c r="O14" i="7" s="1"/>
  <c r="R14" i="7" s="1"/>
  <c r="S14" i="7" s="1"/>
  <c r="J28" i="7"/>
  <c r="K28" i="7" s="1"/>
  <c r="L28" i="7" s="1"/>
  <c r="M28" i="7" s="1"/>
  <c r="O28" i="7" s="1"/>
  <c r="J8" i="7"/>
  <c r="K8" i="7" s="1"/>
  <c r="L8" i="7" s="1"/>
  <c r="M8" i="7" s="1"/>
  <c r="O8" i="7" s="1"/>
  <c r="J19" i="7"/>
  <c r="K19" i="7" s="1"/>
  <c r="L19" i="7" s="1"/>
  <c r="M19" i="7" s="1"/>
  <c r="O19" i="7" s="1"/>
  <c r="R19" i="7" s="1"/>
  <c r="S19" i="7" s="1"/>
  <c r="J67" i="7"/>
  <c r="K67" i="7" s="1"/>
  <c r="L67" i="7" s="1"/>
  <c r="O67" i="7" s="1"/>
  <c r="T67" i="7" s="1"/>
  <c r="J46" i="7"/>
  <c r="K46" i="7" s="1"/>
  <c r="L46" i="7" s="1"/>
  <c r="J56" i="7"/>
  <c r="K56" i="7" s="1"/>
  <c r="L56" i="7" s="1"/>
  <c r="O56" i="7" s="1"/>
  <c r="T56" i="7" s="1"/>
  <c r="J43" i="7"/>
  <c r="K43" i="7" s="1"/>
  <c r="L43" i="7" s="1"/>
  <c r="M43" i="7" s="1"/>
  <c r="J24" i="7"/>
  <c r="K24" i="7" s="1"/>
  <c r="L24" i="7" s="1"/>
  <c r="M24" i="7" s="1"/>
  <c r="O24" i="7" s="1"/>
  <c r="J13" i="7"/>
  <c r="K13" i="7" s="1"/>
  <c r="L13" i="7" s="1"/>
  <c r="M13" i="7" s="1"/>
  <c r="J37" i="7"/>
  <c r="K37" i="7" s="1"/>
  <c r="L37" i="7" s="1"/>
  <c r="M37" i="7" s="1"/>
  <c r="O37" i="7" s="1"/>
  <c r="J42" i="7"/>
  <c r="K42" i="7" s="1"/>
  <c r="L42" i="7" s="1"/>
  <c r="M42" i="7" s="1"/>
  <c r="J16" i="7"/>
  <c r="K16" i="7" s="1"/>
  <c r="L16" i="7" s="1"/>
  <c r="M16" i="7" s="1"/>
  <c r="O16" i="7" s="1"/>
  <c r="R16" i="7" s="1"/>
  <c r="S16" i="7" s="1"/>
  <c r="J60" i="7"/>
  <c r="K60" i="7" s="1"/>
  <c r="L60" i="7" s="1"/>
  <c r="O60" i="7" s="1"/>
  <c r="T60" i="7" s="1"/>
  <c r="J57" i="7"/>
  <c r="K57" i="7" s="1"/>
  <c r="L57" i="7" s="1"/>
  <c r="O57" i="7" s="1"/>
  <c r="T57" i="7" s="1"/>
  <c r="J63" i="7"/>
  <c r="K63" i="7" s="1"/>
  <c r="L63" i="7" s="1"/>
  <c r="O63" i="7" s="1"/>
  <c r="T63" i="7" s="1"/>
  <c r="J59" i="7"/>
  <c r="K59" i="7" s="1"/>
  <c r="L59" i="7" s="1"/>
  <c r="O59" i="7" s="1"/>
  <c r="T59" i="7" s="1"/>
  <c r="J61" i="7"/>
  <c r="K61" i="7" s="1"/>
  <c r="L61" i="7" s="1"/>
  <c r="O61" i="7" s="1"/>
  <c r="T61" i="7" s="1"/>
  <c r="J49" i="7"/>
  <c r="K49" i="7" s="1"/>
  <c r="L49" i="7" s="1"/>
  <c r="M49" i="7" s="1"/>
  <c r="J41" i="7"/>
  <c r="K41" i="7" s="1"/>
  <c r="L41" i="7" s="1"/>
  <c r="J17" i="7"/>
  <c r="K17" i="7" s="1"/>
  <c r="L17" i="7" s="1"/>
  <c r="M17" i="7" s="1"/>
  <c r="O17" i="7" s="1"/>
  <c r="J55" i="7"/>
  <c r="K55" i="7" s="1"/>
  <c r="L55" i="7" s="1"/>
  <c r="O55" i="7" s="1"/>
  <c r="T55" i="7" s="1"/>
  <c r="J58" i="7"/>
  <c r="K58" i="7" s="1"/>
  <c r="L58" i="7" s="1"/>
  <c r="O58" i="7" s="1"/>
  <c r="T58" i="7" s="1"/>
  <c r="K47" i="7"/>
  <c r="L47" i="7" s="1"/>
  <c r="M47" i="7" s="1"/>
  <c r="U32" i="7"/>
  <c r="U36" i="7"/>
  <c r="U19" i="7"/>
  <c r="U35" i="7"/>
  <c r="U38" i="7"/>
  <c r="U14" i="7"/>
  <c r="O15" i="7" l="1"/>
  <c r="P15" i="7" s="1"/>
  <c r="R15" i="7" s="1"/>
  <c r="S15" i="7" s="1"/>
  <c r="P11" i="7"/>
  <c r="R11" i="7" s="1"/>
  <c r="S11" i="7" s="1"/>
  <c r="T12" i="7"/>
  <c r="U12" i="7" s="1"/>
  <c r="P12" i="7"/>
  <c r="R12" i="7" s="1"/>
  <c r="S12" i="7" s="1"/>
  <c r="O54" i="7"/>
  <c r="T54" i="7" s="1"/>
  <c r="P31" i="7"/>
  <c r="R31" i="7" s="1"/>
  <c r="S31" i="7" s="1"/>
  <c r="O34" i="7"/>
  <c r="P34" i="7" s="1"/>
  <c r="R34" i="7" s="1"/>
  <c r="S34" i="7" s="1"/>
  <c r="R13" i="7"/>
  <c r="S13" i="7" s="1"/>
  <c r="O13" i="7"/>
  <c r="P30" i="7"/>
  <c r="R30" i="7" s="1"/>
  <c r="S30" i="7" s="1"/>
  <c r="T30" i="7"/>
  <c r="U30" i="7" s="1"/>
  <c r="T29" i="7"/>
  <c r="U29" i="7" s="1"/>
  <c r="P26" i="7"/>
  <c r="R26" i="7" s="1"/>
  <c r="S26" i="7" s="1"/>
  <c r="P27" i="7"/>
  <c r="R27" i="7" s="1"/>
  <c r="S27" i="7" s="1"/>
  <c r="T27" i="7"/>
  <c r="U27" i="7" s="1"/>
  <c r="T15" i="7"/>
  <c r="U15" i="7" s="1"/>
  <c r="T9" i="7"/>
  <c r="U9" i="7" s="1"/>
  <c r="T11" i="7"/>
  <c r="U11" i="7" s="1"/>
  <c r="U25" i="7"/>
  <c r="U22" i="7"/>
  <c r="U18" i="7"/>
  <c r="K6" i="7"/>
  <c r="J20" i="7"/>
  <c r="U13" i="7"/>
  <c r="T10" i="7"/>
  <c r="U10" i="7" s="1"/>
  <c r="J39" i="7"/>
  <c r="U33" i="7"/>
  <c r="U16" i="7"/>
  <c r="U17" i="7"/>
  <c r="R17" i="7"/>
  <c r="S17" i="7" s="1"/>
  <c r="U24" i="7"/>
  <c r="R24" i="7"/>
  <c r="S24" i="7" s="1"/>
  <c r="U23" i="7"/>
  <c r="R23" i="7"/>
  <c r="S23" i="7" s="1"/>
  <c r="S21" i="7"/>
  <c r="U37" i="7"/>
  <c r="R37" i="7"/>
  <c r="S37" i="7" s="1"/>
  <c r="P8" i="7"/>
  <c r="R8" i="7" s="1"/>
  <c r="T28" i="7"/>
  <c r="U28" i="7" s="1"/>
  <c r="P28" i="7"/>
  <c r="R28" i="7" s="1"/>
  <c r="S28" i="7" s="1"/>
  <c r="J45" i="7"/>
  <c r="T8" i="7"/>
  <c r="U8" i="7" s="1"/>
  <c r="J50" i="7"/>
  <c r="S7" i="7"/>
  <c r="O48" i="7"/>
  <c r="U48" i="7" s="1"/>
  <c r="O42" i="7"/>
  <c r="U42" i="7" s="1"/>
  <c r="O49" i="7"/>
  <c r="U49" i="7" s="1"/>
  <c r="O43" i="7"/>
  <c r="U43" i="7" s="1"/>
  <c r="O44" i="7"/>
  <c r="U44" i="7" s="1"/>
  <c r="O47" i="7"/>
  <c r="U47" i="7" s="1"/>
  <c r="M46" i="7"/>
  <c r="O46" i="7" s="1"/>
  <c r="U46" i="7" s="1"/>
  <c r="M41" i="7"/>
  <c r="T7" i="7"/>
  <c r="U7" i="7" s="1"/>
  <c r="T21" i="7"/>
  <c r="U21" i="7" s="1"/>
  <c r="L6" i="7" l="1"/>
  <c r="M6" i="7" s="1"/>
  <c r="T34" i="7"/>
  <c r="U34" i="7" s="1"/>
  <c r="U39" i="7" s="1"/>
  <c r="S39" i="7"/>
  <c r="R39" i="7"/>
  <c r="S8" i="7"/>
  <c r="J51" i="7"/>
  <c r="O41" i="7"/>
  <c r="T50" i="7"/>
  <c r="T20" i="7"/>
  <c r="U50" i="7"/>
  <c r="O6" i="7" l="1"/>
  <c r="T39" i="7"/>
  <c r="T41" i="7"/>
  <c r="T45" i="7" s="1"/>
  <c r="P41" i="7"/>
  <c r="R41" i="7" s="1"/>
  <c r="T6" i="7" l="1"/>
  <c r="U6" i="7" s="1"/>
  <c r="U20" i="7" s="1"/>
  <c r="P6" i="7"/>
  <c r="R6" i="7" s="1"/>
  <c r="T51" i="7"/>
  <c r="U41" i="7"/>
  <c r="U45" i="7" s="1"/>
  <c r="U51" i="7" s="1"/>
  <c r="B28" i="4" s="1"/>
  <c r="B29" i="4" s="1"/>
  <c r="C29" i="4" s="1"/>
  <c r="R45" i="7"/>
  <c r="S41" i="7"/>
  <c r="S45" i="7" s="1"/>
  <c r="S6" i="7" l="1"/>
  <c r="S20" i="7" s="1"/>
  <c r="S51" i="7" s="1"/>
  <c r="B25" i="4" s="1"/>
  <c r="B26" i="4" s="1"/>
  <c r="R20" i="7"/>
  <c r="R51" i="7" s="1"/>
</calcChain>
</file>

<file path=xl/comments1.xml><?xml version="1.0" encoding="utf-8"?>
<comments xmlns="http://schemas.openxmlformats.org/spreadsheetml/2006/main">
  <authors>
    <author>Mike Young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rounded here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not on Meeks wieght list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Not on Meeks weights list; uses same interval as 3-4 cans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Tariff states per pick up rate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current tariff does not offer this service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not on Meeks weight list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from rate case</t>
        </r>
      </text>
    </comment>
  </commentList>
</comments>
</file>

<file path=xl/sharedStrings.xml><?xml version="1.0" encoding="utf-8"?>
<sst xmlns="http://schemas.openxmlformats.org/spreadsheetml/2006/main" count="207" uniqueCount="170">
  <si>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</si>
  <si>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</si>
  <si>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</si>
  <si>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</si>
  <si>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</si>
  <si>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</si>
  <si>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</si>
  <si>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</si>
  <si>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>Increase</t>
  </si>
  <si>
    <t>Disposal fee</t>
  </si>
  <si>
    <t>Meeks Weights</t>
  </si>
  <si>
    <t>Adjustment factor</t>
  </si>
  <si>
    <t>Collected Revenue Excess/(Deficiency)</t>
  </si>
  <si>
    <t>3 cans week</t>
  </si>
  <si>
    <t>4 cans week</t>
  </si>
  <si>
    <t>5 cans week</t>
  </si>
  <si>
    <t>1 can EOW</t>
  </si>
  <si>
    <t>2 cans EOW</t>
  </si>
  <si>
    <t>1 can per month</t>
  </si>
  <si>
    <t>1 minican week</t>
  </si>
  <si>
    <t>1 container mo</t>
  </si>
  <si>
    <t>1 container week</t>
  </si>
  <si>
    <t>2 cans week</t>
  </si>
  <si>
    <t>Residential</t>
  </si>
  <si>
    <t>Commercial</t>
  </si>
  <si>
    <t>1 can week</t>
  </si>
  <si>
    <t>2 cont week</t>
  </si>
  <si>
    <t>4 cont week</t>
  </si>
  <si>
    <t>1 cont 2x week</t>
  </si>
  <si>
    <t>2 cont 2x week</t>
  </si>
  <si>
    <t>3 cont 2x week</t>
  </si>
  <si>
    <t>1 cont month</t>
  </si>
  <si>
    <t>on call cont dumps</t>
  </si>
  <si>
    <t>mini can EOW</t>
  </si>
  <si>
    <t>mini can MG</t>
  </si>
  <si>
    <t>2 cans MG</t>
  </si>
  <si>
    <t>3 cans MG</t>
  </si>
  <si>
    <t>4 can EOW</t>
  </si>
  <si>
    <t>4 cans MG</t>
  </si>
  <si>
    <t>64 gal cart EOW</t>
  </si>
  <si>
    <t>64 gal cart MG</t>
  </si>
  <si>
    <t>96 gal cart EOW</t>
  </si>
  <si>
    <t>96 gal cart MG</t>
  </si>
  <si>
    <t>temp cont dumps</t>
  </si>
  <si>
    <t>Extra cans</t>
  </si>
  <si>
    <t>Extra minican</t>
  </si>
  <si>
    <t>Exatra 64 gal cart</t>
  </si>
  <si>
    <t>Exatra 96 gal cart</t>
  </si>
  <si>
    <t>Extra bag</t>
  </si>
  <si>
    <t>on call can</t>
  </si>
  <si>
    <t>Tariff Page</t>
  </si>
  <si>
    <t>Temporary containers</t>
  </si>
  <si>
    <t>On-call containers</t>
  </si>
  <si>
    <t>Extra Containers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</si>
  <si>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</si>
  <si>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</si>
  <si>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</si>
  <si>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</si>
  <si>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</si>
  <si>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</si>
  <si>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</si>
  <si>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</si>
  <si>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</si>
  <si>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</si>
  <si>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</si>
  <si>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</si>
  <si>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</si>
  <si>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</si>
  <si>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</si>
  <si>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64 gal cart monthly</t>
  </si>
  <si>
    <t>Extras</t>
  </si>
  <si>
    <t>Bags-on call</t>
  </si>
  <si>
    <t>Total Tonnage</t>
  </si>
  <si>
    <t>Total Pounds</t>
  </si>
  <si>
    <t>Calculated Annual Pounds</t>
  </si>
  <si>
    <t>Adjusted Annual Pounds</t>
  </si>
  <si>
    <t>No Current Customers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</si>
  <si>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</si>
  <si>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</si>
  <si>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</si>
  <si>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</si>
  <si>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</si>
  <si>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</si>
  <si>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</si>
  <si>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</si>
  <si>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96 gal cart weekly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</si>
  <si>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</si>
  <si>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</si>
  <si>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</si>
  <si>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</si>
  <si>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</si>
  <si>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</si>
  <si>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</si>
  <si>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</si>
  <si>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</si>
  <si>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Current Rate</t>
  </si>
  <si>
    <t>New Rate</t>
  </si>
  <si>
    <t>Staff Revenue Increase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</si>
  <si>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</si>
  <si>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</si>
  <si>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</si>
  <si>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</si>
  <si>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</si>
  <si>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</si>
  <si>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</si>
  <si>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note: Include bad debt if it was included in Lurito model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</si>
  <si>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</si>
  <si>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</si>
  <si>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</si>
  <si>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</si>
  <si>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</si>
  <si>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</si>
  <si>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</si>
  <si>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</si>
  <si>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</si>
  <si>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</si>
  <si>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</si>
  <si>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</si>
  <si>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</si>
  <si>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</si>
  <si>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</si>
  <si>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Bad debt</t>
  </si>
  <si>
    <t>Olympic View Transfer Station</t>
  </si>
  <si>
    <t>Jan</t>
  </si>
  <si>
    <t>TS</t>
  </si>
  <si>
    <t>Reg</t>
  </si>
  <si>
    <t>Pass PL</t>
  </si>
  <si>
    <t>Pass BI</t>
  </si>
  <si>
    <t>Feb</t>
  </si>
  <si>
    <t>Bainbridge Disposal</t>
  </si>
  <si>
    <t>Kitsap County</t>
  </si>
  <si>
    <t>Mar</t>
  </si>
  <si>
    <t>Apr</t>
  </si>
  <si>
    <t>May</t>
  </si>
  <si>
    <t>Aug</t>
  </si>
  <si>
    <t>Sep</t>
  </si>
  <si>
    <t>Oct</t>
  </si>
  <si>
    <t>Nov</t>
  </si>
  <si>
    <t>Dec</t>
  </si>
  <si>
    <t>Jun</t>
  </si>
  <si>
    <t>Jul</t>
  </si>
  <si>
    <t>Price per ton</t>
  </si>
  <si>
    <t>Tons collected</t>
  </si>
  <si>
    <t>$</t>
  </si>
  <si>
    <t>Regulated</t>
  </si>
  <si>
    <t>Contractor DB</t>
  </si>
  <si>
    <t>Transfer Station</t>
  </si>
  <si>
    <t>Drop Box Bainbridge</t>
  </si>
  <si>
    <t>Drop Box Poulsbo</t>
  </si>
  <si>
    <t>Contractor</t>
  </si>
  <si>
    <t>Drop Box</t>
  </si>
  <si>
    <t>20-30 Gal big belly  solar</t>
  </si>
  <si>
    <t>1 cont week - 2yd</t>
  </si>
  <si>
    <t>1 cont EOW - 2yd</t>
  </si>
  <si>
    <t>Commercial/Mult-fam</t>
  </si>
  <si>
    <t>64 Gallon cart</t>
  </si>
  <si>
    <t>1 cont week - 2 yd temp</t>
  </si>
  <si>
    <t>1 cont week - 2 yd multi</t>
  </si>
  <si>
    <t>1 cont week - 2 yd cust owned</t>
  </si>
  <si>
    <t>Poulsbo TS</t>
  </si>
  <si>
    <t>Poulsbo Comm</t>
  </si>
  <si>
    <t>Port Gamble</t>
  </si>
  <si>
    <t>Increase from 2015</t>
  </si>
  <si>
    <t>6 cans week</t>
  </si>
  <si>
    <t>105, 245</t>
  </si>
  <si>
    <t>26, 36</t>
  </si>
  <si>
    <t>Regulated tons down from last year, although it is up from 2015 passing on increase as last year's regulated tons were higher and no action was taken.</t>
  </si>
  <si>
    <t>23,26,36</t>
  </si>
  <si>
    <t>26,35</t>
  </si>
  <si>
    <t>105/240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</si>
</sst>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0"/>
    <numFmt numFmtId="170" formatCode="General_)"/>
    <numFmt numFmtId="171" formatCode="0.0%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1" fontId="3" fillId="0" borderId="0"/>
    <xf numFmtId="0" fontId="13" fillId="10" borderId="0" applyNumberFormat="0" applyBorder="0" applyAlignment="0" applyProtection="0"/>
    <xf numFmtId="3" fontId="3" fillId="0" borderId="0"/>
    <xf numFmtId="0" fontId="14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/>
    <xf numFmtId="0" fontId="16" fillId="0" borderId="0"/>
    <xf numFmtId="0" fontId="16" fillId="0" borderId="0"/>
    <xf numFmtId="0" fontId="17" fillId="12" borderId="1" applyAlignment="0">
      <alignment horizontal="right"/>
      <protection locked="0"/>
    </xf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13" borderId="0">
      <alignment horizontal="right"/>
      <protection locked="0"/>
    </xf>
    <xf numFmtId="2" fontId="18" fillId="13" borderId="0">
      <alignment horizontal="right"/>
      <protection locked="0"/>
    </xf>
    <xf numFmtId="0" fontId="19" fillId="1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" fontId="25" fillId="15" borderId="0">
      <protection locked="0"/>
    </xf>
    <xf numFmtId="4" fontId="25" fillId="15" borderId="0">
      <protection locked="0"/>
    </xf>
    <xf numFmtId="0" fontId="26" fillId="0" borderId="10" applyNumberFormat="0" applyFill="0" applyAlignment="0" applyProtection="0"/>
    <xf numFmtId="0" fontId="27" fillId="4" borderId="0" applyNumberFormat="0" applyBorder="0" applyAlignment="0" applyProtection="0"/>
    <xf numFmtId="43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28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16" borderId="11" applyNumberFormat="0" applyFont="0" applyAlignment="0" applyProtection="0"/>
    <xf numFmtId="171" fontId="30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1" fillId="0" borderId="0" applyNumberFormat="0" applyFont="0" applyFill="0" applyBorder="0" applyAlignment="0" applyProtection="0">
      <alignment horizontal="left"/>
    </xf>
    <xf numFmtId="0" fontId="32" fillId="0" borderId="5">
      <alignment horizontal="center"/>
    </xf>
    <xf numFmtId="0" fontId="15" fillId="0" borderId="0">
      <alignment vertical="top"/>
    </xf>
    <xf numFmtId="0" fontId="15" fillId="0" borderId="0" applyNumberFormat="0" applyBorder="0" applyAlignment="0"/>
    <xf numFmtId="0" fontId="33" fillId="0" borderId="12" applyNumberFormat="0" applyFill="0" applyAlignment="0" applyProtection="0"/>
  </cellStyleXfs>
  <cellXfs count="1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43" fontId="0" fillId="0" borderId="0" xfId="0" applyNumberFormat="1"/>
    <xf numFmtId="44" fontId="0" fillId="0" borderId="1" xfId="2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 wrapText="1"/>
    </xf>
    <xf numFmtId="0" fontId="4" fillId="0" borderId="0" xfId="4" applyFont="1" applyFill="1" applyBorder="1" applyAlignment="1">
      <alignment horizontal="left"/>
    </xf>
    <xf numFmtId="164" fontId="0" fillId="0" borderId="0" xfId="0" applyNumberFormat="1" applyBorder="1"/>
    <xf numFmtId="10" fontId="0" fillId="0" borderId="0" xfId="3" applyNumberFormat="1" applyFont="1" applyBorder="1"/>
    <xf numFmtId="10" fontId="0" fillId="0" borderId="0" xfId="3" applyNumberFormat="1" applyFont="1"/>
    <xf numFmtId="0" fontId="0" fillId="0" borderId="0" xfId="0" applyBorder="1" applyAlignment="1">
      <alignment horizontal="right"/>
    </xf>
    <xf numFmtId="43" fontId="0" fillId="0" borderId="0" xfId="0" applyNumberFormat="1" applyFill="1" applyBorder="1"/>
    <xf numFmtId="43" fontId="0" fillId="0" borderId="0" xfId="1" applyFont="1" applyFill="1" applyBorder="1"/>
    <xf numFmtId="0" fontId="0" fillId="0" borderId="0" xfId="0"/>
    <xf numFmtId="0" fontId="0" fillId="0" borderId="0" xfId="0" applyBorder="1"/>
    <xf numFmtId="0" fontId="3" fillId="0" borderId="0" xfId="4" applyFont="1" applyFill="1" applyBorder="1" applyAlignment="1">
      <alignment horizontal="left"/>
    </xf>
    <xf numFmtId="0" fontId="0" fillId="0" borderId="0" xfId="0" applyBorder="1" applyAlignment="1">
      <alignment wrapText="1"/>
    </xf>
    <xf numFmtId="3" fontId="0" fillId="0" borderId="0" xfId="0" applyNumberFormat="1" applyFill="1" applyBorder="1"/>
    <xf numFmtId="43" fontId="0" fillId="0" borderId="0" xfId="1" applyFont="1" applyFill="1" applyBorder="1" applyAlignment="1">
      <alignment horizontal="center" wrapText="1"/>
    </xf>
    <xf numFmtId="167" fontId="0" fillId="0" borderId="0" xfId="1" applyNumberFormat="1" applyFont="1" applyFill="1" applyBorder="1"/>
    <xf numFmtId="167" fontId="0" fillId="0" borderId="0" xfId="1" applyNumberFormat="1" applyFont="1" applyFill="1"/>
    <xf numFmtId="0" fontId="0" fillId="0" borderId="0" xfId="0" applyFill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1" xfId="1" applyFont="1" applyFill="1" applyBorder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0" borderId="0" xfId="1" applyFont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4" applyFont="1" applyFill="1" applyBorder="1" applyAlignment="1">
      <alignment horizontal="left"/>
    </xf>
    <xf numFmtId="3" fontId="0" fillId="0" borderId="3" xfId="0" applyNumberFormat="1" applyFill="1" applyBorder="1"/>
    <xf numFmtId="43" fontId="0" fillId="0" borderId="3" xfId="0" applyNumberFormat="1" applyFill="1" applyBorder="1"/>
    <xf numFmtId="43" fontId="0" fillId="0" borderId="3" xfId="1" applyFont="1" applyFill="1" applyBorder="1" applyAlignment="1">
      <alignment horizontal="center" wrapText="1"/>
    </xf>
    <xf numFmtId="43" fontId="0" fillId="0" borderId="3" xfId="1" applyFont="1" applyFill="1" applyBorder="1"/>
    <xf numFmtId="0" fontId="0" fillId="0" borderId="1" xfId="0" applyFill="1" applyBorder="1" applyAlignment="1">
      <alignment vertical="center"/>
    </xf>
    <xf numFmtId="0" fontId="3" fillId="0" borderId="1" xfId="4" applyFont="1" applyFill="1" applyBorder="1" applyAlignment="1">
      <alignment horizontal="left"/>
    </xf>
    <xf numFmtId="167" fontId="0" fillId="0" borderId="1" xfId="1" applyNumberFormat="1" applyFont="1" applyFill="1" applyBorder="1"/>
    <xf numFmtId="0" fontId="7" fillId="0" borderId="0" xfId="4" applyFont="1" applyFill="1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167" fontId="0" fillId="0" borderId="0" xfId="1" applyNumberFormat="1" applyFont="1"/>
    <xf numFmtId="0" fontId="0" fillId="0" borderId="0" xfId="0" applyAlignment="1">
      <alignment horizontal="center"/>
    </xf>
    <xf numFmtId="0" fontId="6" fillId="0" borderId="1" xfId="0" applyFont="1" applyBorder="1"/>
    <xf numFmtId="44" fontId="0" fillId="0" borderId="0" xfId="0" applyNumberFormat="1"/>
    <xf numFmtId="0" fontId="6" fillId="0" borderId="0" xfId="0" applyFont="1"/>
    <xf numFmtId="0" fontId="0" fillId="0" borderId="0" xfId="0" applyBorder="1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 applyBorder="1"/>
    <xf numFmtId="0" fontId="2" fillId="0" borderId="0" xfId="0" applyFont="1" applyBorder="1"/>
    <xf numFmtId="168" fontId="2" fillId="0" borderId="0" xfId="1" applyNumberFormat="1" applyFont="1" applyBorder="1"/>
    <xf numFmtId="0" fontId="7" fillId="0" borderId="0" xfId="4" applyFont="1" applyFill="1" applyBorder="1" applyAlignment="1">
      <alignment horizontal="left"/>
    </xf>
    <xf numFmtId="3" fontId="6" fillId="0" borderId="0" xfId="0" applyNumberFormat="1" applyFont="1" applyFill="1" applyBorder="1"/>
    <xf numFmtId="44" fontId="0" fillId="0" borderId="3" xfId="1" applyNumberFormat="1" applyFont="1" applyFill="1" applyBorder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6" fillId="0" borderId="0" xfId="0" applyNumberFormat="1" applyFont="1" applyFill="1" applyBorder="1"/>
    <xf numFmtId="3" fontId="6" fillId="0" borderId="1" xfId="0" applyNumberFormat="1" applyFont="1" applyFill="1" applyBorder="1"/>
    <xf numFmtId="164" fontId="0" fillId="0" borderId="0" xfId="0" applyNumberFormat="1"/>
    <xf numFmtId="43" fontId="0" fillId="0" borderId="2" xfId="1" applyFont="1" applyFill="1" applyBorder="1"/>
    <xf numFmtId="44" fontId="0" fillId="0" borderId="0" xfId="2" applyNumberFormat="1" applyFont="1" applyFill="1" applyBorder="1"/>
    <xf numFmtId="44" fontId="0" fillId="0" borderId="1" xfId="2" applyNumberFormat="1" applyFont="1" applyFill="1" applyBorder="1"/>
    <xf numFmtId="167" fontId="0" fillId="0" borderId="3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167" fontId="6" fillId="0" borderId="1" xfId="0" applyNumberFormat="1" applyFont="1" applyFill="1" applyBorder="1"/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3" fontId="6" fillId="0" borderId="0" xfId="1" applyFont="1" applyBorder="1" applyAlignment="1">
      <alignment horizontal="center" wrapText="1"/>
    </xf>
    <xf numFmtId="43" fontId="6" fillId="0" borderId="2" xfId="1" applyFont="1" applyFill="1" applyBorder="1" applyAlignment="1">
      <alignment wrapText="1"/>
    </xf>
    <xf numFmtId="0" fontId="0" fillId="0" borderId="2" xfId="0" applyFill="1" applyBorder="1"/>
    <xf numFmtId="0" fontId="7" fillId="0" borderId="2" xfId="4" applyFont="1" applyFill="1" applyBorder="1" applyAlignment="1">
      <alignment horizontal="left"/>
    </xf>
    <xf numFmtId="0" fontId="0" fillId="0" borderId="2" xfId="0" applyFill="1" applyBorder="1" applyAlignment="1">
      <alignment vertical="center" textRotation="90"/>
    </xf>
    <xf numFmtId="0" fontId="0" fillId="0" borderId="2" xfId="0" applyBorder="1"/>
    <xf numFmtId="0" fontId="7" fillId="0" borderId="2" xfId="4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7" fontId="6" fillId="0" borderId="2" xfId="0" applyNumberFormat="1" applyFont="1" applyBorder="1"/>
    <xf numFmtId="43" fontId="6" fillId="0" borderId="2" xfId="1" applyFont="1" applyBorder="1" applyAlignment="1">
      <alignment horizontal="center" wrapText="1"/>
    </xf>
    <xf numFmtId="0" fontId="7" fillId="0" borderId="0" xfId="4" applyFont="1" applyFill="1" applyBorder="1" applyAlignment="1">
      <alignment horizontal="center" vertical="center"/>
    </xf>
    <xf numFmtId="164" fontId="0" fillId="0" borderId="3" xfId="1" applyNumberFormat="1" applyFont="1" applyFill="1" applyBorder="1"/>
    <xf numFmtId="164" fontId="6" fillId="0" borderId="1" xfId="0" applyNumberFormat="1" applyFont="1" applyFill="1" applyBorder="1"/>
    <xf numFmtId="164" fontId="0" fillId="0" borderId="0" xfId="1" applyNumberFormat="1" applyFont="1" applyFill="1"/>
    <xf numFmtId="164" fontId="6" fillId="0" borderId="1" xfId="1" applyNumberFormat="1" applyFont="1" applyFill="1" applyBorder="1"/>
    <xf numFmtId="164" fontId="6" fillId="0" borderId="2" xfId="1" applyNumberFormat="1" applyFont="1" applyBorder="1" applyAlignment="1">
      <alignment horizontal="center" wrapText="1"/>
    </xf>
    <xf numFmtId="164" fontId="6" fillId="0" borderId="2" xfId="0" applyNumberFormat="1" applyFont="1" applyBorder="1"/>
    <xf numFmtId="44" fontId="0" fillId="0" borderId="0" xfId="1" applyNumberFormat="1" applyFont="1" applyFill="1" applyBorder="1" applyAlignment="1">
      <alignment horizontal="center" wrapText="1"/>
    </xf>
    <xf numFmtId="44" fontId="0" fillId="0" borderId="1" xfId="1" applyNumberFormat="1" applyFont="1" applyFill="1" applyBorder="1" applyAlignment="1">
      <alignment horizontal="center" wrapText="1"/>
    </xf>
    <xf numFmtId="44" fontId="6" fillId="0" borderId="2" xfId="1" applyNumberFormat="1" applyFont="1" applyFill="1" applyBorder="1" applyAlignment="1">
      <alignment horizontal="center" wrapText="1"/>
    </xf>
    <xf numFmtId="44" fontId="6" fillId="0" borderId="0" xfId="1" applyNumberFormat="1" applyFont="1" applyFill="1" applyBorder="1" applyAlignment="1">
      <alignment horizontal="center" wrapText="1"/>
    </xf>
    <xf numFmtId="0" fontId="0" fillId="0" borderId="4" xfId="0" applyBorder="1"/>
    <xf numFmtId="0" fontId="7" fillId="0" borderId="4" xfId="4" applyFont="1" applyFill="1" applyBorder="1" applyAlignment="1">
      <alignment horizontal="left"/>
    </xf>
    <xf numFmtId="3" fontId="6" fillId="0" borderId="4" xfId="0" applyNumberFormat="1" applyFont="1" applyBorder="1"/>
    <xf numFmtId="2" fontId="0" fillId="0" borderId="4" xfId="0" applyNumberFormat="1" applyBorder="1"/>
    <xf numFmtId="164" fontId="6" fillId="0" borderId="4" xfId="0" applyNumberFormat="1" applyFont="1" applyBorder="1"/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164" fontId="0" fillId="0" borderId="0" xfId="2" applyNumberFormat="1" applyFont="1" applyFill="1" applyBorder="1"/>
    <xf numFmtId="164" fontId="0" fillId="0" borderId="0" xfId="0" applyNumberFormat="1" applyFill="1" applyBorder="1"/>
    <xf numFmtId="0" fontId="0" fillId="0" borderId="1" xfId="0" applyBorder="1" applyAlignment="1">
      <alignment horizontal="center"/>
    </xf>
    <xf numFmtId="44" fontId="6" fillId="0" borderId="1" xfId="0" applyNumberFormat="1" applyFont="1" applyBorder="1"/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164" fontId="6" fillId="0" borderId="2" xfId="0" applyNumberFormat="1" applyFont="1" applyFill="1" applyBorder="1"/>
    <xf numFmtId="164" fontId="0" fillId="0" borderId="1" xfId="0" applyNumberFormat="1" applyFill="1" applyBorder="1"/>
    <xf numFmtId="164" fontId="6" fillId="0" borderId="2" xfId="1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/>
    <xf numFmtId="0" fontId="6" fillId="0" borderId="1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 applyBorder="1"/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1" applyFont="1" applyFill="1"/>
    <xf numFmtId="0" fontId="0" fillId="0" borderId="0" xfId="0" applyAlignment="1">
      <alignment horizontal="right" indent="1"/>
    </xf>
    <xf numFmtId="43" fontId="0" fillId="0" borderId="0" xfId="0" applyNumberFormat="1" applyFill="1"/>
    <xf numFmtId="0" fontId="0" fillId="0" borderId="0" xfId="0" applyAlignment="1">
      <alignment horizontal="center"/>
    </xf>
    <xf numFmtId="0" fontId="0" fillId="17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3" fontId="6" fillId="0" borderId="2" xfId="0" applyNumberFormat="1" applyFont="1" applyFill="1" applyBorder="1"/>
    <xf numFmtId="43" fontId="0" fillId="0" borderId="0" xfId="1" applyFont="1" applyFill="1" applyAlignment="1">
      <alignment horizontal="right"/>
    </xf>
    <xf numFmtId="44" fontId="0" fillId="0" borderId="0" xfId="2" applyFont="1" applyFill="1"/>
    <xf numFmtId="43" fontId="0" fillId="18" borderId="0" xfId="1" applyFont="1" applyFill="1"/>
    <xf numFmtId="43" fontId="0" fillId="0" borderId="0" xfId="1" applyFont="1" applyFill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Alignment="1">
      <alignment horizontal="right"/>
    </xf>
    <xf numFmtId="44" fontId="34" fillId="0" borderId="0" xfId="2" applyNumberFormat="1" applyFont="1" applyFill="1" applyBorder="1"/>
    <xf numFmtId="0" fontId="0" fillId="0" borderId="4" xfId="0" applyFill="1" applyBorder="1"/>
    <xf numFmtId="0" fontId="0" fillId="0" borderId="0" xfId="0" applyFill="1" applyBorder="1" applyAlignment="1">
      <alignment horizontal="right" wrapText="1"/>
    </xf>
    <xf numFmtId="44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/>
    <xf numFmtId="43" fontId="0" fillId="19" borderId="0" xfId="1" applyFont="1" applyFill="1"/>
    <xf numFmtId="43" fontId="0" fillId="19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Fill="1" applyAlignment="1">
      <alignment horizontal="center" wrapText="1"/>
    </xf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44" fontId="34" fillId="0" borderId="0" xfId="1" applyNumberFormat="1" applyFont="1" applyFill="1" applyBorder="1"/>
    <xf numFmtId="0" fontId="0" fillId="0" borderId="0" xfId="0" applyFill="1" applyAlignment="1">
      <alignment wrapText="1"/>
    </xf>
    <xf numFmtId="165" fontId="0" fillId="0" borderId="0" xfId="2" applyNumberFormat="1" applyFont="1" applyFill="1"/>
    <xf numFmtId="169" fontId="0" fillId="0" borderId="0" xfId="0" applyNumberFormat="1" applyFill="1"/>
    <xf numFmtId="44" fontId="0" fillId="0" borderId="1" xfId="2" applyFont="1" applyFill="1" applyBorder="1"/>
    <xf numFmtId="165" fontId="0" fillId="0" borderId="1" xfId="2" applyNumberFormat="1" applyFont="1" applyFill="1" applyBorder="1"/>
    <xf numFmtId="44" fontId="0" fillId="0" borderId="0" xfId="0" applyNumberFormat="1" applyFill="1"/>
    <xf numFmtId="44" fontId="6" fillId="0" borderId="0" xfId="0" applyNumberFormat="1" applyFont="1" applyFill="1"/>
    <xf numFmtId="43" fontId="0" fillId="0" borderId="13" xfId="1" applyFont="1" applyFill="1" applyBorder="1"/>
  </cellXfs>
  <cellStyles count="129">
    <cellStyle name="20% - Accent1 2" xfId="7"/>
    <cellStyle name="20% - Accent4 2" xfId="8"/>
    <cellStyle name="40% - Accent1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Accent1 2" xfId="18"/>
    <cellStyle name="Accent2 2" xfId="19"/>
    <cellStyle name="Accent3 2" xfId="20"/>
    <cellStyle name="Accent6 2" xfId="21"/>
    <cellStyle name="Accounting" xfId="22"/>
    <cellStyle name="Bad 2" xfId="23"/>
    <cellStyle name="Budget" xfId="24"/>
    <cellStyle name="Calculation 2" xfId="25"/>
    <cellStyle name="Comma" xfId="1" builtinId="3"/>
    <cellStyle name="Comma 10" xfId="26"/>
    <cellStyle name="Comma 11" xfId="27"/>
    <cellStyle name="Comma 12" xfId="28"/>
    <cellStyle name="Comma 13" xfId="29"/>
    <cellStyle name="Comma 14" xfId="30"/>
    <cellStyle name="Comma 15" xfId="31"/>
    <cellStyle name="Comma 16" xfId="32"/>
    <cellStyle name="Comma 17" xfId="33"/>
    <cellStyle name="Comma 2" xfId="5"/>
    <cellStyle name="Comma 2 2" xfId="34"/>
    <cellStyle name="Comma 2 3" xfId="35"/>
    <cellStyle name="Comma 3" xfId="36"/>
    <cellStyle name="Comma 3 2" xfId="37"/>
    <cellStyle name="Comma 3 2 2" xfId="38"/>
    <cellStyle name="Comma 3 3" xfId="39"/>
    <cellStyle name="Comma 4" xfId="40"/>
    <cellStyle name="Comma 4 2" xfId="41"/>
    <cellStyle name="Comma 4 3" xfId="42"/>
    <cellStyle name="Comma 4 4" xfId="43"/>
    <cellStyle name="Comma 4 5" xfId="44"/>
    <cellStyle name="Comma 5" xfId="45"/>
    <cellStyle name="Comma 6" xfId="46"/>
    <cellStyle name="Comma 7" xfId="47"/>
    <cellStyle name="Comma 8" xfId="48"/>
    <cellStyle name="Comma 9" xfId="49"/>
    <cellStyle name="Comma(2)" xfId="50"/>
    <cellStyle name="Comma0 - Style2" xfId="51"/>
    <cellStyle name="Comma1 - Style1" xfId="52"/>
    <cellStyle name="Comments" xfId="53"/>
    <cellStyle name="Currency" xfId="2" builtinId="4"/>
    <cellStyle name="Currency 2" xfId="6"/>
    <cellStyle name="Currency 2 2" xfId="54"/>
    <cellStyle name="Currency 3" xfId="55"/>
    <cellStyle name="Currency 4" xfId="56"/>
    <cellStyle name="Currency 5" xfId="57"/>
    <cellStyle name="Currency 6" xfId="58"/>
    <cellStyle name="Currency 7" xfId="59"/>
    <cellStyle name="Currency 9" xfId="60"/>
    <cellStyle name="Data Enter" xfId="61"/>
    <cellStyle name="FactSheet" xfId="62"/>
    <cellStyle name="Good 2" xfId="63"/>
    <cellStyle name="Heading 1 2" xfId="64"/>
    <cellStyle name="Heading 2 2" xfId="65"/>
    <cellStyle name="Heading 3 2" xfId="66"/>
    <cellStyle name="Hyperlink 2" xfId="67"/>
    <cellStyle name="Hyperlink 3" xfId="68"/>
    <cellStyle name="input(0)" xfId="69"/>
    <cellStyle name="Input(2)" xfId="70"/>
    <cellStyle name="Linked Cell 2" xfId="71"/>
    <cellStyle name="Neutral 2" xfId="72"/>
    <cellStyle name="New_normal" xfId="73"/>
    <cellStyle name="Normal" xfId="0" builtinId="0"/>
    <cellStyle name="Normal - Style1" xfId="74"/>
    <cellStyle name="Normal - Style2" xfId="75"/>
    <cellStyle name="Normal - Style3" xfId="76"/>
    <cellStyle name="Normal - Style4" xfId="77"/>
    <cellStyle name="Normal - Style5" xfId="78"/>
    <cellStyle name="Normal 10" xfId="79"/>
    <cellStyle name="Normal 10 2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2" xfId="91"/>
    <cellStyle name="Normal 2 2 2" xfId="92"/>
    <cellStyle name="Normal 2 2 3" xfId="93"/>
    <cellStyle name="Normal 2 2_IS210PL" xfId="94"/>
    <cellStyle name="Normal 2 3" xfId="95"/>
    <cellStyle name="Normal 2 3 2" xfId="96"/>
    <cellStyle name="Normal 2 3 3" xfId="97"/>
    <cellStyle name="Normal 2 4" xfId="98"/>
    <cellStyle name="Normal 2 5" xfId="99"/>
    <cellStyle name="Normal 2_2180 Payroll Schedule 8-22-2011" xfId="100"/>
    <cellStyle name="Normal 20" xfId="101"/>
    <cellStyle name="Normal 3" xfId="102"/>
    <cellStyle name="Normal 3 2" xfId="103"/>
    <cellStyle name="Normal 3_2149 Depr 9-30-12" xfId="104"/>
    <cellStyle name="Normal 4" xfId="105"/>
    <cellStyle name="Normal 5" xfId="106"/>
    <cellStyle name="Normal 5 2" xfId="107"/>
    <cellStyle name="Normal 5_2183 UTC Depreciation 3 31 2012 Heather 6-6-2012" xfId="108"/>
    <cellStyle name="Normal 6" xfId="109"/>
    <cellStyle name="Normal 7" xfId="110"/>
    <cellStyle name="Normal 8" xfId="111"/>
    <cellStyle name="Normal 9" xfId="112"/>
    <cellStyle name="Normal_Price out" xfId="4"/>
    <cellStyle name="Note 2" xfId="113"/>
    <cellStyle name="Notes" xfId="114"/>
    <cellStyle name="Percent" xfId="3" builtinId="5"/>
    <cellStyle name="Percent 2" xfId="115"/>
    <cellStyle name="Percent 2 2" xfId="116"/>
    <cellStyle name="Percent 3" xfId="117"/>
    <cellStyle name="Percent 4" xfId="118"/>
    <cellStyle name="Percent 4 2" xfId="119"/>
    <cellStyle name="Percent 7" xfId="120"/>
    <cellStyle name="Percent(1)" xfId="121"/>
    <cellStyle name="Percent(2)" xfId="122"/>
    <cellStyle name="PRM" xfId="123"/>
    <cellStyle name="PSChar" xfId="124"/>
    <cellStyle name="PSHeading" xfId="125"/>
    <cellStyle name="Style 1" xfId="126"/>
    <cellStyle name="STYLE1" xfId="127"/>
    <cellStyle name="Total 2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Normal="100" workbookViewId="0">
      <selection activeCell="L8" sqref="L8"/>
    </sheetView>
  </sheetViews>
  <sheetFormatPr defaultRowHeight="15"/>
  <sheetData>
    <row r="2" spans="1:7">
      <c r="A2" s="119" t="s">
        <v>99</v>
      </c>
    </row>
    <row r="4" spans="1:7">
      <c r="B4" t="s">
        <v>100</v>
      </c>
      <c r="C4" s="25"/>
      <c r="D4" s="25"/>
    </row>
    <row r="5" spans="1:7">
      <c r="C5" s="25" t="s">
        <v>111</v>
      </c>
      <c r="D5" s="25"/>
      <c r="E5" s="25"/>
      <c r="F5" s="25"/>
      <c r="G5" s="25"/>
    </row>
    <row r="6" spans="1:7">
      <c r="C6" s="25" t="s">
        <v>101</v>
      </c>
      <c r="D6" s="25"/>
      <c r="E6" s="25"/>
      <c r="F6" s="25"/>
      <c r="G6" s="25"/>
    </row>
    <row r="7" spans="1:7" s="17" customFormat="1">
      <c r="C7" s="25" t="s">
        <v>112</v>
      </c>
      <c r="D7" s="25"/>
      <c r="E7" s="25"/>
      <c r="F7" s="25"/>
      <c r="G7" s="25"/>
    </row>
    <row r="8" spans="1:7" s="17" customFormat="1">
      <c r="C8" s="25"/>
      <c r="D8" s="25"/>
      <c r="E8" s="25"/>
      <c r="F8" s="25"/>
      <c r="G8" s="25"/>
    </row>
    <row r="9" spans="1:7" s="17" customFormat="1">
      <c r="B9" s="17" t="s">
        <v>115</v>
      </c>
    </row>
    <row r="10" spans="1:7" s="17" customFormat="1">
      <c r="C10" s="17" t="s">
        <v>116</v>
      </c>
    </row>
    <row r="11" spans="1:7" s="17" customFormat="1"/>
    <row r="12" spans="1:7">
      <c r="B12" t="s">
        <v>117</v>
      </c>
    </row>
    <row r="13" spans="1:7" s="17" customFormat="1">
      <c r="C13" s="17" t="s">
        <v>113</v>
      </c>
    </row>
    <row r="14" spans="1:7" s="17" customFormat="1">
      <c r="C14" s="17" t="s">
        <v>118</v>
      </c>
    </row>
    <row r="15" spans="1:7">
      <c r="C15" t="s">
        <v>114</v>
      </c>
    </row>
    <row r="17" spans="2:3">
      <c r="B17" t="s">
        <v>104</v>
      </c>
    </row>
    <row r="18" spans="2:3">
      <c r="C18" t="s">
        <v>102</v>
      </c>
    </row>
    <row r="19" spans="2:3">
      <c r="C19" t="s">
        <v>103</v>
      </c>
    </row>
    <row r="21" spans="2:3">
      <c r="B21" t="s">
        <v>106</v>
      </c>
    </row>
    <row r="22" spans="2:3">
      <c r="C22" t="s">
        <v>108</v>
      </c>
    </row>
    <row r="23" spans="2:3">
      <c r="C23" t="s">
        <v>107</v>
      </c>
    </row>
    <row r="24" spans="2:3">
      <c r="C24" t="s">
        <v>109</v>
      </c>
    </row>
    <row r="25" spans="2:3">
      <c r="C25" t="s">
        <v>110</v>
      </c>
    </row>
    <row r="27" spans="2:3">
      <c r="B27" t="s">
        <v>120</v>
      </c>
    </row>
  </sheetData>
  <pageMargins left="0.7" right="0.7" top="0.75" bottom="0.75" header="0.3" footer="0.3"/>
  <pageSetup scale="9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topLeftCell="A16" zoomScaleNormal="100" workbookViewId="0">
      <selection activeCell="B33" sqref="B33"/>
    </sheetView>
  </sheetViews>
  <sheetFormatPr defaultRowHeight="15"/>
  <cols>
    <col min="1" max="1" width="35.140625" customWidth="1"/>
    <col min="2" max="2" width="16.7109375" customWidth="1"/>
    <col min="3" max="3" width="9.7109375" bestFit="1" customWidth="1"/>
    <col min="4" max="4" width="7" bestFit="1" customWidth="1"/>
    <col min="5" max="5" width="12.7109375" customWidth="1"/>
    <col min="6" max="6" width="12.28515625" bestFit="1" customWidth="1"/>
    <col min="7" max="7" width="13.140625" customWidth="1"/>
    <col min="8" max="8" width="11.5703125" customWidth="1"/>
    <col min="9" max="9" width="11.42578125" customWidth="1"/>
    <col min="10" max="10" width="3.140625" customWidth="1"/>
    <col min="11" max="11" width="11.5703125" customWidth="1"/>
    <col min="12" max="13" width="11.5703125" style="17" customWidth="1"/>
    <col min="15" max="17" width="11.7109375" bestFit="1" customWidth="1"/>
    <col min="18" max="18" width="14.5703125" bestFit="1" customWidth="1"/>
    <col min="19" max="19" width="12.140625" bestFit="1" customWidth="1"/>
    <col min="20" max="20" width="10.7109375" bestFit="1" customWidth="1"/>
    <col min="21" max="21" width="13.28515625" bestFit="1" customWidth="1"/>
  </cols>
  <sheetData>
    <row r="1" spans="1:11" s="17" customFormat="1">
      <c r="A1" s="49" t="s">
        <v>129</v>
      </c>
    </row>
    <row r="2" spans="1:11" s="17" customFormat="1">
      <c r="A2" s="49" t="s">
        <v>9</v>
      </c>
    </row>
    <row r="3" spans="1:11" s="17" customFormat="1">
      <c r="A3" s="49" t="s">
        <v>130</v>
      </c>
    </row>
    <row r="4" spans="1:11" s="17" customFormat="1">
      <c r="A4" s="49"/>
      <c r="D4" s="150" t="s">
        <v>56</v>
      </c>
      <c r="E4" s="150"/>
      <c r="F4" s="150"/>
      <c r="G4" s="150"/>
    </row>
    <row r="5" spans="1:11" s="17" customFormat="1">
      <c r="D5" s="109" t="s">
        <v>88</v>
      </c>
      <c r="E5" s="109" t="s">
        <v>89</v>
      </c>
      <c r="F5" s="109" t="s">
        <v>90</v>
      </c>
      <c r="G5" s="111" t="s">
        <v>94</v>
      </c>
    </row>
    <row r="6" spans="1:11" s="17" customFormat="1">
      <c r="A6" s="105" t="s">
        <v>87</v>
      </c>
      <c r="D6" s="112">
        <f>52*2/12</f>
        <v>8.6666666666666661</v>
      </c>
      <c r="E6" s="112">
        <f>D6*2</f>
        <v>17.333333333333332</v>
      </c>
      <c r="F6" s="112">
        <f>D6*3</f>
        <v>26</v>
      </c>
      <c r="G6" s="112">
        <f>D6*4</f>
        <v>34.666666666666664</v>
      </c>
    </row>
    <row r="7" spans="1:11">
      <c r="A7" t="s">
        <v>59</v>
      </c>
      <c r="D7" s="112">
        <f>52/12</f>
        <v>4.333333333333333</v>
      </c>
      <c r="E7" s="112">
        <f t="shared" ref="E7:E9" si="0">D7*2</f>
        <v>8.6666666666666661</v>
      </c>
      <c r="F7" s="112">
        <f t="shared" ref="F7:F9" si="1">D7*3</f>
        <v>13</v>
      </c>
      <c r="G7" s="112">
        <f t="shared" ref="G7:G9" si="2">D7*4</f>
        <v>17.333333333333332</v>
      </c>
    </row>
    <row r="8" spans="1:11">
      <c r="A8" t="s">
        <v>61</v>
      </c>
      <c r="D8" s="112">
        <f>26/12</f>
        <v>2.1666666666666665</v>
      </c>
      <c r="E8" s="112">
        <f t="shared" si="0"/>
        <v>4.333333333333333</v>
      </c>
      <c r="F8" s="112">
        <f t="shared" si="1"/>
        <v>6.5</v>
      </c>
      <c r="G8" s="112">
        <f t="shared" si="2"/>
        <v>8.6666666666666661</v>
      </c>
    </row>
    <row r="9" spans="1:11">
      <c r="A9" t="s">
        <v>60</v>
      </c>
      <c r="D9" s="112">
        <f>12/12</f>
        <v>1</v>
      </c>
      <c r="E9" s="112">
        <f t="shared" si="0"/>
        <v>2</v>
      </c>
      <c r="F9" s="112">
        <f t="shared" si="1"/>
        <v>3</v>
      </c>
      <c r="G9" s="112">
        <f t="shared" si="2"/>
        <v>4</v>
      </c>
    </row>
    <row r="11" spans="1:11">
      <c r="A11" t="s">
        <v>57</v>
      </c>
      <c r="B11">
        <v>2000</v>
      </c>
    </row>
    <row r="12" spans="1:11">
      <c r="A12" t="s">
        <v>58</v>
      </c>
      <c r="B12" s="46" t="s">
        <v>91</v>
      </c>
    </row>
    <row r="14" spans="1:11">
      <c r="A14" s="47" t="s">
        <v>122</v>
      </c>
      <c r="B14" s="109" t="s">
        <v>6</v>
      </c>
      <c r="C14" s="1" t="s">
        <v>7</v>
      </c>
      <c r="E14" s="47" t="s">
        <v>64</v>
      </c>
      <c r="F14" s="1"/>
      <c r="I14" s="118"/>
    </row>
    <row r="15" spans="1:11">
      <c r="A15" s="17" t="s">
        <v>95</v>
      </c>
      <c r="B15" s="136">
        <v>80</v>
      </c>
      <c r="C15" s="157">
        <f>B15/2000</f>
        <v>0.04</v>
      </c>
      <c r="D15" s="25"/>
      <c r="E15" s="25" t="s">
        <v>65</v>
      </c>
      <c r="F15" s="158">
        <v>1.7500000000000002E-2</v>
      </c>
      <c r="G15" s="25"/>
      <c r="H15" s="25"/>
      <c r="I15" s="139"/>
      <c r="J15" s="25"/>
      <c r="K15" s="25"/>
    </row>
    <row r="16" spans="1:11">
      <c r="A16" s="17" t="s">
        <v>96</v>
      </c>
      <c r="B16" s="159">
        <v>85</v>
      </c>
      <c r="C16" s="160">
        <f>B16/2000</f>
        <v>4.2500000000000003E-2</v>
      </c>
      <c r="D16" s="25"/>
      <c r="E16" s="25" t="s">
        <v>66</v>
      </c>
      <c r="F16" s="139">
        <v>5.1000000000000004E-3</v>
      </c>
      <c r="G16" s="25"/>
    </row>
    <row r="17" spans="1:7">
      <c r="A17" s="17" t="s">
        <v>8</v>
      </c>
      <c r="B17" s="136">
        <f>B16-B15</f>
        <v>5</v>
      </c>
      <c r="C17" s="157">
        <f>C16-C15</f>
        <v>2.5000000000000022E-3</v>
      </c>
      <c r="D17" s="25"/>
      <c r="E17" s="25" t="s">
        <v>121</v>
      </c>
      <c r="F17" s="25">
        <v>1E-3</v>
      </c>
      <c r="G17" s="25"/>
    </row>
    <row r="18" spans="1:7">
      <c r="B18" s="25"/>
      <c r="C18" s="25"/>
      <c r="D18" s="25"/>
      <c r="E18" s="25" t="s">
        <v>54</v>
      </c>
      <c r="F18" s="158">
        <f>SUM(F15:F16)+F17</f>
        <v>2.3600000000000003E-2</v>
      </c>
      <c r="G18" s="25"/>
    </row>
    <row r="19" spans="1:7">
      <c r="B19" s="25"/>
      <c r="C19" s="25"/>
      <c r="D19" s="25"/>
      <c r="E19" s="25" t="s">
        <v>67</v>
      </c>
      <c r="F19" s="158">
        <f>1-F18</f>
        <v>0.97640000000000005</v>
      </c>
      <c r="G19" s="25"/>
    </row>
    <row r="20" spans="1:7">
      <c r="A20" t="s">
        <v>4</v>
      </c>
      <c r="B20" s="161">
        <f>B17</f>
        <v>5</v>
      </c>
      <c r="C20" s="161"/>
      <c r="D20" s="25"/>
      <c r="E20" s="25" t="s">
        <v>105</v>
      </c>
      <c r="F20" s="25"/>
      <c r="G20" s="25"/>
    </row>
    <row r="21" spans="1:7">
      <c r="A21" t="s">
        <v>63</v>
      </c>
      <c r="B21" s="161">
        <f>B20/F19</f>
        <v>5.1208521097910689</v>
      </c>
      <c r="C21" s="25"/>
      <c r="D21" s="25"/>
      <c r="E21" s="25"/>
      <c r="F21" s="25"/>
      <c r="G21" s="25"/>
    </row>
    <row r="22" spans="1:7">
      <c r="A22" t="s">
        <v>62</v>
      </c>
      <c r="B22" s="28">
        <f>+F48</f>
        <v>7156.9</v>
      </c>
      <c r="C22" s="25"/>
      <c r="D22" s="25"/>
      <c r="E22" s="25"/>
      <c r="F22" s="25"/>
      <c r="G22" s="25"/>
    </row>
    <row r="23" spans="1:7">
      <c r="A23" s="49" t="s">
        <v>68</v>
      </c>
      <c r="B23" s="162">
        <f>B21*B22</f>
        <v>36649.426464563701</v>
      </c>
      <c r="C23" s="25"/>
      <c r="D23" s="25"/>
      <c r="E23" s="25"/>
      <c r="F23" s="25"/>
      <c r="G23" s="25"/>
    </row>
    <row r="24" spans="1:7">
      <c r="B24" s="25"/>
      <c r="C24" s="25"/>
      <c r="D24" s="25"/>
      <c r="E24" s="25"/>
      <c r="F24" s="25"/>
      <c r="G24" s="25"/>
    </row>
    <row r="25" spans="1:7">
      <c r="A25" t="s">
        <v>92</v>
      </c>
      <c r="B25" s="7">
        <f>'Staff calcs '!S51</f>
        <v>36591.693194400075</v>
      </c>
    </row>
    <row r="26" spans="1:7">
      <c r="A26" s="50" t="s">
        <v>12</v>
      </c>
      <c r="B26" s="48">
        <f>B25-B23</f>
        <v>-57.733270163626003</v>
      </c>
    </row>
    <row r="27" spans="1:7">
      <c r="E27" s="117" t="s">
        <v>98</v>
      </c>
      <c r="F27" s="1"/>
    </row>
    <row r="28" spans="1:7">
      <c r="A28" s="49" t="s">
        <v>93</v>
      </c>
      <c r="B28" s="110">
        <f>'Staff calcs '!U51</f>
        <v>36591.693194400075</v>
      </c>
      <c r="E28">
        <v>0.01</v>
      </c>
    </row>
    <row r="29" spans="1:7">
      <c r="A29" s="50" t="s">
        <v>12</v>
      </c>
      <c r="B29" s="48">
        <f>B28-B23</f>
        <v>-57.733270163626003</v>
      </c>
      <c r="C29" s="13">
        <f>B29/B23</f>
        <v>-1.5752844105063487E-3</v>
      </c>
    </row>
    <row r="33" spans="1:22">
      <c r="E33" s="150">
        <v>2015</v>
      </c>
      <c r="F33" s="150"/>
      <c r="G33" s="150"/>
      <c r="H33" s="150"/>
      <c r="I33" s="150"/>
      <c r="J33" s="150"/>
      <c r="K33" s="150"/>
      <c r="L33" s="133"/>
      <c r="M33" s="130"/>
      <c r="O33" s="150">
        <v>2019</v>
      </c>
      <c r="P33" s="150"/>
      <c r="Q33" s="150"/>
      <c r="R33" s="150"/>
      <c r="S33" s="150"/>
      <c r="T33" s="150"/>
      <c r="U33" s="150"/>
    </row>
    <row r="34" spans="1:22">
      <c r="E34" s="126" t="s">
        <v>124</v>
      </c>
      <c r="F34" s="132" t="s">
        <v>125</v>
      </c>
      <c r="G34" s="132" t="s">
        <v>127</v>
      </c>
      <c r="H34" s="132" t="s">
        <v>126</v>
      </c>
      <c r="I34" s="132" t="s">
        <v>145</v>
      </c>
      <c r="J34" s="132"/>
      <c r="K34" s="126" t="s">
        <v>54</v>
      </c>
      <c r="L34" s="133"/>
      <c r="M34" s="130"/>
      <c r="N34" s="17"/>
      <c r="O34" s="132" t="s">
        <v>125</v>
      </c>
      <c r="P34" s="132" t="s">
        <v>124</v>
      </c>
      <c r="Q34" s="132" t="s">
        <v>159</v>
      </c>
      <c r="R34" s="132" t="s">
        <v>160</v>
      </c>
      <c r="S34" s="132" t="s">
        <v>161</v>
      </c>
      <c r="T34" s="132" t="s">
        <v>54</v>
      </c>
      <c r="U34" s="132"/>
      <c r="V34" s="25"/>
    </row>
    <row r="35" spans="1:22">
      <c r="A35" t="s">
        <v>123</v>
      </c>
      <c r="D35" s="8" t="s">
        <v>143</v>
      </c>
      <c r="E35" s="125">
        <v>16596.080000000002</v>
      </c>
      <c r="F35" s="127">
        <v>40643.599999999999</v>
      </c>
      <c r="G35" s="127">
        <v>6364.52</v>
      </c>
      <c r="H35" s="127">
        <v>6961.84</v>
      </c>
      <c r="I35" s="127">
        <v>2955.08</v>
      </c>
      <c r="J35" s="127"/>
      <c r="K35" s="125">
        <f t="shared" ref="K35:K46" si="3">SUM(E35:J35)</f>
        <v>73521.119999999995</v>
      </c>
      <c r="L35" s="125"/>
      <c r="M35" s="125"/>
      <c r="N35" s="8"/>
      <c r="O35" s="148">
        <v>857</v>
      </c>
      <c r="P35" s="148">
        <v>293</v>
      </c>
      <c r="Q35" s="148">
        <v>465</v>
      </c>
      <c r="R35" s="148">
        <v>75</v>
      </c>
      <c r="S35" s="127">
        <v>0</v>
      </c>
      <c r="T35" s="127">
        <f>+O35+P35+Q35+R35+S35</f>
        <v>1690</v>
      </c>
      <c r="U35" s="127"/>
      <c r="V35" s="25"/>
    </row>
    <row r="36" spans="1:22">
      <c r="A36" t="s">
        <v>128</v>
      </c>
      <c r="D36" s="8" t="s">
        <v>143</v>
      </c>
      <c r="E36" s="125">
        <v>17074.12</v>
      </c>
      <c r="F36" s="127">
        <v>34442.68</v>
      </c>
      <c r="G36" s="127">
        <v>6253.28</v>
      </c>
      <c r="H36" s="127">
        <v>4932.1499999999996</v>
      </c>
      <c r="I36" s="127">
        <v>3525.12</v>
      </c>
      <c r="J36" s="127"/>
      <c r="K36" s="125">
        <f t="shared" si="3"/>
        <v>66227.350000000006</v>
      </c>
      <c r="L36" s="125"/>
      <c r="M36" s="125"/>
      <c r="N36" s="8"/>
      <c r="O36" s="148">
        <v>661</v>
      </c>
      <c r="P36" s="148">
        <v>256</v>
      </c>
      <c r="Q36" s="148">
        <v>336</v>
      </c>
      <c r="R36" s="148">
        <v>70</v>
      </c>
      <c r="S36" s="127">
        <v>0</v>
      </c>
      <c r="T36" s="127">
        <f t="shared" ref="T36:T46" si="4">+O36+P36+Q36+R36+S36</f>
        <v>1323</v>
      </c>
      <c r="U36" s="127"/>
      <c r="V36" s="25"/>
    </row>
    <row r="37" spans="1:22">
      <c r="A37" t="s">
        <v>131</v>
      </c>
      <c r="D37" s="8" t="s">
        <v>143</v>
      </c>
      <c r="E37" s="125">
        <v>19858.22</v>
      </c>
      <c r="F37" s="127">
        <v>41672.44</v>
      </c>
      <c r="G37" s="127">
        <v>8369.44</v>
      </c>
      <c r="H37" s="127">
        <v>4815.76</v>
      </c>
      <c r="I37" s="127">
        <v>2827.44</v>
      </c>
      <c r="J37" s="127"/>
      <c r="K37" s="125">
        <f t="shared" si="3"/>
        <v>77543.3</v>
      </c>
      <c r="L37" s="125"/>
      <c r="M37" s="125"/>
      <c r="N37" s="8"/>
      <c r="O37" s="148">
        <v>759</v>
      </c>
      <c r="P37" s="148">
        <v>391</v>
      </c>
      <c r="Q37" s="148">
        <v>111</v>
      </c>
      <c r="R37" s="148">
        <v>118</v>
      </c>
      <c r="S37" s="127">
        <v>2</v>
      </c>
      <c r="T37" s="127">
        <f t="shared" si="4"/>
        <v>1381</v>
      </c>
      <c r="U37" s="127"/>
      <c r="V37" s="25"/>
    </row>
    <row r="38" spans="1:22">
      <c r="A38" t="s">
        <v>132</v>
      </c>
      <c r="D38" s="8" t="s">
        <v>143</v>
      </c>
      <c r="E38" s="125">
        <v>19367.080000000002</v>
      </c>
      <c r="F38" s="127">
        <v>39791.56</v>
      </c>
      <c r="G38" s="127">
        <v>12167.92</v>
      </c>
      <c r="H38" s="127">
        <v>5656.92</v>
      </c>
      <c r="I38" s="127">
        <v>1682.32</v>
      </c>
      <c r="J38" s="127"/>
      <c r="K38" s="125">
        <f t="shared" si="3"/>
        <v>78665.8</v>
      </c>
      <c r="L38" s="125"/>
      <c r="M38" s="125"/>
      <c r="N38" s="8"/>
      <c r="O38" s="148">
        <v>723</v>
      </c>
      <c r="P38" s="148">
        <v>446</v>
      </c>
      <c r="Q38" s="148">
        <v>0</v>
      </c>
      <c r="R38" s="148">
        <v>89</v>
      </c>
      <c r="S38" s="127">
        <v>94</v>
      </c>
      <c r="T38" s="127">
        <f t="shared" si="4"/>
        <v>1352</v>
      </c>
      <c r="U38" s="127"/>
      <c r="V38" s="25"/>
    </row>
    <row r="39" spans="1:22">
      <c r="A39" t="s">
        <v>133</v>
      </c>
      <c r="D39" s="8" t="s">
        <v>143</v>
      </c>
      <c r="E39" s="125">
        <v>21241.84</v>
      </c>
      <c r="F39" s="127">
        <v>40453.879999999997</v>
      </c>
      <c r="G39" s="127">
        <v>8789.43</v>
      </c>
      <c r="H39" s="127">
        <v>4324.12</v>
      </c>
      <c r="I39" s="127">
        <v>2263.04</v>
      </c>
      <c r="J39" s="127"/>
      <c r="K39" s="125">
        <f t="shared" si="3"/>
        <v>77072.309999999983</v>
      </c>
      <c r="L39" s="125"/>
      <c r="M39" s="125"/>
      <c r="N39" s="8"/>
      <c r="O39" s="148">
        <v>929</v>
      </c>
      <c r="P39" s="127">
        <v>365</v>
      </c>
      <c r="Q39" s="127">
        <v>0</v>
      </c>
      <c r="R39" s="127">
        <v>148</v>
      </c>
      <c r="S39" s="127">
        <v>7</v>
      </c>
      <c r="T39" s="127">
        <f t="shared" si="4"/>
        <v>1449</v>
      </c>
      <c r="U39" s="127"/>
      <c r="V39" s="25"/>
    </row>
    <row r="40" spans="1:22">
      <c r="A40" t="s">
        <v>139</v>
      </c>
      <c r="D40" s="8" t="s">
        <v>143</v>
      </c>
      <c r="E40" s="125">
        <v>24840.400000000001</v>
      </c>
      <c r="F40" s="127">
        <v>38587.96</v>
      </c>
      <c r="G40" s="127">
        <v>10702.86</v>
      </c>
      <c r="H40" s="127">
        <v>4989.16</v>
      </c>
      <c r="I40" s="127">
        <v>2900.2</v>
      </c>
      <c r="J40" s="127"/>
      <c r="K40" s="125">
        <f t="shared" si="3"/>
        <v>82020.58</v>
      </c>
      <c r="L40" s="125"/>
      <c r="M40" s="125"/>
      <c r="N40" s="8"/>
      <c r="O40" s="148">
        <v>848</v>
      </c>
      <c r="P40" s="127">
        <v>409</v>
      </c>
      <c r="Q40" s="127">
        <v>0</v>
      </c>
      <c r="R40" s="127">
        <v>159</v>
      </c>
      <c r="S40" s="127">
        <v>4</v>
      </c>
      <c r="T40" s="127">
        <f t="shared" si="4"/>
        <v>1420</v>
      </c>
      <c r="U40" s="127"/>
      <c r="V40" s="25"/>
    </row>
    <row r="41" spans="1:22">
      <c r="A41" t="s">
        <v>140</v>
      </c>
      <c r="D41" s="8" t="s">
        <v>143</v>
      </c>
      <c r="E41" s="125">
        <v>24567.040000000001</v>
      </c>
      <c r="F41" s="127">
        <v>41062.480000000003</v>
      </c>
      <c r="G41" s="127">
        <v>16251.63</v>
      </c>
      <c r="H41" s="127">
        <v>5360.44</v>
      </c>
      <c r="I41" s="127">
        <v>2744.48</v>
      </c>
      <c r="J41" s="127"/>
      <c r="K41" s="125">
        <f t="shared" si="3"/>
        <v>89986.07</v>
      </c>
      <c r="L41" s="125"/>
      <c r="M41" s="125"/>
      <c r="N41" s="8"/>
      <c r="O41" s="148">
        <v>991</v>
      </c>
      <c r="P41" s="127">
        <v>349</v>
      </c>
      <c r="Q41" s="127">
        <v>0</v>
      </c>
      <c r="R41" s="127">
        <v>154</v>
      </c>
      <c r="S41" s="127">
        <v>5</v>
      </c>
      <c r="T41" s="127">
        <f t="shared" si="4"/>
        <v>1499</v>
      </c>
      <c r="U41" s="127"/>
      <c r="V41" s="25"/>
    </row>
    <row r="42" spans="1:22">
      <c r="A42" t="s">
        <v>134</v>
      </c>
      <c r="D42" s="8" t="s">
        <v>143</v>
      </c>
      <c r="E42" s="125">
        <v>21223.66</v>
      </c>
      <c r="F42" s="127">
        <v>41915.199999999997</v>
      </c>
      <c r="G42" s="127">
        <v>14806.4</v>
      </c>
      <c r="H42" s="127">
        <v>4863.3599999999997</v>
      </c>
      <c r="I42" s="127">
        <v>1629.28</v>
      </c>
      <c r="J42" s="127"/>
      <c r="K42" s="125">
        <f t="shared" si="3"/>
        <v>84437.9</v>
      </c>
      <c r="L42" s="125"/>
      <c r="M42" s="125"/>
      <c r="N42" s="8"/>
      <c r="O42" s="148">
        <v>909</v>
      </c>
      <c r="P42" s="127">
        <v>455</v>
      </c>
      <c r="Q42" s="127">
        <v>0</v>
      </c>
      <c r="R42" s="127">
        <v>141</v>
      </c>
      <c r="S42" s="127">
        <v>2</v>
      </c>
      <c r="T42" s="127">
        <f t="shared" si="4"/>
        <v>1507</v>
      </c>
      <c r="U42" s="127"/>
      <c r="V42" s="25"/>
    </row>
    <row r="43" spans="1:22">
      <c r="A43" t="s">
        <v>135</v>
      </c>
      <c r="D43" s="8" t="s">
        <v>143</v>
      </c>
      <c r="E43" s="125">
        <v>19591.48</v>
      </c>
      <c r="F43" s="127">
        <v>42640.08</v>
      </c>
      <c r="G43" s="127">
        <v>3346.28</v>
      </c>
      <c r="H43" s="127">
        <v>4338.3999999999996</v>
      </c>
      <c r="I43" s="127">
        <v>1381.08</v>
      </c>
      <c r="J43" s="127"/>
      <c r="K43" s="125">
        <f t="shared" si="3"/>
        <v>71297.319999999992</v>
      </c>
      <c r="L43" s="125"/>
      <c r="M43" s="125"/>
      <c r="N43" s="8"/>
      <c r="O43" s="148">
        <v>825</v>
      </c>
      <c r="P43" s="127">
        <v>337</v>
      </c>
      <c r="Q43" s="127">
        <v>0</v>
      </c>
      <c r="R43" s="127">
        <v>86</v>
      </c>
      <c r="S43" s="127">
        <v>2</v>
      </c>
      <c r="T43" s="127">
        <f t="shared" si="4"/>
        <v>1250</v>
      </c>
      <c r="U43" s="127"/>
      <c r="V43" s="25"/>
    </row>
    <row r="44" spans="1:22">
      <c r="A44" t="s">
        <v>136</v>
      </c>
      <c r="D44" s="8" t="s">
        <v>143</v>
      </c>
      <c r="E44" s="125">
        <v>14528.88</v>
      </c>
      <c r="F44" s="127">
        <v>42577.52</v>
      </c>
      <c r="G44" s="127">
        <v>5631.06</v>
      </c>
      <c r="H44" s="127">
        <v>5031.32</v>
      </c>
      <c r="I44" s="127">
        <v>1090.72</v>
      </c>
      <c r="J44" s="127"/>
      <c r="K44" s="125">
        <f t="shared" si="3"/>
        <v>68859.5</v>
      </c>
      <c r="L44" s="125"/>
      <c r="M44" s="125"/>
      <c r="N44" s="8"/>
      <c r="O44" s="148">
        <v>842</v>
      </c>
      <c r="P44" s="127">
        <v>221</v>
      </c>
      <c r="Q44" s="127">
        <v>0</v>
      </c>
      <c r="R44" s="127">
        <v>158</v>
      </c>
      <c r="S44" s="127">
        <v>45</v>
      </c>
      <c r="T44" s="127">
        <f t="shared" si="4"/>
        <v>1266</v>
      </c>
      <c r="U44" s="127"/>
      <c r="V44" s="25"/>
    </row>
    <row r="45" spans="1:22">
      <c r="A45" t="s">
        <v>137</v>
      </c>
      <c r="D45" s="8" t="s">
        <v>143</v>
      </c>
      <c r="E45" s="125">
        <v>15349.64</v>
      </c>
      <c r="F45" s="127">
        <v>37771.96</v>
      </c>
      <c r="G45" s="127">
        <v>5969.72</v>
      </c>
      <c r="H45" s="127">
        <v>4413.2</v>
      </c>
      <c r="I45" s="127">
        <v>2095.7600000000002</v>
      </c>
      <c r="J45" s="127"/>
      <c r="K45" s="125">
        <f t="shared" si="3"/>
        <v>65600.28</v>
      </c>
      <c r="L45" s="125"/>
      <c r="M45" s="125"/>
      <c r="N45" s="8"/>
      <c r="O45" s="148">
        <v>724.46</v>
      </c>
      <c r="P45" s="127">
        <v>320.11</v>
      </c>
      <c r="Q45" s="127">
        <v>0</v>
      </c>
      <c r="R45" s="127">
        <v>51.52</v>
      </c>
      <c r="S45" s="127">
        <v>7.09</v>
      </c>
      <c r="T45" s="127">
        <f t="shared" si="4"/>
        <v>1103.18</v>
      </c>
      <c r="U45" s="127"/>
      <c r="V45" s="25"/>
    </row>
    <row r="46" spans="1:22">
      <c r="A46" t="s">
        <v>138</v>
      </c>
      <c r="D46" s="8" t="s">
        <v>143</v>
      </c>
      <c r="E46" s="125">
        <v>15478.16</v>
      </c>
      <c r="F46" s="127">
        <v>42950.16</v>
      </c>
      <c r="G46" s="127">
        <v>6768.84</v>
      </c>
      <c r="H46" s="127">
        <v>6620.48</v>
      </c>
      <c r="I46" s="127">
        <v>2173.2800000000002</v>
      </c>
      <c r="J46" s="127"/>
      <c r="K46" s="125">
        <f t="shared" si="3"/>
        <v>73990.92</v>
      </c>
      <c r="L46" s="125"/>
      <c r="M46" s="125"/>
      <c r="N46" s="8"/>
      <c r="O46" s="149">
        <v>838</v>
      </c>
      <c r="P46" s="27">
        <v>332</v>
      </c>
      <c r="Q46" s="27">
        <v>0</v>
      </c>
      <c r="R46" s="27">
        <v>78</v>
      </c>
      <c r="S46" s="27">
        <v>4</v>
      </c>
      <c r="T46" s="27">
        <f t="shared" si="4"/>
        <v>1252</v>
      </c>
      <c r="U46" s="127"/>
      <c r="V46" s="25"/>
    </row>
    <row r="47" spans="1:22">
      <c r="D47" s="8" t="s">
        <v>143</v>
      </c>
      <c r="E47" s="6">
        <f>SUM(E35:E46)</f>
        <v>229716.6</v>
      </c>
      <c r="F47" s="129">
        <f t="shared" ref="F47:K47" si="5">SUM(F35:F46)</f>
        <v>484509.52</v>
      </c>
      <c r="G47" s="129">
        <f t="shared" si="5"/>
        <v>105421.37999999999</v>
      </c>
      <c r="H47" s="129">
        <f t="shared" si="5"/>
        <v>62307.149999999994</v>
      </c>
      <c r="I47" s="129">
        <f t="shared" si="5"/>
        <v>27267.800000000003</v>
      </c>
      <c r="J47" s="25"/>
      <c r="K47" s="6">
        <f t="shared" si="5"/>
        <v>909222.45000000007</v>
      </c>
      <c r="L47" s="6"/>
      <c r="M47" s="6"/>
      <c r="N47" s="8"/>
      <c r="O47" s="148">
        <f>SUM(O35:O46)</f>
        <v>9906.4599999999991</v>
      </c>
      <c r="P47" s="127">
        <f t="shared" ref="P47:T47" si="6">SUM(P35:P46)</f>
        <v>4174.1100000000006</v>
      </c>
      <c r="Q47" s="127">
        <f t="shared" si="6"/>
        <v>912</v>
      </c>
      <c r="R47" s="127">
        <f t="shared" si="6"/>
        <v>1327.52</v>
      </c>
      <c r="S47" s="127">
        <f t="shared" si="6"/>
        <v>172.09</v>
      </c>
      <c r="T47" s="127">
        <f t="shared" si="6"/>
        <v>16492.18</v>
      </c>
      <c r="U47" s="127"/>
      <c r="V47" s="25"/>
    </row>
    <row r="48" spans="1:22">
      <c r="D48" s="8" t="s">
        <v>142</v>
      </c>
      <c r="E48" s="127">
        <v>3546.72</v>
      </c>
      <c r="F48" s="163">
        <v>7156.9</v>
      </c>
      <c r="G48" s="127">
        <v>1738.57</v>
      </c>
      <c r="H48" s="127">
        <v>953.15</v>
      </c>
      <c r="I48" s="127">
        <v>410.94</v>
      </c>
      <c r="J48" s="25"/>
      <c r="K48" s="127">
        <f>SUM(E48:I48)</f>
        <v>13806.279999999999</v>
      </c>
      <c r="L48" s="127"/>
      <c r="M48" s="127"/>
      <c r="N48" s="135" t="s">
        <v>162</v>
      </c>
      <c r="O48" s="137">
        <f>+O47-F48</f>
        <v>2749.5599999999995</v>
      </c>
      <c r="P48" s="127">
        <f>+P47-E48</f>
        <v>627.39000000000078</v>
      </c>
      <c r="Q48" s="127"/>
      <c r="R48" s="127"/>
      <c r="S48" s="127"/>
      <c r="T48" s="127">
        <f>+T47-K48</f>
        <v>2685.9000000000015</v>
      </c>
      <c r="U48" s="25"/>
      <c r="V48" s="25"/>
    </row>
    <row r="49" spans="3:22" ht="15" customHeight="1">
      <c r="D49" s="128" t="s">
        <v>141</v>
      </c>
      <c r="E49" s="129">
        <f>+E47/E48</f>
        <v>64.768744079036409</v>
      </c>
      <c r="F49" s="129">
        <f>+F47/F48</f>
        <v>67.698238063966244</v>
      </c>
      <c r="G49" s="129">
        <f>+G47/G48</f>
        <v>60.636833719666157</v>
      </c>
      <c r="H49" s="129">
        <f>+H47/H48</f>
        <v>65.369721449929173</v>
      </c>
      <c r="I49" s="129">
        <f>+I47/I48</f>
        <v>66.354698982819883</v>
      </c>
      <c r="J49" s="25"/>
      <c r="K49" s="6">
        <f>+K47/K48</f>
        <v>65.855715659830182</v>
      </c>
      <c r="L49" s="6"/>
      <c r="M49" s="6"/>
      <c r="N49" s="127"/>
      <c r="O49" s="151" t="s">
        <v>166</v>
      </c>
      <c r="P49" s="151"/>
      <c r="Q49" s="151"/>
      <c r="R49" s="151"/>
      <c r="S49" s="138"/>
      <c r="T49" s="138"/>
      <c r="U49" s="25"/>
      <c r="V49" s="25"/>
    </row>
    <row r="50" spans="3:22">
      <c r="O50" s="151"/>
      <c r="P50" s="151"/>
      <c r="Q50" s="151"/>
      <c r="R50" s="151"/>
      <c r="S50" s="138"/>
      <c r="T50" s="138"/>
      <c r="U50" s="25"/>
      <c r="V50" s="25"/>
    </row>
    <row r="51" spans="3:22">
      <c r="O51" s="151"/>
      <c r="P51" s="151"/>
      <c r="Q51" s="151"/>
      <c r="R51" s="151"/>
      <c r="S51" s="138"/>
      <c r="T51" s="138"/>
      <c r="U51" s="6"/>
    </row>
    <row r="52" spans="3:22">
      <c r="C52" t="s">
        <v>144</v>
      </c>
      <c r="F52" s="6">
        <f>SUM(F48:I48)</f>
        <v>10259.56</v>
      </c>
      <c r="O52" s="6"/>
    </row>
    <row r="54" spans="3:22">
      <c r="E54" t="s">
        <v>125</v>
      </c>
      <c r="F54" t="s">
        <v>144</v>
      </c>
    </row>
    <row r="55" spans="3:22">
      <c r="E55" t="s">
        <v>124</v>
      </c>
      <c r="F55" t="s">
        <v>146</v>
      </c>
    </row>
    <row r="56" spans="3:22">
      <c r="E56" t="s">
        <v>127</v>
      </c>
      <c r="F56" t="s">
        <v>147</v>
      </c>
    </row>
    <row r="57" spans="3:22">
      <c r="E57" t="s">
        <v>126</v>
      </c>
      <c r="F57" t="s">
        <v>148</v>
      </c>
    </row>
    <row r="58" spans="3:22">
      <c r="E58" t="s">
        <v>149</v>
      </c>
      <c r="F58" t="s">
        <v>150</v>
      </c>
    </row>
  </sheetData>
  <mergeCells count="4">
    <mergeCell ref="D4:G4"/>
    <mergeCell ref="E33:K33"/>
    <mergeCell ref="O33:U33"/>
    <mergeCell ref="O49:R51"/>
  </mergeCells>
  <pageMargins left="0.28000000000000003" right="0.52" top="0.75" bottom="0.75" header="0.3" footer="0.3"/>
  <pageSetup scale="63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L85"/>
  <sheetViews>
    <sheetView zoomScaleNormal="100" workbookViewId="0">
      <pane xSplit="4" ySplit="5" topLeftCell="E13" activePane="bottomRight" state="frozen"/>
      <selection pane="topRight" activeCell="D1" sqref="D1"/>
      <selection pane="bottomLeft" activeCell="A6" sqref="A6"/>
      <selection pane="bottomRight" activeCell="N41" sqref="N41"/>
    </sheetView>
  </sheetViews>
  <sheetFormatPr defaultColWidth="8.85546875" defaultRowHeight="15"/>
  <cols>
    <col min="1" max="1" width="4.5703125" style="17" bestFit="1" customWidth="1"/>
    <col min="2" max="2" width="7.140625" style="17" customWidth="1"/>
    <col min="3" max="3" width="5.5703125" style="17" bestFit="1" customWidth="1"/>
    <col min="4" max="4" width="27" style="17" bestFit="1" customWidth="1"/>
    <col min="5" max="5" width="14.140625" style="17" customWidth="1"/>
    <col min="6" max="6" width="9.28515625" style="17" bestFit="1" customWidth="1"/>
    <col min="7" max="7" width="12.85546875" style="17" bestFit="1" customWidth="1"/>
    <col min="8" max="8" width="13.42578125" style="17" bestFit="1" customWidth="1"/>
    <col min="9" max="9" width="15.7109375" style="17" bestFit="1" customWidth="1"/>
    <col min="10" max="10" width="15" style="17" bestFit="1" customWidth="1"/>
    <col min="11" max="11" width="12.42578125" style="17" customWidth="1"/>
    <col min="12" max="12" width="13" style="17" customWidth="1"/>
    <col min="13" max="13" width="7.85546875" style="17" bestFit="1" customWidth="1"/>
    <col min="14" max="14" width="9.28515625" style="25" bestFit="1" customWidth="1"/>
    <col min="15" max="15" width="9.5703125" style="25" bestFit="1" customWidth="1"/>
    <col min="16" max="16" width="9.28515625" style="25" bestFit="1" customWidth="1"/>
    <col min="17" max="17" width="15.7109375" style="17" bestFit="1" customWidth="1"/>
    <col min="18" max="18" width="16" style="17" bestFit="1" customWidth="1"/>
    <col min="19" max="19" width="12.85546875" style="17" bestFit="1" customWidth="1"/>
    <col min="20" max="20" width="16" style="17" bestFit="1" customWidth="1"/>
    <col min="21" max="21" width="12.28515625" style="17" customWidth="1"/>
    <col min="22" max="16384" width="8.85546875" style="17"/>
  </cols>
  <sheetData>
    <row r="1" spans="1:21" ht="15" customHeight="1">
      <c r="D1" s="49" t="s">
        <v>129</v>
      </c>
      <c r="F1" s="146"/>
      <c r="G1" s="146"/>
      <c r="H1" s="146"/>
      <c r="I1" s="146"/>
      <c r="J1" s="146"/>
      <c r="K1" s="140"/>
      <c r="L1" s="140"/>
      <c r="M1" s="55"/>
      <c r="O1" s="141"/>
    </row>
    <row r="2" spans="1:21">
      <c r="D2" s="49" t="s">
        <v>9</v>
      </c>
      <c r="F2" s="146"/>
      <c r="G2" s="146"/>
      <c r="H2" s="146"/>
      <c r="I2" s="146"/>
      <c r="J2" s="146"/>
      <c r="K2" s="156"/>
      <c r="L2" s="140"/>
      <c r="M2" s="55"/>
    </row>
    <row r="3" spans="1:21">
      <c r="D3" s="49" t="s">
        <v>130</v>
      </c>
      <c r="F3" s="146"/>
      <c r="G3" s="146"/>
      <c r="H3" s="146"/>
      <c r="I3" s="146"/>
      <c r="J3" s="146"/>
      <c r="K3" s="156"/>
      <c r="L3" s="140"/>
      <c r="M3" s="55"/>
    </row>
    <row r="4" spans="1:21">
      <c r="F4" s="140"/>
      <c r="G4" s="140"/>
      <c r="H4" s="140"/>
      <c r="I4" s="147"/>
      <c r="J4" s="140"/>
      <c r="K4" s="140"/>
      <c r="L4" s="140"/>
      <c r="M4" s="54"/>
    </row>
    <row r="5" spans="1:21" ht="60">
      <c r="A5" s="1"/>
      <c r="B5" s="2" t="s">
        <v>119</v>
      </c>
      <c r="C5" s="2" t="s">
        <v>50</v>
      </c>
      <c r="D5" s="106" t="s">
        <v>55</v>
      </c>
      <c r="E5" s="2" t="s">
        <v>83</v>
      </c>
      <c r="F5" s="2" t="s">
        <v>0</v>
      </c>
      <c r="G5" s="1" t="s">
        <v>1</v>
      </c>
      <c r="H5" s="3" t="s">
        <v>10</v>
      </c>
      <c r="I5" s="3" t="s">
        <v>74</v>
      </c>
      <c r="J5" s="3" t="s">
        <v>75</v>
      </c>
      <c r="K5" s="4" t="s">
        <v>8</v>
      </c>
      <c r="L5" s="5" t="s">
        <v>2</v>
      </c>
      <c r="M5" s="5" t="s">
        <v>84</v>
      </c>
      <c r="N5" s="5" t="s">
        <v>80</v>
      </c>
      <c r="O5" s="5" t="s">
        <v>77</v>
      </c>
      <c r="P5" s="5" t="s">
        <v>78</v>
      </c>
      <c r="Q5" s="5" t="s">
        <v>81</v>
      </c>
      <c r="R5" s="5" t="s">
        <v>79</v>
      </c>
      <c r="S5" s="5" t="s">
        <v>86</v>
      </c>
      <c r="T5" s="5" t="s">
        <v>82</v>
      </c>
      <c r="U5" s="5" t="s">
        <v>97</v>
      </c>
    </row>
    <row r="6" spans="1:21" s="25" customFormat="1">
      <c r="A6" s="152" t="s">
        <v>23</v>
      </c>
      <c r="B6" s="122">
        <v>100</v>
      </c>
      <c r="C6" s="32">
        <v>22</v>
      </c>
      <c r="D6" s="19" t="s">
        <v>19</v>
      </c>
      <c r="E6" s="21">
        <v>920</v>
      </c>
      <c r="F6" s="16">
        <f>References!$D$7</f>
        <v>4.333333333333333</v>
      </c>
      <c r="G6" s="70">
        <f>E6*F6*12</f>
        <v>47840</v>
      </c>
      <c r="H6" s="15">
        <v>20</v>
      </c>
      <c r="I6" s="15">
        <f>G6*H6</f>
        <v>956800</v>
      </c>
      <c r="J6" s="22">
        <f t="shared" ref="J6:J12" si="0">$E$74*I6</f>
        <v>658889.96333439939</v>
      </c>
      <c r="K6" s="59">
        <f>References!$C$17*J6</f>
        <v>1647.224908336</v>
      </c>
      <c r="L6" s="67">
        <f>K6/References!$F$19</f>
        <v>1687.0390294305612</v>
      </c>
      <c r="M6" s="67">
        <f>L6/G6*F6</f>
        <v>0.15281150628900009</v>
      </c>
      <c r="N6" s="59">
        <v>5.72</v>
      </c>
      <c r="O6" s="67">
        <f>MROUND(N6+M6,References!$E$28)</f>
        <v>5.87</v>
      </c>
      <c r="P6" s="59">
        <f>+O6</f>
        <v>5.87</v>
      </c>
      <c r="Q6" s="61">
        <f>E6*N6*12</f>
        <v>63148.799999999996</v>
      </c>
      <c r="R6" s="61">
        <f>E6*P6*12</f>
        <v>64804.800000000003</v>
      </c>
      <c r="S6" s="61">
        <f>R6-Q6</f>
        <v>1656.0000000000073</v>
      </c>
      <c r="T6" s="61">
        <f>E6*O6*12</f>
        <v>64804.800000000003</v>
      </c>
      <c r="U6" s="108">
        <f>T6-Q6</f>
        <v>1656.0000000000073</v>
      </c>
    </row>
    <row r="7" spans="1:21" s="25" customFormat="1" ht="15" customHeight="1">
      <c r="A7" s="152"/>
      <c r="B7" s="122">
        <v>100</v>
      </c>
      <c r="C7" s="32">
        <v>22</v>
      </c>
      <c r="D7" s="19" t="s">
        <v>25</v>
      </c>
      <c r="E7" s="21">
        <v>5264</v>
      </c>
      <c r="F7" s="16">
        <f>References!$D$7</f>
        <v>4.333333333333333</v>
      </c>
      <c r="G7" s="70">
        <f>E7*F7*12</f>
        <v>273728</v>
      </c>
      <c r="H7" s="15">
        <v>34</v>
      </c>
      <c r="I7" s="15">
        <f>G7*H7</f>
        <v>9306752</v>
      </c>
      <c r="J7" s="22">
        <f t="shared" si="0"/>
        <v>6408994.0259639928</v>
      </c>
      <c r="K7" s="59">
        <f>References!$C$17*J7</f>
        <v>16022.485064909997</v>
      </c>
      <c r="L7" s="67">
        <f>K7/References!$F$19</f>
        <v>16409.755289748049</v>
      </c>
      <c r="M7" s="67">
        <f>L7/G7*F7</f>
        <v>0.25977956069130015</v>
      </c>
      <c r="N7" s="67">
        <v>13.55</v>
      </c>
      <c r="O7" s="67">
        <f>MROUND(N7+M7,References!$E$28)</f>
        <v>13.81</v>
      </c>
      <c r="P7" s="67">
        <f>+O7</f>
        <v>13.81</v>
      </c>
      <c r="Q7" s="107">
        <f t="shared" ref="Q7:Q15" si="1">E7*N7*12</f>
        <v>855926.39999999991</v>
      </c>
      <c r="R7" s="107">
        <f t="shared" ref="R7:R15" si="2">E7*P7*12</f>
        <v>872350.08</v>
      </c>
      <c r="S7" s="107">
        <f>R7-Q7</f>
        <v>16423.680000000051</v>
      </c>
      <c r="T7" s="108">
        <f t="shared" ref="T7:T15" si="3">E7*O7*12</f>
        <v>872350.08</v>
      </c>
      <c r="U7" s="108">
        <f t="shared" ref="U7:U19" si="4">T7-Q7</f>
        <v>16423.680000000051</v>
      </c>
    </row>
    <row r="8" spans="1:21" s="25" customFormat="1">
      <c r="A8" s="152"/>
      <c r="B8" s="122">
        <v>100</v>
      </c>
      <c r="C8" s="32">
        <v>22</v>
      </c>
      <c r="D8" s="19" t="s">
        <v>22</v>
      </c>
      <c r="E8" s="21">
        <v>130</v>
      </c>
      <c r="F8" s="16">
        <f>References!$D$7</f>
        <v>4.333333333333333</v>
      </c>
      <c r="G8" s="70">
        <f t="shared" ref="G8:G38" si="5">E8*F8*12</f>
        <v>6759.9999999999991</v>
      </c>
      <c r="H8" s="15">
        <v>51</v>
      </c>
      <c r="I8" s="15">
        <f t="shared" ref="I8:I38" si="6">G8*H8</f>
        <v>344759.99999999994</v>
      </c>
      <c r="J8" s="22">
        <f t="shared" si="0"/>
        <v>237415.24222321017</v>
      </c>
      <c r="K8" s="59">
        <f>References!$C$17*J8</f>
        <v>593.5381055580259</v>
      </c>
      <c r="L8" s="67">
        <f>K8/References!$F$19</f>
        <v>607.88417201764219</v>
      </c>
      <c r="M8" s="67">
        <f t="shared" ref="M8:M25" si="7">L8/G8*F8</f>
        <v>0.38966934103695011</v>
      </c>
      <c r="N8" s="59">
        <v>18.43</v>
      </c>
      <c r="O8" s="67">
        <f>MROUND(N8+M8,References!$E$28)</f>
        <v>18.82</v>
      </c>
      <c r="P8" s="67">
        <f t="shared" ref="P8:P15" si="8">+O8</f>
        <v>18.82</v>
      </c>
      <c r="Q8" s="61">
        <f t="shared" si="1"/>
        <v>28750.800000000003</v>
      </c>
      <c r="R8" s="61">
        <f t="shared" si="2"/>
        <v>29359.199999999997</v>
      </c>
      <c r="S8" s="61">
        <f t="shared" ref="S8:S38" si="9">R8-Q8</f>
        <v>608.39999999999418</v>
      </c>
      <c r="T8" s="61">
        <f t="shared" si="3"/>
        <v>29359.199999999997</v>
      </c>
      <c r="U8" s="108">
        <f t="shared" si="4"/>
        <v>608.39999999999418</v>
      </c>
    </row>
    <row r="9" spans="1:21" s="25" customFormat="1">
      <c r="A9" s="152"/>
      <c r="B9" s="122">
        <v>100</v>
      </c>
      <c r="C9" s="32">
        <v>22</v>
      </c>
      <c r="D9" s="19" t="s">
        <v>13</v>
      </c>
      <c r="E9" s="21">
        <v>61</v>
      </c>
      <c r="F9" s="16">
        <f>References!$D$7</f>
        <v>4.333333333333333</v>
      </c>
      <c r="G9" s="70">
        <f t="shared" si="5"/>
        <v>3172</v>
      </c>
      <c r="H9" s="15">
        <v>77</v>
      </c>
      <c r="I9" s="15">
        <f t="shared" si="6"/>
        <v>244244</v>
      </c>
      <c r="J9" s="22">
        <f t="shared" si="0"/>
        <v>168195.98683596053</v>
      </c>
      <c r="K9" s="59">
        <f>References!$C$17*J9</f>
        <v>420.48996708990171</v>
      </c>
      <c r="L9" s="67">
        <f>K9/References!$F$19</f>
        <v>430.65338702366006</v>
      </c>
      <c r="M9" s="67">
        <f t="shared" si="7"/>
        <v>0.58832429921265039</v>
      </c>
      <c r="N9" s="59">
        <v>23.25</v>
      </c>
      <c r="O9" s="67">
        <f>MROUND(N9+M9,References!$E$28)</f>
        <v>23.84</v>
      </c>
      <c r="P9" s="67">
        <f t="shared" si="8"/>
        <v>23.84</v>
      </c>
      <c r="Q9" s="61">
        <f t="shared" si="1"/>
        <v>17019</v>
      </c>
      <c r="R9" s="61">
        <f t="shared" si="2"/>
        <v>17450.88</v>
      </c>
      <c r="S9" s="61">
        <f t="shared" si="9"/>
        <v>431.88000000000102</v>
      </c>
      <c r="T9" s="61">
        <f t="shared" si="3"/>
        <v>17450.88</v>
      </c>
      <c r="U9" s="108">
        <f t="shared" si="4"/>
        <v>431.88000000000102</v>
      </c>
    </row>
    <row r="10" spans="1:21" s="25" customFormat="1">
      <c r="A10" s="152"/>
      <c r="B10" s="122">
        <v>100</v>
      </c>
      <c r="C10" s="32">
        <v>22</v>
      </c>
      <c r="D10" s="19" t="s">
        <v>14</v>
      </c>
      <c r="E10" s="21">
        <v>13</v>
      </c>
      <c r="F10" s="16">
        <f>References!$D$7</f>
        <v>4.333333333333333</v>
      </c>
      <c r="G10" s="70">
        <f t="shared" si="5"/>
        <v>676</v>
      </c>
      <c r="H10" s="15">
        <v>97</v>
      </c>
      <c r="I10" s="15">
        <f t="shared" si="6"/>
        <v>65572</v>
      </c>
      <c r="J10" s="22">
        <f t="shared" si="0"/>
        <v>45155.448030688996</v>
      </c>
      <c r="K10" s="59">
        <f>References!$C$17*J10</f>
        <v>112.88862007672259</v>
      </c>
      <c r="L10" s="67">
        <f>K10/References!$F$19</f>
        <v>115.61718565825745</v>
      </c>
      <c r="M10" s="67">
        <f t="shared" si="7"/>
        <v>0.74113580550165037</v>
      </c>
      <c r="N10" s="59">
        <v>28.16</v>
      </c>
      <c r="O10" s="67">
        <f>MROUND(N10+M10,References!$E$28)</f>
        <v>28.900000000000002</v>
      </c>
      <c r="P10" s="67">
        <f t="shared" si="8"/>
        <v>28.900000000000002</v>
      </c>
      <c r="Q10" s="61">
        <f t="shared" si="1"/>
        <v>4392.96</v>
      </c>
      <c r="R10" s="61">
        <f t="shared" si="2"/>
        <v>4508.4000000000005</v>
      </c>
      <c r="S10" s="61">
        <f t="shared" si="9"/>
        <v>115.44000000000051</v>
      </c>
      <c r="T10" s="61">
        <f t="shared" si="3"/>
        <v>4508.4000000000005</v>
      </c>
      <c r="U10" s="108">
        <f t="shared" si="4"/>
        <v>115.44000000000051</v>
      </c>
    </row>
    <row r="11" spans="1:21" s="25" customFormat="1">
      <c r="A11" s="152"/>
      <c r="B11" s="122">
        <v>100</v>
      </c>
      <c r="C11" s="32">
        <v>22</v>
      </c>
      <c r="D11" s="19" t="s">
        <v>15</v>
      </c>
      <c r="E11" s="21">
        <v>1</v>
      </c>
      <c r="F11" s="16">
        <f>References!$D$7</f>
        <v>4.333333333333333</v>
      </c>
      <c r="G11" s="70">
        <f t="shared" si="5"/>
        <v>52</v>
      </c>
      <c r="H11" s="15">
        <v>117</v>
      </c>
      <c r="I11" s="15">
        <f t="shared" si="6"/>
        <v>6084</v>
      </c>
      <c r="J11" s="22">
        <f t="shared" si="0"/>
        <v>4189.6807451154746</v>
      </c>
      <c r="K11" s="59">
        <f>References!$C$17*J11</f>
        <v>10.474201862788696</v>
      </c>
      <c r="L11" s="67">
        <f>K11/References!$F$19</f>
        <v>10.727367741487809</v>
      </c>
      <c r="M11" s="67">
        <f t="shared" si="7"/>
        <v>0.89394731179065068</v>
      </c>
      <c r="N11" s="59">
        <v>32.99</v>
      </c>
      <c r="O11" s="67">
        <f>MROUND(N11+M11,References!$E$28)</f>
        <v>33.880000000000003</v>
      </c>
      <c r="P11" s="67">
        <f>+O11</f>
        <v>33.880000000000003</v>
      </c>
      <c r="Q11" s="61">
        <f t="shared" si="1"/>
        <v>395.88</v>
      </c>
      <c r="R11" s="61">
        <f t="shared" si="2"/>
        <v>406.56000000000006</v>
      </c>
      <c r="S11" s="61">
        <f t="shared" si="9"/>
        <v>10.680000000000064</v>
      </c>
      <c r="T11" s="61">
        <f t="shared" si="3"/>
        <v>406.56000000000006</v>
      </c>
      <c r="U11" s="108">
        <f t="shared" si="4"/>
        <v>10.680000000000064</v>
      </c>
    </row>
    <row r="12" spans="1:21" s="25" customFormat="1">
      <c r="A12" s="152"/>
      <c r="B12" s="122">
        <v>100</v>
      </c>
      <c r="C12" s="32">
        <v>22</v>
      </c>
      <c r="D12" s="19" t="s">
        <v>163</v>
      </c>
      <c r="E12" s="21">
        <v>0.1</v>
      </c>
      <c r="F12" s="16">
        <v>4.33</v>
      </c>
      <c r="G12" s="70">
        <f t="shared" si="5"/>
        <v>5.1960000000000006</v>
      </c>
      <c r="H12" s="15">
        <f>+H11+20</f>
        <v>137</v>
      </c>
      <c r="I12" s="15">
        <f t="shared" si="6"/>
        <v>711.85200000000009</v>
      </c>
      <c r="J12" s="22">
        <f t="shared" si="0"/>
        <v>490.20917451872793</v>
      </c>
      <c r="K12" s="59">
        <f>References!$C$17*J12</f>
        <v>1.225522936296821</v>
      </c>
      <c r="L12" s="67">
        <f>K12/References!$F$19</f>
        <v>1.2551443427865843</v>
      </c>
      <c r="M12" s="67">
        <f>L12/G12*F12</f>
        <v>1.0459536189888201</v>
      </c>
      <c r="N12" s="59">
        <v>38.880000000000003</v>
      </c>
      <c r="O12" s="67">
        <f>MROUND(N12+M12,References!$E$28)</f>
        <v>39.93</v>
      </c>
      <c r="P12" s="142">
        <f>+O12</f>
        <v>39.93</v>
      </c>
      <c r="Q12" s="61">
        <f t="shared" si="1"/>
        <v>46.656000000000006</v>
      </c>
      <c r="R12" s="61">
        <f t="shared" si="2"/>
        <v>47.916000000000004</v>
      </c>
      <c r="S12" s="61">
        <f t="shared" ref="S12" si="10">R12-Q12</f>
        <v>1.259999999999998</v>
      </c>
      <c r="T12" s="61">
        <f t="shared" ref="T12" si="11">E12*O12*12</f>
        <v>47.916000000000004</v>
      </c>
      <c r="U12" s="108">
        <f t="shared" ref="U12" si="12">T12-Q12</f>
        <v>1.259999999999998</v>
      </c>
    </row>
    <row r="13" spans="1:21" s="25" customFormat="1">
      <c r="A13" s="152"/>
      <c r="B13" s="122">
        <v>100</v>
      </c>
      <c r="C13" s="32">
        <v>23</v>
      </c>
      <c r="D13" s="19" t="s">
        <v>16</v>
      </c>
      <c r="E13" s="21">
        <v>0</v>
      </c>
      <c r="F13" s="16">
        <f>References!$D$8</f>
        <v>2.1666666666666665</v>
      </c>
      <c r="G13" s="70">
        <f t="shared" si="5"/>
        <v>0</v>
      </c>
      <c r="H13" s="15">
        <v>34</v>
      </c>
      <c r="I13" s="15">
        <f t="shared" si="6"/>
        <v>0</v>
      </c>
      <c r="J13" s="22">
        <f t="shared" ref="J13:J19" si="13">$E$74*I13</f>
        <v>0</v>
      </c>
      <c r="K13" s="59">
        <f>References!$C$17*J13</f>
        <v>0</v>
      </c>
      <c r="L13" s="67">
        <f>K13/References!$F$19</f>
        <v>0</v>
      </c>
      <c r="M13" s="67" t="e">
        <f t="shared" si="7"/>
        <v>#DIV/0!</v>
      </c>
      <c r="N13" s="59">
        <v>16.59</v>
      </c>
      <c r="O13" s="67" t="e">
        <f>MROUND(N13+M13,References!$E$28)</f>
        <v>#DIV/0!</v>
      </c>
      <c r="P13" s="67"/>
      <c r="Q13" s="61">
        <f t="shared" si="1"/>
        <v>0</v>
      </c>
      <c r="R13" s="61">
        <f t="shared" si="2"/>
        <v>0</v>
      </c>
      <c r="S13" s="61">
        <f t="shared" si="9"/>
        <v>0</v>
      </c>
      <c r="T13" s="61"/>
      <c r="U13" s="108">
        <f t="shared" si="4"/>
        <v>0</v>
      </c>
    </row>
    <row r="14" spans="1:21" s="25" customFormat="1">
      <c r="A14" s="152"/>
      <c r="B14" s="122">
        <v>100</v>
      </c>
      <c r="C14" s="32">
        <v>23</v>
      </c>
      <c r="D14" s="19" t="s">
        <v>17</v>
      </c>
      <c r="E14" s="21">
        <v>0</v>
      </c>
      <c r="F14" s="16">
        <f>References!$D$8</f>
        <v>2.1666666666666665</v>
      </c>
      <c r="G14" s="70">
        <f t="shared" si="5"/>
        <v>0</v>
      </c>
      <c r="H14" s="15">
        <v>51</v>
      </c>
      <c r="I14" s="15">
        <f t="shared" si="6"/>
        <v>0</v>
      </c>
      <c r="J14" s="22">
        <f t="shared" si="13"/>
        <v>0</v>
      </c>
      <c r="K14" s="59">
        <f>References!$C$17*J14</f>
        <v>0</v>
      </c>
      <c r="L14" s="67">
        <f>K14/References!$F$19</f>
        <v>0</v>
      </c>
      <c r="M14" s="67" t="e">
        <f t="shared" si="7"/>
        <v>#DIV/0!</v>
      </c>
      <c r="N14" s="59">
        <v>23.68</v>
      </c>
      <c r="O14" s="67" t="e">
        <f>MROUND(N14+M14,References!$E$28)</f>
        <v>#DIV/0!</v>
      </c>
      <c r="P14" s="67"/>
      <c r="Q14" s="61">
        <f t="shared" si="1"/>
        <v>0</v>
      </c>
      <c r="R14" s="61">
        <f t="shared" si="2"/>
        <v>0</v>
      </c>
      <c r="S14" s="61">
        <f t="shared" si="9"/>
        <v>0</v>
      </c>
      <c r="T14" s="61"/>
      <c r="U14" s="108">
        <f t="shared" si="4"/>
        <v>0</v>
      </c>
    </row>
    <row r="15" spans="1:21" s="25" customFormat="1" ht="14.45" customHeight="1">
      <c r="A15" s="152"/>
      <c r="B15" s="122">
        <v>100</v>
      </c>
      <c r="C15" s="32">
        <v>23</v>
      </c>
      <c r="D15" s="19" t="s">
        <v>18</v>
      </c>
      <c r="E15" s="21">
        <v>203</v>
      </c>
      <c r="F15" s="16">
        <f>References!$D$9</f>
        <v>1</v>
      </c>
      <c r="G15" s="70">
        <f t="shared" si="5"/>
        <v>2436</v>
      </c>
      <c r="H15" s="15">
        <v>34</v>
      </c>
      <c r="I15" s="15">
        <f t="shared" si="6"/>
        <v>82824</v>
      </c>
      <c r="J15" s="22">
        <f t="shared" si="13"/>
        <v>57035.851090309669</v>
      </c>
      <c r="K15" s="59">
        <f>References!$C$17*J15</f>
        <v>142.58962772577431</v>
      </c>
      <c r="L15" s="67">
        <f>K15/References!$F$19</f>
        <v>146.03607919477091</v>
      </c>
      <c r="M15" s="67">
        <f t="shared" si="7"/>
        <v>5.9949129390300046E-2</v>
      </c>
      <c r="N15" s="59">
        <v>8.93</v>
      </c>
      <c r="O15" s="67">
        <f>MROUND(N15+M15,References!$E$28)</f>
        <v>8.99</v>
      </c>
      <c r="P15" s="67">
        <f t="shared" si="8"/>
        <v>8.99</v>
      </c>
      <c r="Q15" s="61">
        <f t="shared" si="1"/>
        <v>21753.48</v>
      </c>
      <c r="R15" s="61">
        <f t="shared" si="2"/>
        <v>21899.64</v>
      </c>
      <c r="S15" s="61">
        <f t="shared" si="9"/>
        <v>146.15999999999985</v>
      </c>
      <c r="T15" s="61">
        <f t="shared" si="3"/>
        <v>21899.64</v>
      </c>
      <c r="U15" s="108">
        <f t="shared" si="4"/>
        <v>146.15999999999985</v>
      </c>
    </row>
    <row r="16" spans="1:21" s="25" customFormat="1">
      <c r="A16" s="152"/>
      <c r="B16" s="122">
        <v>100</v>
      </c>
      <c r="C16" s="32">
        <v>31</v>
      </c>
      <c r="D16" s="19" t="s">
        <v>20</v>
      </c>
      <c r="E16" s="21">
        <v>0</v>
      </c>
      <c r="F16" s="16">
        <f>References!$D$9</f>
        <v>1</v>
      </c>
      <c r="G16" s="70">
        <f t="shared" si="5"/>
        <v>0</v>
      </c>
      <c r="H16" s="15">
        <v>250</v>
      </c>
      <c r="I16" s="15">
        <f t="shared" si="6"/>
        <v>0</v>
      </c>
      <c r="J16" s="22">
        <f t="shared" si="13"/>
        <v>0</v>
      </c>
      <c r="K16" s="59">
        <f>References!$C$17*J16</f>
        <v>0</v>
      </c>
      <c r="L16" s="67">
        <f>K16/References!$F$19</f>
        <v>0</v>
      </c>
      <c r="M16" s="67" t="e">
        <f>L16/G16</f>
        <v>#DIV/0!</v>
      </c>
      <c r="N16" s="59">
        <v>32.72</v>
      </c>
      <c r="O16" s="67" t="e">
        <f>MROUND(N16+M16,References!$E$28)</f>
        <v>#DIV/0!</v>
      </c>
      <c r="P16" s="67"/>
      <c r="Q16" s="61">
        <f>G16*N16</f>
        <v>0</v>
      </c>
      <c r="R16" s="61">
        <f>G16*P16</f>
        <v>0</v>
      </c>
      <c r="S16" s="61">
        <f>R16-Q16</f>
        <v>0</v>
      </c>
      <c r="T16" s="61"/>
      <c r="U16" s="108">
        <f t="shared" si="4"/>
        <v>0</v>
      </c>
    </row>
    <row r="17" spans="1:21" s="25" customFormat="1">
      <c r="A17" s="152"/>
      <c r="B17" s="122">
        <v>100</v>
      </c>
      <c r="C17" s="32">
        <v>31</v>
      </c>
      <c r="D17" s="19" t="s">
        <v>21</v>
      </c>
      <c r="E17" s="21">
        <v>0</v>
      </c>
      <c r="F17" s="16">
        <f>References!$D$7</f>
        <v>4.333333333333333</v>
      </c>
      <c r="G17" s="70">
        <f t="shared" si="5"/>
        <v>0</v>
      </c>
      <c r="H17" s="15">
        <v>250</v>
      </c>
      <c r="I17" s="15">
        <f t="shared" si="6"/>
        <v>0</v>
      </c>
      <c r="J17" s="22">
        <f t="shared" si="13"/>
        <v>0</v>
      </c>
      <c r="K17" s="59">
        <f>References!$C$17*J17</f>
        <v>0</v>
      </c>
      <c r="L17" s="67">
        <f>K17/References!$F$19</f>
        <v>0</v>
      </c>
      <c r="M17" s="67" t="e">
        <f>L17/G17</f>
        <v>#DIV/0!</v>
      </c>
      <c r="N17" s="59">
        <v>32.72</v>
      </c>
      <c r="O17" s="67" t="e">
        <f>MROUND(N17+M17,References!$E$28)</f>
        <v>#DIV/0!</v>
      </c>
      <c r="P17" s="67"/>
      <c r="Q17" s="61">
        <f>G17*N17</f>
        <v>0</v>
      </c>
      <c r="R17" s="61">
        <f>G16*P17</f>
        <v>0</v>
      </c>
      <c r="S17" s="61">
        <f t="shared" si="9"/>
        <v>0</v>
      </c>
      <c r="T17" s="61"/>
      <c r="U17" s="108">
        <f t="shared" si="4"/>
        <v>0</v>
      </c>
    </row>
    <row r="18" spans="1:21" s="25" customFormat="1">
      <c r="A18" s="152"/>
      <c r="B18" s="122">
        <v>100</v>
      </c>
      <c r="C18" s="32">
        <v>23</v>
      </c>
      <c r="D18" s="19" t="s">
        <v>69</v>
      </c>
      <c r="E18" s="21">
        <v>0</v>
      </c>
      <c r="F18" s="16">
        <f>References!$D$9</f>
        <v>1</v>
      </c>
      <c r="G18" s="70">
        <f t="shared" si="5"/>
        <v>0</v>
      </c>
      <c r="H18" s="15">
        <v>47</v>
      </c>
      <c r="I18" s="15">
        <f t="shared" si="6"/>
        <v>0</v>
      </c>
      <c r="J18" s="22">
        <f t="shared" si="13"/>
        <v>0</v>
      </c>
      <c r="K18" s="59">
        <f>References!$C$17*J18</f>
        <v>0</v>
      </c>
      <c r="L18" s="67">
        <f>K18/References!$F$19</f>
        <v>0</v>
      </c>
      <c r="M18" s="67" t="e">
        <f t="shared" si="7"/>
        <v>#DIV/0!</v>
      </c>
      <c r="N18" s="59">
        <v>29.18</v>
      </c>
      <c r="O18" s="67" t="e">
        <f>MROUND(N18+M18,References!$E$28)</f>
        <v>#DIV/0!</v>
      </c>
      <c r="P18" s="67"/>
      <c r="Q18" s="61">
        <f>E18*N18*12</f>
        <v>0</v>
      </c>
      <c r="R18" s="61">
        <f>E18*P18*12</f>
        <v>0</v>
      </c>
      <c r="S18" s="61">
        <f t="shared" si="9"/>
        <v>0</v>
      </c>
      <c r="T18" s="61"/>
      <c r="U18" s="108">
        <f t="shared" si="4"/>
        <v>0</v>
      </c>
    </row>
    <row r="19" spans="1:21" s="25" customFormat="1">
      <c r="A19" s="153"/>
      <c r="B19" s="123">
        <v>100</v>
      </c>
      <c r="C19" s="39">
        <v>23</v>
      </c>
      <c r="D19" s="40" t="s">
        <v>85</v>
      </c>
      <c r="E19" s="26">
        <v>0</v>
      </c>
      <c r="F19" s="16">
        <f>References!$D$7</f>
        <v>4.333333333333333</v>
      </c>
      <c r="G19" s="71">
        <f t="shared" si="5"/>
        <v>0</v>
      </c>
      <c r="H19" s="28">
        <v>68</v>
      </c>
      <c r="I19" s="28">
        <f t="shared" si="6"/>
        <v>0</v>
      </c>
      <c r="J19" s="29">
        <f t="shared" si="13"/>
        <v>0</v>
      </c>
      <c r="K19" s="59">
        <f>References!$C$17*J19</f>
        <v>0</v>
      </c>
      <c r="L19" s="68">
        <f>K19/References!$F$19</f>
        <v>0</v>
      </c>
      <c r="M19" s="68" t="e">
        <f t="shared" si="7"/>
        <v>#DIV/0!</v>
      </c>
      <c r="N19" s="60">
        <v>33.64</v>
      </c>
      <c r="O19" s="67" t="e">
        <f>MROUND(N19+M19,References!$E$28)</f>
        <v>#DIV/0!</v>
      </c>
      <c r="P19" s="68"/>
      <c r="Q19" s="62">
        <f>E19*N19*12</f>
        <v>0</v>
      </c>
      <c r="R19" s="62">
        <f>E19*P19*12</f>
        <v>0</v>
      </c>
      <c r="S19" s="62">
        <f t="shared" si="9"/>
        <v>0</v>
      </c>
      <c r="T19" s="62"/>
      <c r="U19" s="108">
        <f t="shared" si="4"/>
        <v>0</v>
      </c>
    </row>
    <row r="20" spans="1:21" s="25" customFormat="1" ht="14.45" customHeight="1">
      <c r="A20" s="154" t="s">
        <v>154</v>
      </c>
      <c r="B20" s="124"/>
      <c r="C20" s="32"/>
      <c r="D20" s="56" t="s">
        <v>54</v>
      </c>
      <c r="E20" s="57">
        <f>SUM(E6:E19)</f>
        <v>6592.1</v>
      </c>
      <c r="F20" s="66"/>
      <c r="G20" s="57">
        <f>SUM(G6:G19)</f>
        <v>334669.196</v>
      </c>
      <c r="H20" s="15"/>
      <c r="I20" s="134">
        <f>SUM(I6:I19)</f>
        <v>11007747.852</v>
      </c>
      <c r="J20" s="134">
        <f>SUM(J6:J19)</f>
        <v>7580366.407398195</v>
      </c>
      <c r="K20" s="66"/>
      <c r="L20" s="66"/>
      <c r="M20" s="66"/>
      <c r="N20" s="16"/>
      <c r="O20" s="66"/>
      <c r="P20" s="27"/>
      <c r="Q20" s="57">
        <f>SUM(Q6:Q19)</f>
        <v>991433.97599999991</v>
      </c>
      <c r="R20" s="57">
        <f>SUM(R6:R19)</f>
        <v>1010827.476</v>
      </c>
      <c r="S20" s="57">
        <f>SUM(S6:S19)</f>
        <v>19393.500000000051</v>
      </c>
      <c r="T20" s="63">
        <f>SUM(T7:T19)</f>
        <v>946022.67599999998</v>
      </c>
      <c r="U20" s="57">
        <f>SUM(U6:U19)</f>
        <v>19393.500000000051</v>
      </c>
    </row>
    <row r="21" spans="1:21" s="25" customFormat="1">
      <c r="A21" s="152"/>
      <c r="B21" s="122" t="s">
        <v>164</v>
      </c>
      <c r="C21" s="33" t="s">
        <v>165</v>
      </c>
      <c r="D21" s="34" t="s">
        <v>25</v>
      </c>
      <c r="E21" s="35">
        <f>239+63</f>
        <v>302</v>
      </c>
      <c r="F21" s="16">
        <f>References!$D$7</f>
        <v>4.333333333333333</v>
      </c>
      <c r="G21" s="69">
        <f>E21*F21*12</f>
        <v>15703.999999999998</v>
      </c>
      <c r="H21" s="36">
        <v>29</v>
      </c>
      <c r="I21" s="15">
        <f t="shared" si="6"/>
        <v>455415.99999999994</v>
      </c>
      <c r="J21" s="22">
        <f t="shared" ref="J21:J38" si="14">$E$74*I21</f>
        <v>313617.29885231896</v>
      </c>
      <c r="K21" s="59">
        <f>References!$C$17*J21</f>
        <v>784.04324713079814</v>
      </c>
      <c r="L21" s="67">
        <f>K21/References!$F$19</f>
        <v>802.99390324743763</v>
      </c>
      <c r="M21" s="67">
        <f t="shared" si="7"/>
        <v>0.22157668411905013</v>
      </c>
      <c r="N21" s="58">
        <v>8.9700000000000006</v>
      </c>
      <c r="O21" s="67">
        <f>MROUND(N21+M21,References!$E$28)</f>
        <v>9.19</v>
      </c>
      <c r="P21" s="59">
        <f>+O21</f>
        <v>9.19</v>
      </c>
      <c r="Q21" s="90">
        <f t="shared" ref="Q21:Q26" si="15">E21*N21*12</f>
        <v>32507.279999999999</v>
      </c>
      <c r="R21" s="90">
        <f t="shared" ref="R21:R26" si="16">E21*P21*12</f>
        <v>33304.559999999998</v>
      </c>
      <c r="S21" s="90">
        <f t="shared" si="9"/>
        <v>797.27999999999884</v>
      </c>
      <c r="T21" s="90">
        <f>E21*O21*12</f>
        <v>33304.559999999998</v>
      </c>
      <c r="U21" s="108">
        <f t="shared" ref="U21:U38" si="17">T21-Q21</f>
        <v>797.27999999999884</v>
      </c>
    </row>
    <row r="22" spans="1:21" s="25" customFormat="1">
      <c r="A22" s="152"/>
      <c r="B22" s="122">
        <v>245</v>
      </c>
      <c r="C22" s="32"/>
      <c r="D22" s="19" t="s">
        <v>22</v>
      </c>
      <c r="E22" s="21">
        <v>0</v>
      </c>
      <c r="F22" s="16">
        <f>References!$D$7</f>
        <v>4.333333333333333</v>
      </c>
      <c r="G22" s="70">
        <f t="shared" si="5"/>
        <v>0</v>
      </c>
      <c r="H22" s="15">
        <f>29*2</f>
        <v>58</v>
      </c>
      <c r="I22" s="15">
        <f t="shared" si="6"/>
        <v>0</v>
      </c>
      <c r="J22" s="22">
        <f t="shared" si="14"/>
        <v>0</v>
      </c>
      <c r="K22" s="59">
        <f>References!$C$17*J22</f>
        <v>0</v>
      </c>
      <c r="L22" s="67">
        <f>K22/References!$F$19</f>
        <v>0</v>
      </c>
      <c r="M22" s="67" t="e">
        <f t="shared" si="7"/>
        <v>#DIV/0!</v>
      </c>
      <c r="N22" s="59">
        <v>47.89</v>
      </c>
      <c r="O22" s="67" t="e">
        <f>MROUND(N22+M22,References!$E$28)</f>
        <v>#DIV/0!</v>
      </c>
      <c r="P22" s="59"/>
      <c r="Q22" s="61">
        <f t="shared" si="15"/>
        <v>0</v>
      </c>
      <c r="R22" s="61">
        <f t="shared" si="16"/>
        <v>0</v>
      </c>
      <c r="S22" s="61">
        <f t="shared" si="9"/>
        <v>0</v>
      </c>
      <c r="T22" s="61"/>
      <c r="U22" s="108">
        <f t="shared" si="17"/>
        <v>0</v>
      </c>
    </row>
    <row r="23" spans="1:21" s="25" customFormat="1">
      <c r="A23" s="152"/>
      <c r="B23" s="122">
        <v>245</v>
      </c>
      <c r="C23" s="32"/>
      <c r="D23" s="19" t="s">
        <v>13</v>
      </c>
      <c r="E23" s="21">
        <v>0</v>
      </c>
      <c r="F23" s="16">
        <f>References!$D$7</f>
        <v>4.333333333333333</v>
      </c>
      <c r="G23" s="70">
        <f t="shared" si="5"/>
        <v>0</v>
      </c>
      <c r="H23" s="15">
        <f>29*3</f>
        <v>87</v>
      </c>
      <c r="I23" s="15">
        <f t="shared" si="6"/>
        <v>0</v>
      </c>
      <c r="J23" s="22">
        <f t="shared" si="14"/>
        <v>0</v>
      </c>
      <c r="K23" s="59">
        <f>References!$C$17*J23</f>
        <v>0</v>
      </c>
      <c r="L23" s="67">
        <f>K23/References!$F$19</f>
        <v>0</v>
      </c>
      <c r="M23" s="67" t="e">
        <f t="shared" si="7"/>
        <v>#DIV/0!</v>
      </c>
      <c r="N23" s="59">
        <v>71.83</v>
      </c>
      <c r="O23" s="67" t="e">
        <f>MROUND(N23+M23,References!$E$28)</f>
        <v>#DIV/0!</v>
      </c>
      <c r="P23" s="59"/>
      <c r="Q23" s="61">
        <f t="shared" si="15"/>
        <v>0</v>
      </c>
      <c r="R23" s="61">
        <f t="shared" si="16"/>
        <v>0</v>
      </c>
      <c r="S23" s="61">
        <f t="shared" si="9"/>
        <v>0</v>
      </c>
      <c r="T23" s="61"/>
      <c r="U23" s="108">
        <f t="shared" si="17"/>
        <v>0</v>
      </c>
    </row>
    <row r="24" spans="1:21" s="25" customFormat="1">
      <c r="A24" s="152"/>
      <c r="B24" s="122">
        <v>245</v>
      </c>
      <c r="C24" s="32"/>
      <c r="D24" s="19" t="s">
        <v>16</v>
      </c>
      <c r="E24" s="21"/>
      <c r="F24" s="16">
        <f>References!$D$8</f>
        <v>2.1666666666666665</v>
      </c>
      <c r="G24" s="70">
        <f t="shared" si="5"/>
        <v>0</v>
      </c>
      <c r="H24" s="15">
        <v>29</v>
      </c>
      <c r="I24" s="15">
        <f t="shared" si="6"/>
        <v>0</v>
      </c>
      <c r="J24" s="22">
        <f t="shared" si="14"/>
        <v>0</v>
      </c>
      <c r="K24" s="59">
        <f>References!$C$17*J24</f>
        <v>0</v>
      </c>
      <c r="L24" s="67">
        <f>K24/References!$F$19</f>
        <v>0</v>
      </c>
      <c r="M24" s="67" t="e">
        <f t="shared" si="7"/>
        <v>#DIV/0!</v>
      </c>
      <c r="N24" s="59">
        <v>11.98</v>
      </c>
      <c r="O24" s="67" t="e">
        <f>MROUND(N24+M24,References!$E$28)</f>
        <v>#DIV/0!</v>
      </c>
      <c r="P24" s="59"/>
      <c r="Q24" s="61">
        <f t="shared" si="15"/>
        <v>0</v>
      </c>
      <c r="R24" s="61">
        <f t="shared" si="16"/>
        <v>0</v>
      </c>
      <c r="S24" s="61">
        <f t="shared" si="9"/>
        <v>0</v>
      </c>
      <c r="T24" s="61"/>
      <c r="U24" s="108">
        <f t="shared" si="17"/>
        <v>0</v>
      </c>
    </row>
    <row r="25" spans="1:21" s="25" customFormat="1">
      <c r="A25" s="152"/>
      <c r="B25" s="122">
        <v>245</v>
      </c>
      <c r="C25" s="32"/>
      <c r="D25" s="19" t="s">
        <v>17</v>
      </c>
      <c r="E25" s="21"/>
      <c r="F25" s="16">
        <f>References!$D$8</f>
        <v>2.1666666666666665</v>
      </c>
      <c r="G25" s="70">
        <f t="shared" si="5"/>
        <v>0</v>
      </c>
      <c r="H25" s="15">
        <f>29*2</f>
        <v>58</v>
      </c>
      <c r="I25" s="15">
        <f t="shared" si="6"/>
        <v>0</v>
      </c>
      <c r="J25" s="22">
        <f t="shared" si="14"/>
        <v>0</v>
      </c>
      <c r="K25" s="59">
        <f>References!$C$17*J25</f>
        <v>0</v>
      </c>
      <c r="L25" s="67">
        <f>K25/References!$F$19</f>
        <v>0</v>
      </c>
      <c r="M25" s="67" t="e">
        <f t="shared" si="7"/>
        <v>#DIV/0!</v>
      </c>
      <c r="N25" s="59">
        <v>24</v>
      </c>
      <c r="O25" s="67" t="e">
        <f>MROUND(N25+M25,References!$E$28)</f>
        <v>#DIV/0!</v>
      </c>
      <c r="P25" s="59"/>
      <c r="Q25" s="61">
        <f t="shared" si="15"/>
        <v>0</v>
      </c>
      <c r="R25" s="61">
        <f t="shared" si="16"/>
        <v>0</v>
      </c>
      <c r="S25" s="61">
        <f t="shared" si="9"/>
        <v>0</v>
      </c>
      <c r="T25" s="61"/>
      <c r="U25" s="108">
        <f t="shared" si="17"/>
        <v>0</v>
      </c>
    </row>
    <row r="26" spans="1:21" s="25" customFormat="1">
      <c r="A26" s="152"/>
      <c r="B26" s="122">
        <v>245</v>
      </c>
      <c r="C26" s="32">
        <v>36</v>
      </c>
      <c r="D26" s="19" t="s">
        <v>151</v>
      </c>
      <c r="E26" s="21">
        <v>7</v>
      </c>
      <c r="F26" s="16">
        <v>4.33</v>
      </c>
      <c r="G26" s="70">
        <f>E26*F26*12</f>
        <v>363.72</v>
      </c>
      <c r="H26" s="15">
        <v>34</v>
      </c>
      <c r="I26" s="15">
        <f>G26*H26</f>
        <v>12366.480000000001</v>
      </c>
      <c r="J26" s="22">
        <f>$E$74*I26</f>
        <v>8516.0425938289973</v>
      </c>
      <c r="K26" s="59">
        <f>References!$C$17*J26</f>
        <v>21.290106484572512</v>
      </c>
      <c r="L26" s="67">
        <f>K26/References!$F$19</f>
        <v>21.804697341839933</v>
      </c>
      <c r="M26" s="67">
        <f>L26/G26*F26</f>
        <v>0.2595797302599992</v>
      </c>
      <c r="N26" s="59">
        <v>8.83</v>
      </c>
      <c r="O26" s="67">
        <f>MROUND(N26+M26,References!$E$28)</f>
        <v>9.09</v>
      </c>
      <c r="P26" s="59">
        <f>+O26</f>
        <v>9.09</v>
      </c>
      <c r="Q26" s="61">
        <f t="shared" si="15"/>
        <v>741.72</v>
      </c>
      <c r="R26" s="61">
        <f t="shared" si="16"/>
        <v>763.56</v>
      </c>
      <c r="S26" s="61">
        <f t="shared" si="9"/>
        <v>21.839999999999918</v>
      </c>
      <c r="T26" s="61">
        <f>E26*O26*12</f>
        <v>763.56</v>
      </c>
      <c r="U26" s="108">
        <f t="shared" ref="U26" si="18">T26-Q26</f>
        <v>21.839999999999918</v>
      </c>
    </row>
    <row r="27" spans="1:21" s="25" customFormat="1">
      <c r="A27" s="152"/>
      <c r="B27" s="122">
        <v>245</v>
      </c>
      <c r="C27" s="32">
        <v>36</v>
      </c>
      <c r="D27" s="19" t="s">
        <v>155</v>
      </c>
      <c r="E27" s="21">
        <v>1E-3</v>
      </c>
      <c r="F27" s="16">
        <v>4.33</v>
      </c>
      <c r="G27" s="70">
        <f t="shared" ref="G27" si="19">E27*F27*12</f>
        <v>5.1960000000000006E-2</v>
      </c>
      <c r="H27" s="15">
        <v>47</v>
      </c>
      <c r="I27" s="15">
        <f t="shared" ref="I27" si="20">G27*H27</f>
        <v>2.4421200000000001</v>
      </c>
      <c r="J27" s="22">
        <f t="shared" si="14"/>
        <v>1.6817395038233731</v>
      </c>
      <c r="K27" s="59">
        <f>References!$C$17*J27</f>
        <v>4.2043487595584362E-3</v>
      </c>
      <c r="L27" s="67">
        <f>K27/References!$F$19</f>
        <v>4.3059696431364562E-3</v>
      </c>
      <c r="M27" s="67">
        <f t="shared" ref="M27" si="21">L27/G27*F27</f>
        <v>0.35883080359470465</v>
      </c>
      <c r="N27" s="59">
        <v>17.68</v>
      </c>
      <c r="O27" s="67">
        <f>MROUND(N27+M27,References!$E$28)</f>
        <v>18.04</v>
      </c>
      <c r="P27" s="59">
        <f>+O27</f>
        <v>18.04</v>
      </c>
      <c r="Q27" s="61">
        <f t="shared" ref="Q27" si="22">E27*N27*12</f>
        <v>0.21216000000000002</v>
      </c>
      <c r="R27" s="61">
        <f t="shared" ref="R27" si="23">E27*P27*12</f>
        <v>0.21648000000000001</v>
      </c>
      <c r="S27" s="61">
        <f t="shared" ref="S27" si="24">R27-Q27</f>
        <v>4.3199999999999905E-3</v>
      </c>
      <c r="T27" s="61">
        <f>E27*O27*12</f>
        <v>0.21648000000000001</v>
      </c>
      <c r="U27" s="108">
        <f t="shared" ref="U27" si="25">T27-Q27</f>
        <v>4.3199999999999905E-3</v>
      </c>
    </row>
    <row r="28" spans="1:21" s="25" customFormat="1">
      <c r="A28" s="152"/>
      <c r="B28" s="122" t="s">
        <v>169</v>
      </c>
      <c r="C28" s="32" t="s">
        <v>168</v>
      </c>
      <c r="D28" s="19" t="s">
        <v>152</v>
      </c>
      <c r="E28" s="21">
        <f>406+129</f>
        <v>535</v>
      </c>
      <c r="F28" s="16">
        <f>References!$D$7</f>
        <v>4.333333333333333</v>
      </c>
      <c r="G28" s="70">
        <f t="shared" si="5"/>
        <v>27819.999999999996</v>
      </c>
      <c r="H28" s="15">
        <v>324</v>
      </c>
      <c r="I28" s="15">
        <f t="shared" si="6"/>
        <v>9013679.9999999981</v>
      </c>
      <c r="J28" s="22">
        <f t="shared" si="14"/>
        <v>6207173.1654556934</v>
      </c>
      <c r="K28" s="59">
        <f>References!$C$17*J28</f>
        <v>15517.932913639248</v>
      </c>
      <c r="L28" s="67">
        <f>K28/References!$F$19</f>
        <v>15893.007900081162</v>
      </c>
      <c r="M28" s="67">
        <f>L28/G28</f>
        <v>0.57127993889580031</v>
      </c>
      <c r="N28" s="59">
        <v>21.06</v>
      </c>
      <c r="O28" s="67">
        <f>MROUND(N28+M28,References!$E$28)</f>
        <v>21.63</v>
      </c>
      <c r="P28" s="59">
        <f t="shared" ref="P28:P34" si="26">+O28</f>
        <v>21.63</v>
      </c>
      <c r="Q28" s="61">
        <f>G28*N28</f>
        <v>585889.19999999984</v>
      </c>
      <c r="R28" s="61">
        <f>G28*P28</f>
        <v>601746.59999999986</v>
      </c>
      <c r="S28" s="61">
        <f t="shared" si="9"/>
        <v>15857.400000000023</v>
      </c>
      <c r="T28" s="61">
        <f>G28*O28</f>
        <v>601746.59999999986</v>
      </c>
      <c r="U28" s="108">
        <f t="shared" si="17"/>
        <v>15857.400000000023</v>
      </c>
    </row>
    <row r="29" spans="1:21" s="25" customFormat="1">
      <c r="A29" s="152"/>
      <c r="B29" s="122">
        <v>240</v>
      </c>
      <c r="C29" s="32">
        <v>35</v>
      </c>
      <c r="D29" s="19" t="s">
        <v>156</v>
      </c>
      <c r="E29" s="21">
        <v>1E-3</v>
      </c>
      <c r="F29" s="16">
        <f>References!$D$7</f>
        <v>4.333333333333333</v>
      </c>
      <c r="G29" s="70">
        <f t="shared" ref="G29:G31" si="27">E29*F29*12</f>
        <v>5.1999999999999998E-2</v>
      </c>
      <c r="H29" s="15">
        <v>324</v>
      </c>
      <c r="I29" s="15">
        <f t="shared" ref="I29:I31" si="28">G29*H29</f>
        <v>16.847999999999999</v>
      </c>
      <c r="J29" s="22">
        <f t="shared" si="14"/>
        <v>11.602192832627466</v>
      </c>
      <c r="K29" s="59">
        <f>References!$C$17*J29</f>
        <v>2.9005482081568692E-2</v>
      </c>
      <c r="L29" s="67">
        <f>K29/References!$F$19</f>
        <v>2.9706556822581616E-2</v>
      </c>
      <c r="M29" s="67">
        <f>L29/G29</f>
        <v>0.57127993889580031</v>
      </c>
      <c r="N29" s="59">
        <v>24.23</v>
      </c>
      <c r="O29" s="67">
        <f>MROUND(N29+M29,References!$E$28)</f>
        <v>24.8</v>
      </c>
      <c r="P29" s="59">
        <f t="shared" ref="P29" si="29">+O29</f>
        <v>24.8</v>
      </c>
      <c r="Q29" s="61">
        <f>G29*N29</f>
        <v>1.25996</v>
      </c>
      <c r="R29" s="61">
        <f>G29*P29</f>
        <v>1.2896000000000001</v>
      </c>
      <c r="S29" s="61">
        <f t="shared" ref="S29" si="30">R29-Q29</f>
        <v>2.9640000000000111E-2</v>
      </c>
      <c r="T29" s="61">
        <f>G29*O29</f>
        <v>1.2896000000000001</v>
      </c>
      <c r="U29" s="108">
        <f t="shared" ref="U29" si="31">T29-Q29</f>
        <v>2.9640000000000111E-2</v>
      </c>
    </row>
    <row r="30" spans="1:21" s="25" customFormat="1">
      <c r="A30" s="152"/>
      <c r="B30" s="122">
        <v>105</v>
      </c>
      <c r="C30" s="32">
        <v>26</v>
      </c>
      <c r="D30" s="19" t="s">
        <v>157</v>
      </c>
      <c r="E30" s="21">
        <v>1E-3</v>
      </c>
      <c r="F30" s="16">
        <v>4.33</v>
      </c>
      <c r="G30" s="70">
        <f t="shared" si="27"/>
        <v>5.1960000000000006E-2</v>
      </c>
      <c r="H30" s="15">
        <v>324</v>
      </c>
      <c r="I30" s="15">
        <f t="shared" si="28"/>
        <v>16.835040000000003</v>
      </c>
      <c r="J30" s="22">
        <f t="shared" si="14"/>
        <v>11.593268068910064</v>
      </c>
      <c r="K30" s="59">
        <f>References!$C$17*J30</f>
        <v>2.8983170172275186E-2</v>
      </c>
      <c r="L30" s="67">
        <f>K30/References!$F$19</f>
        <v>2.9683705625025793E-2</v>
      </c>
      <c r="M30" s="67">
        <f>L30/G30</f>
        <v>0.57127993889580042</v>
      </c>
      <c r="N30" s="59">
        <v>87.75</v>
      </c>
      <c r="O30" s="67">
        <f>MROUND(N30+M30,References!$E$28)</f>
        <v>88.320000000000007</v>
      </c>
      <c r="P30" s="59">
        <f t="shared" ref="P30" si="32">+O30</f>
        <v>88.320000000000007</v>
      </c>
      <c r="Q30" s="61">
        <f>G30*N30</f>
        <v>4.5594900000000003</v>
      </c>
      <c r="R30" s="61">
        <f>G30*P30</f>
        <v>4.5891072000000008</v>
      </c>
      <c r="S30" s="61">
        <f t="shared" ref="S30" si="33">R30-Q30</f>
        <v>2.9617200000000565E-2</v>
      </c>
      <c r="T30" s="61">
        <f>G30*O30</f>
        <v>4.5891072000000008</v>
      </c>
      <c r="U30" s="108">
        <f t="shared" ref="U30" si="34">T30-Q30</f>
        <v>2.9617200000000565E-2</v>
      </c>
    </row>
    <row r="31" spans="1:21" s="25" customFormat="1">
      <c r="A31" s="152"/>
      <c r="B31" s="122">
        <v>255</v>
      </c>
      <c r="C31" s="32">
        <v>37</v>
      </c>
      <c r="D31" s="19" t="s">
        <v>158</v>
      </c>
      <c r="E31" s="21">
        <v>1E-3</v>
      </c>
      <c r="F31" s="16">
        <v>4.33</v>
      </c>
      <c r="G31" s="70">
        <f t="shared" si="27"/>
        <v>5.1960000000000006E-2</v>
      </c>
      <c r="H31" s="15">
        <v>324</v>
      </c>
      <c r="I31" s="15">
        <f t="shared" si="28"/>
        <v>16.835040000000003</v>
      </c>
      <c r="J31" s="22">
        <f t="shared" si="14"/>
        <v>11.593268068910064</v>
      </c>
      <c r="K31" s="59">
        <f>References!$C$17*J31</f>
        <v>2.8983170172275186E-2</v>
      </c>
      <c r="L31" s="67">
        <f>K31/References!$F$19</f>
        <v>2.9683705625025793E-2</v>
      </c>
      <c r="M31" s="67">
        <f>L31/G31</f>
        <v>0.57127993889580042</v>
      </c>
      <c r="N31" s="59">
        <v>77.650000000000006</v>
      </c>
      <c r="O31" s="67">
        <f>MROUND(N31+M31,References!$E$28)</f>
        <v>78.22</v>
      </c>
      <c r="P31" s="59">
        <f t="shared" ref="P31" si="35">+O31</f>
        <v>78.22</v>
      </c>
      <c r="Q31" s="61">
        <f>G31*N31</f>
        <v>4.0346940000000009</v>
      </c>
      <c r="R31" s="61">
        <f>G31*P31</f>
        <v>4.0643112000000006</v>
      </c>
      <c r="S31" s="61">
        <f t="shared" ref="S31" si="36">R31-Q31</f>
        <v>2.9617199999999677E-2</v>
      </c>
      <c r="T31" s="61">
        <f>G31*O31</f>
        <v>4.0643112000000006</v>
      </c>
      <c r="U31" s="108">
        <f t="shared" ref="U31" si="37">T31-Q31</f>
        <v>2.9617199999999677E-2</v>
      </c>
    </row>
    <row r="32" spans="1:21" s="25" customFormat="1">
      <c r="A32" s="152"/>
      <c r="B32" s="122">
        <v>240</v>
      </c>
      <c r="C32" s="32">
        <v>35</v>
      </c>
      <c r="D32" s="19" t="s">
        <v>26</v>
      </c>
      <c r="E32" s="21">
        <v>0</v>
      </c>
      <c r="F32" s="16">
        <f>References!E7</f>
        <v>8.6666666666666661</v>
      </c>
      <c r="G32" s="70">
        <f>E32*F32*12</f>
        <v>0</v>
      </c>
      <c r="H32" s="15">
        <v>250</v>
      </c>
      <c r="I32" s="15">
        <f t="shared" si="6"/>
        <v>0</v>
      </c>
      <c r="J32" s="22">
        <f t="shared" si="14"/>
        <v>0</v>
      </c>
      <c r="K32" s="59">
        <f>References!$C$17*J32</f>
        <v>0</v>
      </c>
      <c r="L32" s="67">
        <f>K32/References!$F$19</f>
        <v>0</v>
      </c>
      <c r="M32" s="67" t="e">
        <f t="shared" ref="M32:M38" si="38">L32/G32</f>
        <v>#DIV/0!</v>
      </c>
      <c r="N32" s="59">
        <f t="shared" ref="N32:N37" si="39">$N$38</f>
        <v>32.72</v>
      </c>
      <c r="O32" s="67" t="e">
        <f>MROUND(N32+M32,References!$E$28)</f>
        <v>#DIV/0!</v>
      </c>
      <c r="P32" s="59"/>
      <c r="Q32" s="61">
        <f t="shared" ref="Q32:Q38" si="40">G32*N32</f>
        <v>0</v>
      </c>
      <c r="R32" s="61">
        <f t="shared" ref="R32:R38" si="41">G32*P32</f>
        <v>0</v>
      </c>
      <c r="S32" s="61">
        <f t="shared" si="9"/>
        <v>0</v>
      </c>
      <c r="T32" s="61"/>
      <c r="U32" s="108">
        <f t="shared" si="17"/>
        <v>0</v>
      </c>
    </row>
    <row r="33" spans="1:116" s="131" customFormat="1">
      <c r="A33" s="152"/>
      <c r="B33" s="122">
        <v>240</v>
      </c>
      <c r="C33" s="32">
        <v>35</v>
      </c>
      <c r="D33" s="19" t="s">
        <v>27</v>
      </c>
      <c r="E33" s="21">
        <v>0</v>
      </c>
      <c r="F33" s="16">
        <f>References!G7</f>
        <v>17.333333333333332</v>
      </c>
      <c r="G33" s="70">
        <f>E33*F33*12</f>
        <v>0</v>
      </c>
      <c r="H33" s="15">
        <v>250</v>
      </c>
      <c r="I33" s="15">
        <f t="shared" si="6"/>
        <v>0</v>
      </c>
      <c r="J33" s="22">
        <f t="shared" si="14"/>
        <v>0</v>
      </c>
      <c r="K33" s="59">
        <f>References!$C$17*J33</f>
        <v>0</v>
      </c>
      <c r="L33" s="67">
        <f>K33/References!$F$19</f>
        <v>0</v>
      </c>
      <c r="M33" s="67" t="e">
        <f t="shared" si="38"/>
        <v>#DIV/0!</v>
      </c>
      <c r="N33" s="59">
        <f t="shared" si="39"/>
        <v>32.72</v>
      </c>
      <c r="O33" s="67" t="e">
        <f>MROUND(N33+M33,References!$E$28)</f>
        <v>#DIV/0!</v>
      </c>
      <c r="P33" s="59"/>
      <c r="Q33" s="61">
        <f t="shared" si="40"/>
        <v>0</v>
      </c>
      <c r="R33" s="61">
        <f t="shared" si="41"/>
        <v>0</v>
      </c>
      <c r="S33" s="61">
        <f t="shared" si="9"/>
        <v>0</v>
      </c>
      <c r="T33" s="61"/>
      <c r="U33" s="108">
        <f t="shared" si="17"/>
        <v>0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</row>
    <row r="34" spans="1:116" s="25" customFormat="1">
      <c r="A34" s="152"/>
      <c r="B34" s="122">
        <v>240</v>
      </c>
      <c r="C34" s="32">
        <v>35</v>
      </c>
      <c r="D34" s="19" t="s">
        <v>153</v>
      </c>
      <c r="E34" s="21">
        <v>31</v>
      </c>
      <c r="F34" s="16">
        <f>References!$D$8</f>
        <v>2.1666666666666665</v>
      </c>
      <c r="G34" s="70">
        <f t="shared" si="5"/>
        <v>805.99999999999989</v>
      </c>
      <c r="H34" s="15">
        <v>324</v>
      </c>
      <c r="I34" s="15">
        <f t="shared" si="6"/>
        <v>261143.99999999997</v>
      </c>
      <c r="J34" s="22">
        <f t="shared" si="14"/>
        <v>179833.98890572571</v>
      </c>
      <c r="K34" s="59">
        <f>References!$C$17*J34</f>
        <v>449.58497226431467</v>
      </c>
      <c r="L34" s="67">
        <f>K34/References!$F$19</f>
        <v>460.451630750015</v>
      </c>
      <c r="M34" s="67">
        <f t="shared" si="38"/>
        <v>0.57127993889580031</v>
      </c>
      <c r="N34" s="155">
        <v>43.37</v>
      </c>
      <c r="O34" s="67">
        <f>MROUND(N34+M34,References!$E$28)</f>
        <v>43.94</v>
      </c>
      <c r="P34" s="59">
        <f t="shared" si="26"/>
        <v>43.94</v>
      </c>
      <c r="Q34" s="61">
        <f t="shared" si="40"/>
        <v>34956.219999999994</v>
      </c>
      <c r="R34" s="61">
        <f t="shared" si="41"/>
        <v>35415.639999999992</v>
      </c>
      <c r="S34" s="61">
        <f t="shared" si="9"/>
        <v>459.41999999999825</v>
      </c>
      <c r="T34" s="61">
        <f t="shared" ref="T34" si="42">G34*O34</f>
        <v>35415.639999999992</v>
      </c>
      <c r="U34" s="108">
        <f t="shared" si="17"/>
        <v>459.41999999999825</v>
      </c>
    </row>
    <row r="35" spans="1:116" s="25" customFormat="1">
      <c r="A35" s="152"/>
      <c r="B35" s="122">
        <v>240</v>
      </c>
      <c r="C35" s="32">
        <v>32</v>
      </c>
      <c r="D35" s="19" t="s">
        <v>28</v>
      </c>
      <c r="E35" s="21">
        <v>0</v>
      </c>
      <c r="F35" s="15">
        <f>References!$D$6</f>
        <v>8.6666666666666661</v>
      </c>
      <c r="G35" s="70">
        <f t="shared" si="5"/>
        <v>0</v>
      </c>
      <c r="H35" s="15">
        <v>250</v>
      </c>
      <c r="I35" s="15">
        <f t="shared" si="6"/>
        <v>0</v>
      </c>
      <c r="J35" s="22">
        <f t="shared" si="14"/>
        <v>0</v>
      </c>
      <c r="K35" s="59">
        <f>References!$C$17*J35</f>
        <v>0</v>
      </c>
      <c r="L35" s="67">
        <f>K35/References!$F$19</f>
        <v>0</v>
      </c>
      <c r="M35" s="67" t="e">
        <f t="shared" si="38"/>
        <v>#DIV/0!</v>
      </c>
      <c r="N35" s="59">
        <f t="shared" si="39"/>
        <v>32.72</v>
      </c>
      <c r="O35" s="67" t="e">
        <f>MROUND(N35+M35,References!$E$28)</f>
        <v>#DIV/0!</v>
      </c>
      <c r="P35" s="59"/>
      <c r="Q35" s="61">
        <f t="shared" si="40"/>
        <v>0</v>
      </c>
      <c r="R35" s="61">
        <f t="shared" si="41"/>
        <v>0</v>
      </c>
      <c r="S35" s="61">
        <f t="shared" si="9"/>
        <v>0</v>
      </c>
      <c r="T35" s="61"/>
      <c r="U35" s="108">
        <f t="shared" si="17"/>
        <v>0</v>
      </c>
    </row>
    <row r="36" spans="1:116" s="25" customFormat="1">
      <c r="A36" s="152"/>
      <c r="B36" s="122">
        <v>240</v>
      </c>
      <c r="C36" s="32">
        <v>32</v>
      </c>
      <c r="D36" s="19" t="s">
        <v>29</v>
      </c>
      <c r="E36" s="21">
        <v>0</v>
      </c>
      <c r="F36" s="15">
        <f>References!E6</f>
        <v>17.333333333333332</v>
      </c>
      <c r="G36" s="70">
        <f>E36*F36*12</f>
        <v>0</v>
      </c>
      <c r="H36" s="15">
        <v>250</v>
      </c>
      <c r="I36" s="15">
        <f t="shared" si="6"/>
        <v>0</v>
      </c>
      <c r="J36" s="22">
        <f t="shared" si="14"/>
        <v>0</v>
      </c>
      <c r="K36" s="59">
        <f>References!$C$17*J36</f>
        <v>0</v>
      </c>
      <c r="L36" s="67">
        <f>K36/References!$F$19</f>
        <v>0</v>
      </c>
      <c r="M36" s="67" t="e">
        <f t="shared" si="38"/>
        <v>#DIV/0!</v>
      </c>
      <c r="N36" s="59">
        <f t="shared" si="39"/>
        <v>32.72</v>
      </c>
      <c r="O36" s="67" t="e">
        <f>MROUND(N36+M36,References!$E$28)</f>
        <v>#DIV/0!</v>
      </c>
      <c r="P36" s="59"/>
      <c r="Q36" s="61">
        <f t="shared" si="40"/>
        <v>0</v>
      </c>
      <c r="R36" s="61">
        <f t="shared" si="41"/>
        <v>0</v>
      </c>
      <c r="S36" s="61">
        <f t="shared" si="9"/>
        <v>0</v>
      </c>
      <c r="T36" s="61"/>
      <c r="U36" s="108">
        <f t="shared" si="17"/>
        <v>0</v>
      </c>
    </row>
    <row r="37" spans="1:116" s="25" customFormat="1">
      <c r="A37" s="152"/>
      <c r="B37" s="122">
        <v>240</v>
      </c>
      <c r="C37" s="32">
        <v>32</v>
      </c>
      <c r="D37" s="19" t="s">
        <v>30</v>
      </c>
      <c r="E37" s="21">
        <v>0</v>
      </c>
      <c r="F37" s="15">
        <f>References!F6</f>
        <v>26</v>
      </c>
      <c r="G37" s="70">
        <f>E37*F37*12</f>
        <v>0</v>
      </c>
      <c r="H37" s="15">
        <v>250</v>
      </c>
      <c r="I37" s="15">
        <f t="shared" si="6"/>
        <v>0</v>
      </c>
      <c r="J37" s="22">
        <f t="shared" si="14"/>
        <v>0</v>
      </c>
      <c r="K37" s="59">
        <f>References!$C$17*J37</f>
        <v>0</v>
      </c>
      <c r="L37" s="67">
        <f>K37/References!$F$19</f>
        <v>0</v>
      </c>
      <c r="M37" s="67" t="e">
        <f t="shared" si="38"/>
        <v>#DIV/0!</v>
      </c>
      <c r="N37" s="59">
        <f t="shared" si="39"/>
        <v>32.72</v>
      </c>
      <c r="O37" s="67" t="e">
        <f>MROUND(N37+M37,References!$E$28)</f>
        <v>#DIV/0!</v>
      </c>
      <c r="P37" s="59"/>
      <c r="Q37" s="61">
        <f t="shared" si="40"/>
        <v>0</v>
      </c>
      <c r="R37" s="61">
        <f t="shared" si="41"/>
        <v>0</v>
      </c>
      <c r="S37" s="61">
        <f t="shared" si="9"/>
        <v>0</v>
      </c>
      <c r="T37" s="61"/>
      <c r="U37" s="108">
        <f t="shared" si="17"/>
        <v>0</v>
      </c>
    </row>
    <row r="38" spans="1:116" s="25" customFormat="1">
      <c r="A38" s="153"/>
      <c r="B38" s="123">
        <v>240</v>
      </c>
      <c r="C38" s="39">
        <v>32</v>
      </c>
      <c r="D38" s="40" t="s">
        <v>31</v>
      </c>
      <c r="E38" s="26">
        <v>0</v>
      </c>
      <c r="F38" s="27">
        <f>References!$D$9</f>
        <v>1</v>
      </c>
      <c r="G38" s="71">
        <f t="shared" si="5"/>
        <v>0</v>
      </c>
      <c r="H38" s="28">
        <v>250</v>
      </c>
      <c r="I38" s="28">
        <f t="shared" si="6"/>
        <v>0</v>
      </c>
      <c r="J38" s="29">
        <f t="shared" si="14"/>
        <v>0</v>
      </c>
      <c r="K38" s="60">
        <f>References!$C$17*J38</f>
        <v>0</v>
      </c>
      <c r="L38" s="68">
        <f>K38/References!$F$19</f>
        <v>0</v>
      </c>
      <c r="M38" s="68" t="e">
        <f t="shared" si="38"/>
        <v>#DIV/0!</v>
      </c>
      <c r="N38" s="60">
        <v>32.72</v>
      </c>
      <c r="O38" s="68" t="e">
        <f>MROUND(N38+M38,References!$E$28)</f>
        <v>#DIV/0!</v>
      </c>
      <c r="P38" s="60"/>
      <c r="Q38" s="62">
        <f t="shared" si="40"/>
        <v>0</v>
      </c>
      <c r="R38" s="62">
        <f t="shared" si="41"/>
        <v>0</v>
      </c>
      <c r="S38" s="62">
        <f t="shared" si="9"/>
        <v>0</v>
      </c>
      <c r="T38" s="62"/>
      <c r="U38" s="114">
        <f t="shared" si="17"/>
        <v>0</v>
      </c>
    </row>
    <row r="39" spans="1:116" ht="24" customHeight="1">
      <c r="A39" s="80"/>
      <c r="B39" s="121"/>
      <c r="C39" s="78"/>
      <c r="D39" s="79" t="s">
        <v>54</v>
      </c>
      <c r="E39" s="64">
        <f>SUM(E21:E38)</f>
        <v>875.00399999999991</v>
      </c>
      <c r="F39" s="27"/>
      <c r="G39" s="72">
        <f>SUM(G21:G38)</f>
        <v>44693.927879999996</v>
      </c>
      <c r="H39" s="28"/>
      <c r="I39" s="64">
        <f>SUM(I21:I38)</f>
        <v>9742659.4401999954</v>
      </c>
      <c r="J39" s="64">
        <f>SUM(J21:J38)</f>
        <v>6709176.9662760412</v>
      </c>
      <c r="K39" s="27"/>
      <c r="L39" s="27"/>
      <c r="M39" s="27"/>
      <c r="N39" s="27"/>
      <c r="O39" s="27"/>
      <c r="P39" s="27"/>
      <c r="Q39" s="91">
        <f>SUM(Q21:Q38)</f>
        <v>654104.4863039999</v>
      </c>
      <c r="R39" s="91">
        <f>SUM(R21:R38)</f>
        <v>671240.51949840004</v>
      </c>
      <c r="S39" s="91">
        <f>SUM(S21:S38)</f>
        <v>17136.033194400025</v>
      </c>
      <c r="T39" s="91">
        <f>SUM(T21:T38)</f>
        <v>671240.51949840004</v>
      </c>
      <c r="U39" s="91">
        <f>SUM(U21:U38)</f>
        <v>17136.033194400025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</row>
    <row r="40" spans="1:116" s="25" customFormat="1" ht="14.45" customHeight="1">
      <c r="A40" s="154" t="s">
        <v>23</v>
      </c>
      <c r="B40" s="80"/>
      <c r="C40" s="81"/>
      <c r="D40" s="82" t="s">
        <v>70</v>
      </c>
      <c r="E40" s="17"/>
      <c r="F40" s="17"/>
      <c r="G40" s="17"/>
      <c r="H40" s="8"/>
      <c r="I40" s="13"/>
      <c r="J40" s="6"/>
      <c r="K40" s="17"/>
      <c r="L40" s="17"/>
      <c r="M40" s="17"/>
      <c r="Q40" s="65"/>
      <c r="R40" s="65"/>
      <c r="S40" s="65"/>
      <c r="T40" s="65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1:116">
      <c r="A41" s="152"/>
      <c r="B41" s="122">
        <v>100</v>
      </c>
      <c r="C41" s="32" t="s">
        <v>167</v>
      </c>
      <c r="D41" s="19" t="s">
        <v>44</v>
      </c>
      <c r="E41" s="21">
        <v>1036</v>
      </c>
      <c r="F41" s="16"/>
      <c r="G41" s="70">
        <f>+E41</f>
        <v>1036</v>
      </c>
      <c r="H41" s="15">
        <v>34</v>
      </c>
      <c r="I41" s="15">
        <f t="shared" ref="I41:I49" si="43">G41*H41</f>
        <v>35224</v>
      </c>
      <c r="J41" s="22">
        <f>$E$74*I41</f>
        <v>24256.626325763882</v>
      </c>
      <c r="K41" s="59">
        <f>References!$C$17*J41</f>
        <v>60.641565814409759</v>
      </c>
      <c r="L41" s="59">
        <f>K41/References!$F$19</f>
        <v>62.107298048350835</v>
      </c>
      <c r="M41" s="67">
        <f t="shared" ref="M41:M49" si="44">L41/G41</f>
        <v>5.9949129390300032E-2</v>
      </c>
      <c r="N41" s="59">
        <v>3.25</v>
      </c>
      <c r="O41" s="142">
        <f>MROUND(N41+M41,References!$E$28)</f>
        <v>3.31</v>
      </c>
      <c r="P41" s="59">
        <f>+O41</f>
        <v>3.31</v>
      </c>
      <c r="Q41" s="61">
        <f>N41*G41</f>
        <v>3367</v>
      </c>
      <c r="R41" s="61">
        <f>P41*G41</f>
        <v>3429.16</v>
      </c>
      <c r="S41" s="61">
        <f>R41-Q41</f>
        <v>62.159999999999854</v>
      </c>
      <c r="T41" s="92">
        <f>O41*G41</f>
        <v>3429.16</v>
      </c>
      <c r="U41" s="108">
        <f t="shared" ref="U41:U44" si="45">T41-Q41</f>
        <v>62.159999999999854</v>
      </c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</row>
    <row r="42" spans="1:116">
      <c r="A42" s="152"/>
      <c r="B42" s="122">
        <v>100</v>
      </c>
      <c r="C42" s="32">
        <v>22</v>
      </c>
      <c r="D42" s="19" t="s">
        <v>49</v>
      </c>
      <c r="E42" s="20">
        <v>0</v>
      </c>
      <c r="F42" s="31"/>
      <c r="G42" s="70"/>
      <c r="H42" s="30">
        <v>34</v>
      </c>
      <c r="I42" s="15">
        <f t="shared" si="43"/>
        <v>0</v>
      </c>
      <c r="J42" s="22">
        <f>$E$74*I42</f>
        <v>0</v>
      </c>
      <c r="K42" s="59">
        <f>References!$C$17*J42</f>
        <v>0</v>
      </c>
      <c r="L42" s="59">
        <f>K42/References!$F$19</f>
        <v>0</v>
      </c>
      <c r="M42" s="67" t="e">
        <f t="shared" si="44"/>
        <v>#DIV/0!</v>
      </c>
      <c r="N42" s="96">
        <v>9.39</v>
      </c>
      <c r="O42" s="67" t="e">
        <f>MROUND(N42+M42,References!$E$28)</f>
        <v>#DIV/0!</v>
      </c>
      <c r="P42" s="96"/>
      <c r="Q42" s="61">
        <f t="shared" ref="Q42:Q44" si="46">N42*G42</f>
        <v>0</v>
      </c>
      <c r="R42" s="61">
        <f t="shared" ref="R42:R44" si="47">P42*G42</f>
        <v>0</v>
      </c>
      <c r="S42" s="61">
        <f t="shared" ref="S42:S44" si="48">R42-Q42</f>
        <v>0</v>
      </c>
      <c r="T42" s="92"/>
      <c r="U42" s="108">
        <f t="shared" si="45"/>
        <v>0</v>
      </c>
    </row>
    <row r="43" spans="1:116">
      <c r="A43" s="152"/>
      <c r="B43" s="122">
        <v>100</v>
      </c>
      <c r="C43" s="32">
        <v>22</v>
      </c>
      <c r="D43" s="19" t="s">
        <v>32</v>
      </c>
      <c r="E43" s="20">
        <v>0</v>
      </c>
      <c r="F43" s="31"/>
      <c r="G43" s="70"/>
      <c r="H43" s="30">
        <v>250</v>
      </c>
      <c r="I43" s="15">
        <f t="shared" si="43"/>
        <v>0</v>
      </c>
      <c r="J43" s="22">
        <f>$E$74*I43</f>
        <v>0</v>
      </c>
      <c r="K43" s="59">
        <f>References!$C$17*J43</f>
        <v>0</v>
      </c>
      <c r="L43" s="59">
        <f>K43/References!$F$19</f>
        <v>0</v>
      </c>
      <c r="M43" s="67" t="e">
        <f t="shared" si="44"/>
        <v>#DIV/0!</v>
      </c>
      <c r="N43" s="96">
        <v>32.72</v>
      </c>
      <c r="O43" s="67" t="e">
        <f>MROUND(N43+M43,References!$E$28)</f>
        <v>#DIV/0!</v>
      </c>
      <c r="P43" s="96"/>
      <c r="Q43" s="61">
        <f t="shared" si="46"/>
        <v>0</v>
      </c>
      <c r="R43" s="61">
        <f t="shared" si="47"/>
        <v>0</v>
      </c>
      <c r="S43" s="61">
        <f t="shared" si="48"/>
        <v>0</v>
      </c>
      <c r="T43" s="92"/>
      <c r="U43" s="108">
        <f t="shared" si="45"/>
        <v>0</v>
      </c>
    </row>
    <row r="44" spans="1:116">
      <c r="A44" s="153"/>
      <c r="B44" s="123">
        <v>100</v>
      </c>
      <c r="C44" s="39">
        <v>22</v>
      </c>
      <c r="D44" s="40" t="s">
        <v>43</v>
      </c>
      <c r="E44" s="2">
        <v>0</v>
      </c>
      <c r="F44" s="73"/>
      <c r="G44" s="71"/>
      <c r="H44" s="74">
        <v>250</v>
      </c>
      <c r="I44" s="28">
        <f t="shared" si="43"/>
        <v>0</v>
      </c>
      <c r="J44" s="29">
        <f>$E$74*I44</f>
        <v>0</v>
      </c>
      <c r="K44" s="59">
        <f>References!$C$17*J44</f>
        <v>0</v>
      </c>
      <c r="L44" s="60">
        <f>K44/References!$F$19</f>
        <v>0</v>
      </c>
      <c r="M44" s="68" t="e">
        <f t="shared" si="44"/>
        <v>#DIV/0!</v>
      </c>
      <c r="N44" s="97">
        <v>38.06</v>
      </c>
      <c r="O44" s="67" t="e">
        <f>MROUND(N44+M44,References!$E$28)</f>
        <v>#DIV/0!</v>
      </c>
      <c r="P44" s="97"/>
      <c r="Q44" s="62">
        <f t="shared" si="46"/>
        <v>0</v>
      </c>
      <c r="R44" s="62">
        <f t="shared" si="47"/>
        <v>0</v>
      </c>
      <c r="S44" s="62">
        <f t="shared" si="48"/>
        <v>0</v>
      </c>
      <c r="T44" s="62"/>
      <c r="U44" s="108">
        <f t="shared" si="45"/>
        <v>0</v>
      </c>
    </row>
    <row r="45" spans="1:116" ht="14.45" customHeight="1">
      <c r="A45" s="154" t="s">
        <v>24</v>
      </c>
      <c r="B45" s="124"/>
      <c r="C45" s="32"/>
      <c r="D45" s="56" t="s">
        <v>54</v>
      </c>
      <c r="E45" s="75"/>
      <c r="F45" s="75"/>
      <c r="G45" s="76">
        <f>SUM(G41:G44)</f>
        <v>1036</v>
      </c>
      <c r="H45" s="76"/>
      <c r="I45" s="88">
        <f>SUM(I41:I44)</f>
        <v>35224</v>
      </c>
      <c r="J45" s="76">
        <f>SUM(J41:J44)</f>
        <v>24256.626325763882</v>
      </c>
      <c r="K45" s="77"/>
      <c r="L45" s="98"/>
      <c r="M45" s="98"/>
      <c r="N45" s="99"/>
      <c r="O45" s="98"/>
      <c r="P45" s="99"/>
      <c r="Q45" s="93">
        <f>SUM(Q41:Q44)</f>
        <v>3367</v>
      </c>
      <c r="R45" s="94">
        <f>SUM(R41:R44)</f>
        <v>3429.16</v>
      </c>
      <c r="S45" s="94">
        <f>SUM(S41:S44)</f>
        <v>62.159999999999854</v>
      </c>
      <c r="T45" s="94">
        <f>SUM(T41:T44)</f>
        <v>3429.16</v>
      </c>
      <c r="U45" s="115">
        <f>SUM(U41:U44)</f>
        <v>62.159999999999854</v>
      </c>
    </row>
    <row r="46" spans="1:116">
      <c r="A46" s="152"/>
      <c r="B46" s="122">
        <v>100</v>
      </c>
      <c r="C46" s="33">
        <v>22</v>
      </c>
      <c r="D46" s="34" t="s">
        <v>44</v>
      </c>
      <c r="E46" s="35">
        <v>0</v>
      </c>
      <c r="F46" s="38"/>
      <c r="G46" s="69"/>
      <c r="H46" s="36">
        <v>34</v>
      </c>
      <c r="I46" s="15">
        <f t="shared" si="43"/>
        <v>0</v>
      </c>
      <c r="J46" s="37">
        <f>$E$74*I46</f>
        <v>0</v>
      </c>
      <c r="K46" s="59">
        <f>References!$C$17*J46</f>
        <v>0</v>
      </c>
      <c r="L46" s="58">
        <f>K46/References!$F$19</f>
        <v>0</v>
      </c>
      <c r="M46" s="67" t="e">
        <f t="shared" si="44"/>
        <v>#DIV/0!</v>
      </c>
      <c r="N46" s="58">
        <v>5.53</v>
      </c>
      <c r="O46" s="67" t="e">
        <f>MROUND(N46+M46,References!$E$28)</f>
        <v>#DIV/0!</v>
      </c>
      <c r="P46" s="58"/>
      <c r="Q46" s="61">
        <f t="shared" ref="Q46:Q49" si="49">N46*G46</f>
        <v>0</v>
      </c>
      <c r="R46" s="61">
        <f t="shared" ref="R46:R49" si="50">P46*G46</f>
        <v>0</v>
      </c>
      <c r="S46" s="61">
        <f t="shared" ref="S46:S49" si="51">R46-Q46</f>
        <v>0</v>
      </c>
      <c r="T46" s="92"/>
      <c r="U46" s="108">
        <f t="shared" ref="U46:U49" si="52">T46-Q46</f>
        <v>0</v>
      </c>
    </row>
    <row r="47" spans="1:116">
      <c r="A47" s="152"/>
      <c r="B47" s="122">
        <v>100</v>
      </c>
      <c r="C47" s="32">
        <v>22</v>
      </c>
      <c r="D47" s="19" t="s">
        <v>53</v>
      </c>
      <c r="E47" s="21">
        <v>0</v>
      </c>
      <c r="F47" s="16"/>
      <c r="G47" s="70"/>
      <c r="H47" s="15">
        <v>250</v>
      </c>
      <c r="I47" s="15">
        <f t="shared" si="43"/>
        <v>0</v>
      </c>
      <c r="J47" s="22">
        <f>$E$74*I47</f>
        <v>0</v>
      </c>
      <c r="K47" s="59">
        <f>References!$C$17*J47</f>
        <v>0</v>
      </c>
      <c r="L47" s="59">
        <f>K47/References!$F$19</f>
        <v>0</v>
      </c>
      <c r="M47" s="67" t="e">
        <f t="shared" si="44"/>
        <v>#DIV/0!</v>
      </c>
      <c r="N47" s="59">
        <v>32.72</v>
      </c>
      <c r="O47" s="67" t="e">
        <f>MROUND(N47+M47,References!$E$28)</f>
        <v>#DIV/0!</v>
      </c>
      <c r="P47" s="59"/>
      <c r="Q47" s="61">
        <f t="shared" si="49"/>
        <v>0</v>
      </c>
      <c r="R47" s="61">
        <f t="shared" si="50"/>
        <v>0</v>
      </c>
      <c r="S47" s="61">
        <f t="shared" si="51"/>
        <v>0</v>
      </c>
      <c r="T47" s="92"/>
      <c r="U47" s="108">
        <f t="shared" si="52"/>
        <v>0</v>
      </c>
    </row>
    <row r="48" spans="1:116">
      <c r="A48" s="152"/>
      <c r="B48" s="122">
        <v>100</v>
      </c>
      <c r="C48" s="32">
        <v>22</v>
      </c>
      <c r="D48" s="19" t="s">
        <v>51</v>
      </c>
      <c r="E48" s="21">
        <v>0</v>
      </c>
      <c r="F48" s="16"/>
      <c r="G48" s="70"/>
      <c r="H48" s="15">
        <v>250</v>
      </c>
      <c r="I48" s="15">
        <f t="shared" si="43"/>
        <v>0</v>
      </c>
      <c r="J48" s="22">
        <f>$E$74*I48</f>
        <v>0</v>
      </c>
      <c r="K48" s="59">
        <f>References!$C$17*J48</f>
        <v>0</v>
      </c>
      <c r="L48" s="59">
        <f>K48/References!$F$19</f>
        <v>0</v>
      </c>
      <c r="M48" s="67" t="e">
        <f t="shared" si="44"/>
        <v>#DIV/0!</v>
      </c>
      <c r="N48" s="59">
        <v>38.06</v>
      </c>
      <c r="O48" s="67" t="e">
        <f>MROUND(N48+M48,References!$E$28)</f>
        <v>#DIV/0!</v>
      </c>
      <c r="P48" s="59"/>
      <c r="Q48" s="61">
        <f t="shared" si="49"/>
        <v>0</v>
      </c>
      <c r="R48" s="61">
        <f t="shared" si="50"/>
        <v>0</v>
      </c>
      <c r="S48" s="61">
        <f t="shared" si="51"/>
        <v>0</v>
      </c>
      <c r="T48" s="92"/>
      <c r="U48" s="108">
        <f t="shared" si="52"/>
        <v>0</v>
      </c>
    </row>
    <row r="49" spans="1:44">
      <c r="A49" s="153"/>
      <c r="B49" s="123">
        <v>100</v>
      </c>
      <c r="C49" s="39">
        <v>22</v>
      </c>
      <c r="D49" s="40" t="s">
        <v>52</v>
      </c>
      <c r="E49" s="26">
        <v>0</v>
      </c>
      <c r="F49" s="27"/>
      <c r="G49" s="71"/>
      <c r="H49" s="28">
        <v>250</v>
      </c>
      <c r="I49" s="15">
        <f t="shared" si="43"/>
        <v>0</v>
      </c>
      <c r="J49" s="29">
        <f>$E$74*I49</f>
        <v>0</v>
      </c>
      <c r="K49" s="59">
        <f>References!$C$17*J49</f>
        <v>0</v>
      </c>
      <c r="L49" s="60">
        <f>K49/References!$F$19</f>
        <v>0</v>
      </c>
      <c r="M49" s="67" t="e">
        <f t="shared" si="44"/>
        <v>#DIV/0!</v>
      </c>
      <c r="N49" s="60">
        <v>32.72</v>
      </c>
      <c r="O49" s="67" t="e">
        <f>MROUND(N49+M49,References!$E$28)</f>
        <v>#DIV/0!</v>
      </c>
      <c r="P49" s="60"/>
      <c r="Q49" s="61">
        <f t="shared" si="49"/>
        <v>0</v>
      </c>
      <c r="R49" s="61">
        <f t="shared" si="50"/>
        <v>0</v>
      </c>
      <c r="S49" s="61">
        <f t="shared" si="51"/>
        <v>0</v>
      </c>
      <c r="T49" s="92"/>
      <c r="U49" s="108">
        <f t="shared" si="52"/>
        <v>0</v>
      </c>
    </row>
    <row r="50" spans="1:44" ht="15.75" thickBot="1">
      <c r="A50" s="100"/>
      <c r="B50" s="121"/>
      <c r="C50" s="81"/>
      <c r="D50" s="79" t="s">
        <v>54</v>
      </c>
      <c r="E50" s="83"/>
      <c r="F50" s="83"/>
      <c r="G50" s="87">
        <f>SUM(G46:G49)</f>
        <v>0</v>
      </c>
      <c r="H50" s="84"/>
      <c r="I50" s="87">
        <f>SUM(I46:I49)</f>
        <v>0</v>
      </c>
      <c r="J50" s="87">
        <f>SUM(J46:J49)</f>
        <v>0</v>
      </c>
      <c r="K50" s="85"/>
      <c r="L50" s="86"/>
      <c r="M50" s="86"/>
      <c r="N50" s="86"/>
      <c r="O50" s="86"/>
      <c r="P50" s="86"/>
      <c r="Q50" s="95">
        <f t="shared" ref="Q50:T50" si="53">SUM(Q46:Q49)</f>
        <v>0</v>
      </c>
      <c r="R50" s="95">
        <f t="shared" si="53"/>
        <v>0</v>
      </c>
      <c r="S50" s="95">
        <f t="shared" si="53"/>
        <v>0</v>
      </c>
      <c r="T50" s="95">
        <f t="shared" si="53"/>
        <v>0</v>
      </c>
      <c r="U50" s="113">
        <f>SUM(U46:U49)</f>
        <v>0</v>
      </c>
    </row>
    <row r="51" spans="1:44" ht="16.5" thickTop="1" thickBot="1">
      <c r="B51" s="100"/>
      <c r="C51" s="100"/>
      <c r="D51" s="101" t="s">
        <v>3</v>
      </c>
      <c r="E51" s="102">
        <f>E50+E45+E39+E20</f>
        <v>7467.1040000000003</v>
      </c>
      <c r="F51" s="100"/>
      <c r="G51" s="102">
        <f>G50+G45+G39+G20</f>
        <v>380399.12387999997</v>
      </c>
      <c r="H51" s="100"/>
      <c r="I51" s="102">
        <f>I50+I45+I39+I20</f>
        <v>20785631.292199995</v>
      </c>
      <c r="J51" s="102">
        <f>J50+J45+J39+J20</f>
        <v>14313800</v>
      </c>
      <c r="K51" s="103"/>
      <c r="L51" s="103"/>
      <c r="M51" s="103"/>
      <c r="N51" s="143"/>
      <c r="O51" s="143"/>
      <c r="P51" s="143"/>
      <c r="Q51" s="104">
        <f>Q50+Q45+Q39+Q20</f>
        <v>1648905.4623039998</v>
      </c>
      <c r="R51" s="104">
        <f>R50+R45+R39+R20</f>
        <v>1685497.1554984001</v>
      </c>
      <c r="S51" s="104">
        <f>S50+S45+S39+S20</f>
        <v>36591.693194400075</v>
      </c>
      <c r="T51" s="104">
        <f>T50+T45+T39+T20</f>
        <v>1620692.3554984001</v>
      </c>
      <c r="U51" s="116">
        <f>U50+U45+U39+U20</f>
        <v>36591.693194400075</v>
      </c>
    </row>
    <row r="52" spans="1:44" ht="26.45" customHeight="1" thickTop="1">
      <c r="J52" s="6"/>
      <c r="T52" s="65"/>
    </row>
    <row r="53" spans="1:44" s="25" customFormat="1" ht="14.45" customHeight="1">
      <c r="A53" s="152"/>
      <c r="B53" s="17"/>
      <c r="C53" s="17"/>
      <c r="D53" s="89" t="s">
        <v>76</v>
      </c>
      <c r="E53" s="17"/>
      <c r="F53" s="17"/>
      <c r="G53" s="17"/>
      <c r="H53" s="8"/>
      <c r="I53" s="13"/>
      <c r="J53" s="6"/>
      <c r="K53" s="17"/>
      <c r="L53" s="17"/>
      <c r="M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</row>
    <row r="54" spans="1:44" s="25" customFormat="1">
      <c r="A54" s="152"/>
      <c r="B54" s="120"/>
      <c r="C54" s="32">
        <v>23</v>
      </c>
      <c r="D54" s="19" t="s">
        <v>33</v>
      </c>
      <c r="E54" s="21">
        <v>0</v>
      </c>
      <c r="F54" s="16">
        <f>52/12/2</f>
        <v>2.1666666666666665</v>
      </c>
      <c r="G54" s="15">
        <f t="shared" ref="G54:G68" si="54">F54*12</f>
        <v>26</v>
      </c>
      <c r="H54" s="15">
        <v>20</v>
      </c>
      <c r="I54" s="15">
        <f t="shared" ref="I54:I68" si="55">G54*H54/12</f>
        <v>43.333333333333336</v>
      </c>
      <c r="J54" s="22">
        <f t="shared" ref="J54:J68" si="56">$E$74*I54</f>
        <v>29.841030948115915</v>
      </c>
      <c r="K54" s="59">
        <f>References!$C$17*J54</f>
        <v>7.4602577370289858E-2</v>
      </c>
      <c r="L54" s="59">
        <f>K54/References!$F$19</f>
        <v>7.6405753144500058E-2</v>
      </c>
      <c r="M54" s="59"/>
      <c r="N54" s="59">
        <v>9.93</v>
      </c>
      <c r="O54" s="59">
        <f>ROUND(L54+N54,2)</f>
        <v>10.01</v>
      </c>
      <c r="P54" s="59">
        <v>10.24</v>
      </c>
      <c r="Q54" s="23">
        <f t="shared" ref="Q54:Q68" si="57">E54*N54*12</f>
        <v>0</v>
      </c>
      <c r="R54" s="23">
        <f t="shared" ref="R54:R68" si="58">E54*P54*12</f>
        <v>0</v>
      </c>
      <c r="S54" s="23">
        <f t="shared" ref="S54:S68" si="59">R54-Q54</f>
        <v>0</v>
      </c>
      <c r="T54" s="24">
        <f t="shared" ref="T54:T68" si="60">E54*O54*12</f>
        <v>0</v>
      </c>
    </row>
    <row r="55" spans="1:44" s="25" customFormat="1">
      <c r="A55" s="152"/>
      <c r="B55" s="120"/>
      <c r="C55" s="32">
        <v>23</v>
      </c>
      <c r="D55" s="19" t="s">
        <v>34</v>
      </c>
      <c r="E55" s="21">
        <v>0</v>
      </c>
      <c r="F55" s="16">
        <v>1</v>
      </c>
      <c r="G55" s="15">
        <f t="shared" si="54"/>
        <v>12</v>
      </c>
      <c r="H55" s="15">
        <v>20</v>
      </c>
      <c r="I55" s="15">
        <f t="shared" si="55"/>
        <v>20</v>
      </c>
      <c r="J55" s="22">
        <f t="shared" si="56"/>
        <v>13.772783514515037</v>
      </c>
      <c r="K55" s="59">
        <f>References!$C$17*J55</f>
        <v>3.4431958786287624E-2</v>
      </c>
      <c r="L55" s="59">
        <f>K55/References!$F$19</f>
        <v>3.5264193759000022E-2</v>
      </c>
      <c r="M55" s="59"/>
      <c r="N55" s="59">
        <v>7.62</v>
      </c>
      <c r="O55" s="59">
        <f t="shared" ref="O55:O68" si="61">ROUND(L55+N55,2)</f>
        <v>7.66</v>
      </c>
      <c r="P55" s="59">
        <v>7.86</v>
      </c>
      <c r="Q55" s="23">
        <f t="shared" si="57"/>
        <v>0</v>
      </c>
      <c r="R55" s="23">
        <f t="shared" si="58"/>
        <v>0</v>
      </c>
      <c r="S55" s="23">
        <f t="shared" si="59"/>
        <v>0</v>
      </c>
      <c r="T55" s="24">
        <f t="shared" si="60"/>
        <v>0</v>
      </c>
    </row>
    <row r="56" spans="1:44" s="25" customFormat="1">
      <c r="A56" s="152"/>
      <c r="B56" s="120"/>
      <c r="C56" s="32">
        <v>23</v>
      </c>
      <c r="D56" s="19" t="s">
        <v>35</v>
      </c>
      <c r="E56" s="21">
        <v>0</v>
      </c>
      <c r="F56" s="16">
        <v>1</v>
      </c>
      <c r="G56" s="15">
        <f t="shared" si="54"/>
        <v>12</v>
      </c>
      <c r="H56" s="15">
        <v>51</v>
      </c>
      <c r="I56" s="15">
        <f t="shared" si="55"/>
        <v>51</v>
      </c>
      <c r="J56" s="22">
        <f t="shared" si="56"/>
        <v>35.120597962013342</v>
      </c>
      <c r="K56" s="59">
        <f>References!$C$17*J56</f>
        <v>8.7801494905033431E-2</v>
      </c>
      <c r="L56" s="59">
        <f>K56/References!$F$19</f>
        <v>8.9923694085450048E-2</v>
      </c>
      <c r="M56" s="59"/>
      <c r="N56" s="59">
        <v>15.2</v>
      </c>
      <c r="O56" s="59">
        <f t="shared" si="61"/>
        <v>15.29</v>
      </c>
      <c r="P56" s="59">
        <v>15.68</v>
      </c>
      <c r="Q56" s="23">
        <f t="shared" si="57"/>
        <v>0</v>
      </c>
      <c r="R56" s="23">
        <f t="shared" si="58"/>
        <v>0</v>
      </c>
      <c r="S56" s="23">
        <f t="shared" si="59"/>
        <v>0</v>
      </c>
      <c r="T56" s="24">
        <f t="shared" si="60"/>
        <v>0</v>
      </c>
    </row>
    <row r="57" spans="1:44" s="25" customFormat="1">
      <c r="A57" s="152"/>
      <c r="B57" s="120"/>
      <c r="C57" s="32">
        <v>23</v>
      </c>
      <c r="D57" s="19" t="s">
        <v>36</v>
      </c>
      <c r="E57" s="21">
        <v>0</v>
      </c>
      <c r="F57" s="16">
        <v>1</v>
      </c>
      <c r="G57" s="15">
        <f t="shared" si="54"/>
        <v>12</v>
      </c>
      <c r="H57" s="15">
        <v>77</v>
      </c>
      <c r="I57" s="15">
        <f t="shared" si="55"/>
        <v>77</v>
      </c>
      <c r="J57" s="22">
        <f t="shared" si="56"/>
        <v>53.025216530882894</v>
      </c>
      <c r="K57" s="59">
        <f>References!$C$17*J57</f>
        <v>0.13256304132720736</v>
      </c>
      <c r="L57" s="59">
        <f>K57/References!$F$19</f>
        <v>0.13576714597215009</v>
      </c>
      <c r="M57" s="59"/>
      <c r="N57" s="59">
        <v>18.04</v>
      </c>
      <c r="O57" s="59">
        <f t="shared" si="61"/>
        <v>18.18</v>
      </c>
      <c r="P57" s="59">
        <v>18.61</v>
      </c>
      <c r="Q57" s="23">
        <f t="shared" si="57"/>
        <v>0</v>
      </c>
      <c r="R57" s="23">
        <f t="shared" si="58"/>
        <v>0</v>
      </c>
      <c r="S57" s="23">
        <f t="shared" si="59"/>
        <v>0</v>
      </c>
      <c r="T57" s="24">
        <f t="shared" si="60"/>
        <v>0</v>
      </c>
    </row>
    <row r="58" spans="1:44" s="25" customFormat="1">
      <c r="A58" s="152"/>
      <c r="B58" s="120"/>
      <c r="C58" s="32">
        <v>23</v>
      </c>
      <c r="D58" s="19" t="s">
        <v>37</v>
      </c>
      <c r="E58" s="21">
        <v>0</v>
      </c>
      <c r="F58" s="16">
        <f>52/12/2</f>
        <v>2.1666666666666665</v>
      </c>
      <c r="G58" s="15">
        <f t="shared" si="54"/>
        <v>26</v>
      </c>
      <c r="H58" s="15">
        <v>97</v>
      </c>
      <c r="I58" s="15">
        <f t="shared" si="55"/>
        <v>210.16666666666666</v>
      </c>
      <c r="J58" s="22">
        <f t="shared" si="56"/>
        <v>144.72900009836218</v>
      </c>
      <c r="K58" s="59">
        <f>References!$C$17*J58</f>
        <v>0.36182250024590579</v>
      </c>
      <c r="L58" s="59">
        <f>K58/References!$F$19</f>
        <v>0.37056790275082524</v>
      </c>
      <c r="M58" s="59"/>
      <c r="N58" s="59">
        <v>31.24</v>
      </c>
      <c r="O58" s="59">
        <f t="shared" si="61"/>
        <v>31.61</v>
      </c>
      <c r="P58" s="59">
        <v>32.229999999999997</v>
      </c>
      <c r="Q58" s="23">
        <f t="shared" si="57"/>
        <v>0</v>
      </c>
      <c r="R58" s="23">
        <f t="shared" si="58"/>
        <v>0</v>
      </c>
      <c r="S58" s="23">
        <f t="shared" si="59"/>
        <v>0</v>
      </c>
      <c r="T58" s="24">
        <f t="shared" si="60"/>
        <v>0</v>
      </c>
    </row>
    <row r="59" spans="1:44" s="25" customFormat="1">
      <c r="A59" s="152"/>
      <c r="B59" s="120"/>
      <c r="C59" s="32">
        <v>23</v>
      </c>
      <c r="D59" s="19" t="s">
        <v>38</v>
      </c>
      <c r="E59" s="21">
        <v>0</v>
      </c>
      <c r="F59" s="16">
        <v>1</v>
      </c>
      <c r="G59" s="15">
        <f t="shared" si="54"/>
        <v>12</v>
      </c>
      <c r="H59" s="15">
        <v>97</v>
      </c>
      <c r="I59" s="15">
        <f t="shared" si="55"/>
        <v>97</v>
      </c>
      <c r="J59" s="22">
        <f t="shared" si="56"/>
        <v>66.798000045397927</v>
      </c>
      <c r="K59" s="59">
        <f>References!$C$17*J59</f>
        <v>0.16699500011349497</v>
      </c>
      <c r="L59" s="59">
        <f>K59/References!$F$19</f>
        <v>0.17103133973115009</v>
      </c>
      <c r="M59" s="59"/>
      <c r="N59" s="59">
        <v>20.82</v>
      </c>
      <c r="O59" s="59">
        <f t="shared" si="61"/>
        <v>20.99</v>
      </c>
      <c r="P59" s="59">
        <v>21.48</v>
      </c>
      <c r="Q59" s="23">
        <f t="shared" si="57"/>
        <v>0</v>
      </c>
      <c r="R59" s="23">
        <f t="shared" si="58"/>
        <v>0</v>
      </c>
      <c r="S59" s="23">
        <f t="shared" si="59"/>
        <v>0</v>
      </c>
      <c r="T59" s="24">
        <f t="shared" si="60"/>
        <v>0</v>
      </c>
    </row>
    <row r="60" spans="1:44" s="25" customFormat="1">
      <c r="A60" s="152"/>
      <c r="B60" s="120"/>
      <c r="C60" s="32">
        <v>23</v>
      </c>
      <c r="D60" s="19" t="s">
        <v>39</v>
      </c>
      <c r="E60" s="21">
        <v>0</v>
      </c>
      <c r="F60" s="16">
        <f>52/12/2</f>
        <v>2.1666666666666665</v>
      </c>
      <c r="G60" s="15">
        <f t="shared" si="54"/>
        <v>26</v>
      </c>
      <c r="H60" s="15">
        <v>47</v>
      </c>
      <c r="I60" s="15">
        <f t="shared" si="55"/>
        <v>101.83333333333333</v>
      </c>
      <c r="J60" s="22">
        <f t="shared" si="56"/>
        <v>70.126422728072399</v>
      </c>
      <c r="K60" s="59">
        <f>References!$C$17*J60</f>
        <v>0.17531605682018114</v>
      </c>
      <c r="L60" s="59">
        <f>K60/References!$F$19</f>
        <v>0.1795535198895751</v>
      </c>
      <c r="M60" s="59"/>
      <c r="N60" s="59">
        <v>25.08</v>
      </c>
      <c r="O60" s="59">
        <f t="shared" si="61"/>
        <v>25.26</v>
      </c>
      <c r="P60" s="59">
        <v>25.87</v>
      </c>
      <c r="Q60" s="23">
        <f t="shared" si="57"/>
        <v>0</v>
      </c>
      <c r="R60" s="23">
        <f t="shared" si="58"/>
        <v>0</v>
      </c>
      <c r="S60" s="23">
        <f t="shared" si="59"/>
        <v>0</v>
      </c>
      <c r="T60" s="24">
        <f t="shared" si="60"/>
        <v>0</v>
      </c>
    </row>
    <row r="61" spans="1:44" s="25" customFormat="1">
      <c r="A61" s="152"/>
      <c r="B61" s="120"/>
      <c r="C61" s="32">
        <v>23</v>
      </c>
      <c r="D61" s="19" t="s">
        <v>40</v>
      </c>
      <c r="E61" s="21">
        <v>0</v>
      </c>
      <c r="F61" s="16">
        <v>1</v>
      </c>
      <c r="G61" s="15">
        <f t="shared" si="54"/>
        <v>12</v>
      </c>
      <c r="H61" s="15">
        <v>47</v>
      </c>
      <c r="I61" s="15">
        <f t="shared" si="55"/>
        <v>47</v>
      </c>
      <c r="J61" s="22">
        <f t="shared" si="56"/>
        <v>32.366041259110339</v>
      </c>
      <c r="K61" s="59">
        <f>References!$C$17*J61</f>
        <v>8.0915103147775919E-2</v>
      </c>
      <c r="L61" s="59">
        <f>K61/References!$F$19</f>
        <v>8.2870855333650059E-2</v>
      </c>
      <c r="M61" s="59"/>
      <c r="N61" s="59">
        <v>16.600000000000001</v>
      </c>
      <c r="O61" s="59">
        <f t="shared" si="61"/>
        <v>16.68</v>
      </c>
      <c r="P61" s="59">
        <v>17.13</v>
      </c>
      <c r="Q61" s="23">
        <f t="shared" si="57"/>
        <v>0</v>
      </c>
      <c r="R61" s="23">
        <f t="shared" si="58"/>
        <v>0</v>
      </c>
      <c r="S61" s="23">
        <f t="shared" si="59"/>
        <v>0</v>
      </c>
      <c r="T61" s="24">
        <f t="shared" si="60"/>
        <v>0</v>
      </c>
    </row>
    <row r="62" spans="1:44" s="25" customFormat="1">
      <c r="A62" s="152"/>
      <c r="B62" s="120"/>
      <c r="C62" s="32">
        <v>23</v>
      </c>
      <c r="D62" s="19" t="s">
        <v>41</v>
      </c>
      <c r="E62" s="21">
        <v>0</v>
      </c>
      <c r="F62" s="16">
        <f>52/12/2</f>
        <v>2.1666666666666665</v>
      </c>
      <c r="G62" s="15">
        <f t="shared" si="54"/>
        <v>26</v>
      </c>
      <c r="H62" s="15">
        <v>68</v>
      </c>
      <c r="I62" s="15">
        <f t="shared" si="55"/>
        <v>147.33333333333334</v>
      </c>
      <c r="J62" s="22">
        <f t="shared" si="56"/>
        <v>101.45950522359411</v>
      </c>
      <c r="K62" s="59">
        <f>References!$C$17*J62</f>
        <v>0.25364876305898548</v>
      </c>
      <c r="L62" s="59">
        <f>K62/References!$F$19</f>
        <v>0.25977956069130015</v>
      </c>
      <c r="M62" s="59"/>
      <c r="N62" s="59">
        <v>28.36</v>
      </c>
      <c r="O62" s="59">
        <f t="shared" si="61"/>
        <v>28.62</v>
      </c>
      <c r="P62" s="59">
        <v>29.26</v>
      </c>
      <c r="Q62" s="23">
        <f t="shared" si="57"/>
        <v>0</v>
      </c>
      <c r="R62" s="23">
        <f t="shared" si="58"/>
        <v>0</v>
      </c>
      <c r="S62" s="23">
        <f t="shared" si="59"/>
        <v>0</v>
      </c>
      <c r="T62" s="24">
        <f t="shared" si="60"/>
        <v>0</v>
      </c>
    </row>
    <row r="63" spans="1:44" s="25" customFormat="1">
      <c r="A63" s="152"/>
      <c r="B63" s="120"/>
      <c r="C63" s="32">
        <v>23</v>
      </c>
      <c r="D63" s="19" t="s">
        <v>42</v>
      </c>
      <c r="E63" s="21">
        <v>0</v>
      </c>
      <c r="F63" s="16">
        <v>1</v>
      </c>
      <c r="G63" s="15">
        <f t="shared" si="54"/>
        <v>12</v>
      </c>
      <c r="H63" s="15">
        <v>68</v>
      </c>
      <c r="I63" s="15">
        <f t="shared" si="55"/>
        <v>68</v>
      </c>
      <c r="J63" s="22">
        <f t="shared" si="56"/>
        <v>46.827463949351127</v>
      </c>
      <c r="K63" s="59">
        <f>References!$C$17*J63</f>
        <v>0.11706865987337792</v>
      </c>
      <c r="L63" s="59">
        <f>K63/References!$F$19</f>
        <v>0.11989825878060008</v>
      </c>
      <c r="M63" s="59"/>
      <c r="N63" s="59">
        <v>0</v>
      </c>
      <c r="O63" s="59">
        <f t="shared" si="61"/>
        <v>0.12</v>
      </c>
      <c r="P63" s="59">
        <v>18.71</v>
      </c>
      <c r="Q63" s="23">
        <f t="shared" si="57"/>
        <v>0</v>
      </c>
      <c r="R63" s="23">
        <f t="shared" si="58"/>
        <v>0</v>
      </c>
      <c r="S63" s="23">
        <f t="shared" si="59"/>
        <v>0</v>
      </c>
      <c r="T63" s="24">
        <f t="shared" si="60"/>
        <v>0</v>
      </c>
    </row>
    <row r="64" spans="1:44" s="25" customFormat="1">
      <c r="A64" s="152"/>
      <c r="B64" s="120"/>
      <c r="C64" s="32">
        <v>24</v>
      </c>
      <c r="D64" s="19" t="s">
        <v>71</v>
      </c>
      <c r="E64" s="21">
        <v>0</v>
      </c>
      <c r="F64" s="16">
        <v>1</v>
      </c>
      <c r="G64" s="15">
        <f t="shared" si="54"/>
        <v>12</v>
      </c>
      <c r="H64" s="15">
        <v>10</v>
      </c>
      <c r="I64" s="15">
        <f t="shared" si="55"/>
        <v>10</v>
      </c>
      <c r="J64" s="22">
        <f t="shared" si="56"/>
        <v>6.8863917572575186</v>
      </c>
      <c r="K64" s="59">
        <f>References!$C$17*J64</f>
        <v>1.7215979393143812E-2</v>
      </c>
      <c r="L64" s="59">
        <f>K64/References!$F$19</f>
        <v>1.7632096879500011E-2</v>
      </c>
      <c r="M64" s="59"/>
      <c r="N64" s="59">
        <v>9.6</v>
      </c>
      <c r="O64" s="59">
        <f t="shared" si="61"/>
        <v>9.6199999999999992</v>
      </c>
      <c r="P64" s="59">
        <v>9.6999999999999993</v>
      </c>
      <c r="Q64" s="23">
        <f t="shared" si="57"/>
        <v>0</v>
      </c>
      <c r="R64" s="23">
        <f t="shared" si="58"/>
        <v>0</v>
      </c>
      <c r="S64" s="23">
        <f t="shared" si="59"/>
        <v>0</v>
      </c>
      <c r="T64" s="24">
        <f t="shared" si="60"/>
        <v>0</v>
      </c>
    </row>
    <row r="65" spans="1:44" s="25" customFormat="1">
      <c r="A65" s="152"/>
      <c r="B65" s="120"/>
      <c r="C65" s="32">
        <v>24</v>
      </c>
      <c r="D65" s="19" t="s">
        <v>45</v>
      </c>
      <c r="E65" s="21">
        <v>0</v>
      </c>
      <c r="F65" s="16">
        <v>1</v>
      </c>
      <c r="G65" s="15">
        <f t="shared" si="54"/>
        <v>12</v>
      </c>
      <c r="H65" s="15">
        <v>20</v>
      </c>
      <c r="I65" s="15">
        <f t="shared" si="55"/>
        <v>20</v>
      </c>
      <c r="J65" s="22">
        <f t="shared" si="56"/>
        <v>13.772783514515037</v>
      </c>
      <c r="K65" s="59">
        <f>References!$C$17*J65</f>
        <v>3.4431958786287624E-2</v>
      </c>
      <c r="L65" s="59">
        <f>K65/References!$F$19</f>
        <v>3.5264193759000022E-2</v>
      </c>
      <c r="M65" s="59"/>
      <c r="N65" s="59">
        <v>3.62</v>
      </c>
      <c r="O65" s="59">
        <f t="shared" si="61"/>
        <v>3.66</v>
      </c>
      <c r="P65" s="59">
        <v>3.73</v>
      </c>
      <c r="Q65" s="23">
        <f t="shared" si="57"/>
        <v>0</v>
      </c>
      <c r="R65" s="23">
        <f t="shared" si="58"/>
        <v>0</v>
      </c>
      <c r="S65" s="23">
        <f t="shared" si="59"/>
        <v>0</v>
      </c>
      <c r="T65" s="24">
        <f t="shared" si="60"/>
        <v>0</v>
      </c>
    </row>
    <row r="66" spans="1:44">
      <c r="A66" s="152"/>
      <c r="B66" s="120"/>
      <c r="C66" s="32">
        <v>24</v>
      </c>
      <c r="D66" s="19" t="s">
        <v>48</v>
      </c>
      <c r="E66" s="21">
        <v>0</v>
      </c>
      <c r="F66" s="16">
        <v>1</v>
      </c>
      <c r="G66" s="15">
        <f t="shared" si="54"/>
        <v>12</v>
      </c>
      <c r="H66" s="15">
        <v>10</v>
      </c>
      <c r="I66" s="15">
        <f t="shared" si="55"/>
        <v>10</v>
      </c>
      <c r="J66" s="22">
        <f t="shared" si="56"/>
        <v>6.8863917572575186</v>
      </c>
      <c r="K66" s="59">
        <f>References!$C$17*J66</f>
        <v>1.7215979393143812E-2</v>
      </c>
      <c r="L66" s="59">
        <f>K66/References!$F$19</f>
        <v>1.7632096879500011E-2</v>
      </c>
      <c r="M66" s="59"/>
      <c r="N66" s="59">
        <v>6.94</v>
      </c>
      <c r="O66" s="59">
        <f t="shared" si="61"/>
        <v>6.96</v>
      </c>
      <c r="P66" s="59">
        <v>7.16</v>
      </c>
      <c r="Q66" s="23">
        <f t="shared" si="57"/>
        <v>0</v>
      </c>
      <c r="R66" s="23">
        <f t="shared" si="58"/>
        <v>0</v>
      </c>
      <c r="S66" s="23">
        <f t="shared" si="59"/>
        <v>0</v>
      </c>
      <c r="T66" s="24">
        <f t="shared" si="60"/>
        <v>0</v>
      </c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</row>
    <row r="67" spans="1:44">
      <c r="A67" s="153"/>
      <c r="B67" s="120"/>
      <c r="C67" s="32">
        <v>24</v>
      </c>
      <c r="D67" s="19" t="s">
        <v>46</v>
      </c>
      <c r="E67" s="20">
        <v>0</v>
      </c>
      <c r="F67" s="31">
        <v>1</v>
      </c>
      <c r="G67" s="15">
        <f t="shared" si="54"/>
        <v>12</v>
      </c>
      <c r="H67" s="30">
        <v>47</v>
      </c>
      <c r="I67" s="30">
        <f t="shared" si="55"/>
        <v>47</v>
      </c>
      <c r="J67" s="30">
        <f t="shared" si="56"/>
        <v>32.366041259110339</v>
      </c>
      <c r="K67" s="59">
        <f>References!$C$17*J67</f>
        <v>8.0915103147775919E-2</v>
      </c>
      <c r="L67" s="59">
        <f>K67/References!$F$19</f>
        <v>8.2870855333650059E-2</v>
      </c>
      <c r="M67" s="59"/>
      <c r="N67" s="96">
        <v>8.6999999999999993</v>
      </c>
      <c r="O67" s="59">
        <f t="shared" si="61"/>
        <v>8.7799999999999994</v>
      </c>
      <c r="P67" s="96">
        <v>8.98</v>
      </c>
      <c r="Q67" s="23">
        <f t="shared" si="57"/>
        <v>0</v>
      </c>
      <c r="R67" s="23">
        <f t="shared" si="58"/>
        <v>0</v>
      </c>
      <c r="S67" s="23">
        <f t="shared" si="59"/>
        <v>0</v>
      </c>
      <c r="T67" s="24">
        <f t="shared" si="60"/>
        <v>0</v>
      </c>
    </row>
    <row r="68" spans="1:44">
      <c r="B68" s="121"/>
      <c r="C68" s="39">
        <v>24</v>
      </c>
      <c r="D68" s="40" t="s">
        <v>47</v>
      </c>
      <c r="E68" s="2">
        <v>0</v>
      </c>
      <c r="F68" s="73">
        <v>1</v>
      </c>
      <c r="G68" s="28">
        <f t="shared" si="54"/>
        <v>12</v>
      </c>
      <c r="H68" s="74">
        <v>68</v>
      </c>
      <c r="I68" s="74">
        <f t="shared" si="55"/>
        <v>68</v>
      </c>
      <c r="J68" s="74">
        <f t="shared" si="56"/>
        <v>46.827463949351127</v>
      </c>
      <c r="K68" s="60">
        <f>References!$C$17*J68</f>
        <v>0.11706865987337792</v>
      </c>
      <c r="L68" s="60">
        <f>K68/References!$F$19</f>
        <v>0.11989825878060008</v>
      </c>
      <c r="M68" s="60"/>
      <c r="N68" s="97">
        <v>11.57</v>
      </c>
      <c r="O68" s="60">
        <f t="shared" si="61"/>
        <v>11.69</v>
      </c>
      <c r="P68" s="97">
        <v>11.93</v>
      </c>
      <c r="Q68" s="41">
        <f t="shared" si="57"/>
        <v>0</v>
      </c>
      <c r="R68" s="41">
        <f t="shared" si="58"/>
        <v>0</v>
      </c>
      <c r="S68" s="41">
        <f t="shared" si="59"/>
        <v>0</v>
      </c>
      <c r="T68" s="41">
        <f t="shared" si="60"/>
        <v>0</v>
      </c>
    </row>
    <row r="69" spans="1:44">
      <c r="H69" s="8"/>
      <c r="I69" s="13"/>
      <c r="J69" s="6"/>
    </row>
    <row r="70" spans="1:44">
      <c r="E70" s="45"/>
      <c r="H70" s="19"/>
      <c r="I70" s="43"/>
      <c r="J70" s="43"/>
      <c r="K70" s="44"/>
      <c r="Q70" s="14"/>
      <c r="R70" s="44"/>
      <c r="S70" s="18"/>
    </row>
    <row r="71" spans="1:44">
      <c r="D71" s="17" t="s">
        <v>72</v>
      </c>
      <c r="E71" s="24">
        <f>+References!B22</f>
        <v>7156.9</v>
      </c>
      <c r="H71" s="19"/>
      <c r="I71" s="43"/>
      <c r="J71" s="43"/>
      <c r="K71" s="44"/>
      <c r="Q71" s="14"/>
      <c r="R71" s="51"/>
      <c r="S71" s="18"/>
    </row>
    <row r="72" spans="1:44">
      <c r="D72" s="17" t="s">
        <v>73</v>
      </c>
      <c r="E72" s="6">
        <f>E71*2000</f>
        <v>14313800</v>
      </c>
      <c r="H72" s="19"/>
      <c r="I72" s="43"/>
      <c r="J72" s="43"/>
      <c r="K72" s="44"/>
      <c r="Q72" s="18"/>
      <c r="R72" s="51"/>
      <c r="S72" s="18"/>
    </row>
    <row r="73" spans="1:44">
      <c r="D73" s="17" t="s">
        <v>5</v>
      </c>
      <c r="E73" s="6">
        <f>G50+G45+G39+G20</f>
        <v>380399.12387999997</v>
      </c>
      <c r="H73" s="19"/>
      <c r="I73" s="43"/>
      <c r="J73" s="43"/>
      <c r="K73" s="44"/>
      <c r="Q73" s="14"/>
      <c r="R73" s="51"/>
      <c r="S73" s="18"/>
    </row>
    <row r="74" spans="1:44">
      <c r="D74" s="50" t="s">
        <v>11</v>
      </c>
      <c r="E74" s="12">
        <f>E72/I51</f>
        <v>0.68863917572575184</v>
      </c>
      <c r="H74" s="19"/>
      <c r="I74" s="43"/>
      <c r="J74" s="16"/>
      <c r="K74" s="44"/>
      <c r="L74" s="18"/>
      <c r="M74" s="18"/>
      <c r="N74" s="144"/>
      <c r="O74" s="144"/>
      <c r="P74" s="144"/>
      <c r="Q74" s="9"/>
      <c r="R74" s="9"/>
      <c r="S74" s="18"/>
    </row>
    <row r="75" spans="1:44">
      <c r="D75" s="18"/>
      <c r="E75" s="18"/>
      <c r="F75" s="18"/>
      <c r="H75" s="19"/>
      <c r="I75" s="43"/>
      <c r="J75" s="43"/>
      <c r="K75" s="44"/>
      <c r="L75" s="18"/>
      <c r="M75" s="18"/>
      <c r="N75" s="145"/>
      <c r="O75" s="107"/>
      <c r="P75" s="107"/>
      <c r="Q75" s="11"/>
      <c r="R75" s="12"/>
    </row>
    <row r="76" spans="1:44">
      <c r="D76" s="18"/>
      <c r="E76" s="51"/>
      <c r="F76" s="52"/>
      <c r="G76" s="18"/>
      <c r="H76" s="19"/>
      <c r="I76" s="43"/>
      <c r="J76" s="43"/>
      <c r="K76" s="44"/>
      <c r="L76" s="18"/>
      <c r="M76" s="18"/>
      <c r="N76" s="145"/>
      <c r="O76" s="107"/>
      <c r="P76" s="107"/>
      <c r="Q76" s="11"/>
      <c r="R76" s="12"/>
    </row>
    <row r="77" spans="1:44">
      <c r="D77" s="18"/>
      <c r="E77" s="51"/>
      <c r="F77" s="52"/>
      <c r="H77" s="19"/>
      <c r="I77" s="43"/>
      <c r="J77" s="43"/>
      <c r="K77" s="44"/>
      <c r="L77" s="18"/>
      <c r="M77" s="18"/>
      <c r="N77" s="145"/>
      <c r="O77" s="107"/>
      <c r="P77" s="107"/>
      <c r="Q77" s="11"/>
      <c r="R77" s="12"/>
    </row>
    <row r="78" spans="1:44">
      <c r="D78" s="18"/>
      <c r="E78" s="51"/>
      <c r="F78" s="52"/>
      <c r="H78" s="42"/>
      <c r="I78" s="18"/>
      <c r="J78" s="10"/>
      <c r="K78" s="44"/>
      <c r="L78" s="18"/>
      <c r="M78" s="18"/>
      <c r="N78" s="145"/>
      <c r="O78" s="107"/>
      <c r="P78" s="107"/>
      <c r="Q78" s="12"/>
      <c r="R78" s="12"/>
    </row>
    <row r="79" spans="1:44">
      <c r="D79" s="18"/>
      <c r="E79" s="53"/>
      <c r="F79" s="18"/>
      <c r="H79" s="18"/>
      <c r="I79" s="18"/>
      <c r="J79" s="10"/>
      <c r="K79" s="18"/>
      <c r="L79" s="18"/>
      <c r="M79" s="18"/>
      <c r="N79" s="139"/>
      <c r="O79" s="108"/>
      <c r="P79" s="108"/>
      <c r="Q79" s="11"/>
      <c r="R79" s="12"/>
    </row>
    <row r="80" spans="1:44">
      <c r="D80" s="18"/>
      <c r="E80" s="18"/>
      <c r="F80" s="18"/>
      <c r="H80" s="18"/>
      <c r="I80" s="18"/>
      <c r="J80" s="18"/>
      <c r="K80" s="18"/>
      <c r="L80" s="18"/>
      <c r="M80" s="18"/>
      <c r="N80" s="139"/>
      <c r="O80" s="139"/>
      <c r="P80" s="139"/>
      <c r="Q80" s="18"/>
      <c r="R80" s="18"/>
    </row>
    <row r="81" spans="4:6">
      <c r="D81" s="18"/>
      <c r="E81" s="18"/>
      <c r="F81" s="18"/>
    </row>
    <row r="82" spans="4:6">
      <c r="D82" s="18"/>
      <c r="E82" s="18"/>
      <c r="F82" s="18"/>
    </row>
    <row r="83" spans="4:6">
      <c r="D83" s="18"/>
      <c r="E83" s="18"/>
      <c r="F83" s="18"/>
    </row>
    <row r="84" spans="4:6">
      <c r="D84" s="18"/>
      <c r="E84" s="18"/>
      <c r="F84" s="18"/>
    </row>
    <row r="85" spans="4:6">
      <c r="D85" s="18"/>
      <c r="E85" s="18"/>
      <c r="F85" s="18"/>
    </row>
  </sheetData>
  <mergeCells count="5">
    <mergeCell ref="A53:A67"/>
    <mergeCell ref="A6:A19"/>
    <mergeCell ref="A20:A38"/>
    <mergeCell ref="A40:A44"/>
    <mergeCell ref="A45:A49"/>
  </mergeCells>
  <pageMargins left="0.2" right="0.22" top="0.38" bottom="0.34" header="0.19" footer="0.17"/>
  <pageSetup scale="49" orientation="landscape" r:id="rId1"/>
  <headerFooter>
    <oddFooter>&amp;L&amp;F&amp;A&amp;R&amp;D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7D5156529A094C83CE8BDB0A3E5F9D" ma:contentTypeVersion="44" ma:contentTypeDescription="" ma:contentTypeScope="" ma:versionID="6427c5e7c3369499ef0c1e70d2cf33a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2020-06-04T07:00:00+00:00</OpenedDate>
    <SignificantOrder xmlns="dc463f71-b30c-4ab2-9473-d307f9d35888">false</SignificantOrder>
    <Date1 xmlns="dc463f71-b30c-4ab2-9473-d307f9d35888">2020-06-04T07:00:00+00:00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200516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4D12C3C-BE8D-4ED9-9786-ACEBF3664861}"/>
</file>

<file path=customXml/itemProps2.xml><?xml version="1.0" encoding="utf-8"?>
<ds:datastoreItem xmlns:ds="http://schemas.openxmlformats.org/officeDocument/2006/customXml" ds:itemID="{58DD71A2-47DA-4EC7-9E14-4E47E1C4DBD9}"/>
</file>

<file path=customXml/itemProps3.xml><?xml version="1.0" encoding="utf-8"?>
<ds:datastoreItem xmlns:ds="http://schemas.openxmlformats.org/officeDocument/2006/customXml" ds:itemID="{DCFE429F-4EF7-4B35-BB0E-A91FD6190320}"/>
</file>

<file path=customXml/itemProps4.xml><?xml version="1.0" encoding="utf-8"?>
<ds:datastoreItem xmlns:ds="http://schemas.openxmlformats.org/officeDocument/2006/customXml" ds:itemID="{F2FF8642-A623-4D47-9629-10890A03F7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Notes</vt:lpstr>
      <vt:lpstr>References</vt:lpstr>
      <vt:lpstr>Staff calcs </vt:lpstr>
      <vt:lpstr>References!Print_Area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Logan Davis</cp:lastModifiedBy>
  <cp:lastPrinted>2020-06-04T18:25:28Z</cp:lastPrinted>
  <dcterms:created xsi:type="dcterms:W3CDTF">2013-10-29T22:33:54Z</dcterms:created>
  <dcterms:modified xsi:type="dcterms:W3CDTF">2020-06-04T18:25:50Z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Heirborne Investments, LLC</vt:lpwstr>
  </property>
  <property fmtid="{D5CDD505-2E9C-101B-9397-08002B2CF9AE}" pid="4" name="PPC_Template_Engagement_Date">
    <vt:lpwstr>12/31/2017</vt:lpwstr>
  </property>
  <property fmtid="{D5CDD505-2E9C-101B-9397-08002B2CF9AE}" pid="5" name="ContentTypeId">
    <vt:lpwstr>0x0101006E56B4D1795A2E4DB2F0B01679ED314A00867D5156529A094C83CE8BDB0A3E5F9D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