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600" windowHeight="9240" tabRatio="886" activeTab="1"/>
  </bookViews>
  <sheets>
    <sheet name="References" sheetId="1" r:id="rId1"/>
    <sheet name="Calc. and priceout" sheetId="2" r:id="rId2"/>
    <sheet name="Co. Pro Tonnage" sheetId="3" r:id="rId3"/>
  </sheets>
  <definedNames>
    <definedName name="_xlnm.Print_Area" localSheetId="1">'Calc. and priceout'!$A$1:$T$47</definedName>
    <definedName name="_xlnm.Print_Area" localSheetId="2">'Co. Pro Tonnage'!$A$1:$P$16</definedName>
    <definedName name="_xlnm.Print_Area" localSheetId="0">'References'!$A$1:$H$64</definedName>
    <definedName name="_xlnm.Print_Titles" localSheetId="1">'Calc. and priceout'!$1:$1</definedName>
  </definedNames>
  <calcPr fullCalcOnLoad="1"/>
</workbook>
</file>

<file path=xl/sharedStrings.xml><?xml version="1.0" encoding="utf-8"?>
<sst xmlns="http://schemas.openxmlformats.org/spreadsheetml/2006/main" count="179" uniqueCount="156">
  <si>
    <t>Pro Forma</t>
  </si>
  <si>
    <t>Adj.</t>
  </si>
  <si>
    <t>%</t>
  </si>
  <si>
    <t>Total</t>
  </si>
  <si>
    <t>Current</t>
  </si>
  <si>
    <t>Cost</t>
  </si>
  <si>
    <t>Proposed</t>
  </si>
  <si>
    <t>Tons</t>
  </si>
  <si>
    <t>Rate</t>
  </si>
  <si>
    <t>Expense</t>
  </si>
  <si>
    <t>Commercial garbage</t>
  </si>
  <si>
    <t>Residential garbage</t>
  </si>
  <si>
    <t>Regulated</t>
  </si>
  <si>
    <t>Monthly Factor</t>
  </si>
  <si>
    <t>Pickups:</t>
  </si>
  <si>
    <t>1 unit</t>
  </si>
  <si>
    <t>2 units</t>
  </si>
  <si>
    <t>3 units</t>
  </si>
  <si>
    <t>4 units</t>
  </si>
  <si>
    <t>5 units</t>
  </si>
  <si>
    <t>6 units</t>
  </si>
  <si>
    <t>7 unit</t>
  </si>
  <si>
    <t>5 Times per Week</t>
  </si>
  <si>
    <t>4 Times per Week</t>
  </si>
  <si>
    <t>3 Times per Week</t>
  </si>
  <si>
    <t>2 Times per Week</t>
  </si>
  <si>
    <t>Weekly Pickup (WG)</t>
  </si>
  <si>
    <t>Every Other Week (EOWG)</t>
  </si>
  <si>
    <t>Monthly (MG)</t>
  </si>
  <si>
    <t>Meeks Weights</t>
  </si>
  <si>
    <t>Res'l</t>
  </si>
  <si>
    <t>Pounds per Pickup</t>
  </si>
  <si>
    <t>20 gal minican</t>
  </si>
  <si>
    <t>1 can</t>
  </si>
  <si>
    <t>2 cans</t>
  </si>
  <si>
    <t>3 cans</t>
  </si>
  <si>
    <t>Lbs. per ton</t>
  </si>
  <si>
    <t>4 cans</t>
  </si>
  <si>
    <t>Yds. Per ton</t>
  </si>
  <si>
    <t>n/a</t>
  </si>
  <si>
    <t>5 cans</t>
  </si>
  <si>
    <t>6 cans</t>
  </si>
  <si>
    <t>35 gallon Can</t>
  </si>
  <si>
    <t>*</t>
  </si>
  <si>
    <t>Supercan 60</t>
  </si>
  <si>
    <t>Supercan 90</t>
  </si>
  <si>
    <t>Once a month</t>
  </si>
  <si>
    <t>Extras</t>
  </si>
  <si>
    <t>Com'l</t>
  </si>
  <si>
    <t>Cans</t>
  </si>
  <si>
    <t>1 yd container</t>
  </si>
  <si>
    <t>1.5 yd container</t>
  </si>
  <si>
    <t>2 yd container</t>
  </si>
  <si>
    <t>3 yd container</t>
  </si>
  <si>
    <t>4 yd container</t>
  </si>
  <si>
    <t>6 yd container</t>
  </si>
  <si>
    <t>8 yd container</t>
  </si>
  <si>
    <t>1 yd packer/compactor</t>
  </si>
  <si>
    <t>1.5 yd packer/compactor</t>
  </si>
  <si>
    <t>2 yd packer/compactor</t>
  </si>
  <si>
    <t>3 yd packer/compactor</t>
  </si>
  <si>
    <t>4 yd packer/compactor</t>
  </si>
  <si>
    <t>5 yd packer/compactor</t>
  </si>
  <si>
    <t>6 yd packer/compactor</t>
  </si>
  <si>
    <t>8 yd packer/compactor</t>
  </si>
  <si>
    <t>Yards</t>
  </si>
  <si>
    <t>* not on meeks - calculated by staff</t>
  </si>
  <si>
    <t>Kitsap County</t>
  </si>
  <si>
    <t>Per Ton</t>
  </si>
  <si>
    <t>Per Pound</t>
  </si>
  <si>
    <t>Gross Up Factors</t>
  </si>
  <si>
    <t xml:space="preserve">Current Rate </t>
  </si>
  <si>
    <t>B&amp;O tax</t>
  </si>
  <si>
    <t>New Rate per ton</t>
  </si>
  <si>
    <t>WUTC fees</t>
  </si>
  <si>
    <t>Increase</t>
  </si>
  <si>
    <t>Bad Debts</t>
  </si>
  <si>
    <t>Transfer Station</t>
  </si>
  <si>
    <t>Increase per ton</t>
  </si>
  <si>
    <t>Factor</t>
  </si>
  <si>
    <t>Grossed Up Increase per ton</t>
  </si>
  <si>
    <t>Tons Collected</t>
  </si>
  <si>
    <t>Disposal Fee Revenue Increase</t>
  </si>
  <si>
    <t>Tariff Page</t>
  </si>
  <si>
    <t>Scheduled Service</t>
  </si>
  <si>
    <t>Monthly Frequency</t>
  </si>
  <si>
    <t>Annual PU's</t>
  </si>
  <si>
    <t>Calculated Annual Pounds</t>
  </si>
  <si>
    <t>Adjusted Annual Pounds</t>
  </si>
  <si>
    <t>Gross Up</t>
  </si>
  <si>
    <t>Tariff Rate Increase</t>
  </si>
  <si>
    <t>Company Current Tariff</t>
  </si>
  <si>
    <t>Company Current Revenue</t>
  </si>
  <si>
    <t>Revised Tariff Rate</t>
  </si>
  <si>
    <t>Revised Revenue</t>
  </si>
  <si>
    <t>Revised Revenue Increase</t>
  </si>
  <si>
    <t>Residential</t>
  </si>
  <si>
    <t>Commercial</t>
  </si>
  <si>
    <t>Totals</t>
  </si>
  <si>
    <t>Adjustment Factor Calculation</t>
  </si>
  <si>
    <t>Not on Meeks</t>
  </si>
  <si>
    <t>Total Tonnage</t>
  </si>
  <si>
    <t>Total Pounds</t>
  </si>
  <si>
    <t>Total Pick Ups</t>
  </si>
  <si>
    <t>na - multiple pickups not on tariff</t>
  </si>
  <si>
    <t>Adjustment factor</t>
  </si>
  <si>
    <t>Company Proposed Tariff</t>
  </si>
  <si>
    <t>Roll Off</t>
  </si>
  <si>
    <t>Estimated</t>
  </si>
  <si>
    <t>WM Skagit</t>
  </si>
  <si>
    <t>(per TG-180752)</t>
  </si>
  <si>
    <t>32 GAL CAN MSW EOW</t>
  </si>
  <si>
    <t>1-32 GAL CAN MSW</t>
  </si>
  <si>
    <t>2-32 GAL CANS MSW</t>
  </si>
  <si>
    <t>3-32 GAL CANS MSW</t>
  </si>
  <si>
    <t>2-35 GAL CARTS MSW</t>
  </si>
  <si>
    <t>1-64 GAL CART MSW</t>
  </si>
  <si>
    <t>2-64 GAL CARTS MSW</t>
  </si>
  <si>
    <t>1-96 GAL CART MSW</t>
  </si>
  <si>
    <t>2-96 GAL CARTS MSW</t>
  </si>
  <si>
    <t>1 YD MSW EOW</t>
  </si>
  <si>
    <t>1-1 YD 1X PER WEEK</t>
  </si>
  <si>
    <t>1.5 YD MSW EOW</t>
  </si>
  <si>
    <t>1-1.5 YD 1X PER WEEK</t>
  </si>
  <si>
    <t>1-1.5 YD 2X PER WEEK</t>
  </si>
  <si>
    <t>2 YD MSW EOW</t>
  </si>
  <si>
    <t>1-2 YD 1X PER WEEK</t>
  </si>
  <si>
    <t>3 YD MSW EOW</t>
  </si>
  <si>
    <t>1-3 YD 1X PER WEEK</t>
  </si>
  <si>
    <t>1-8 YD 3X PER WEEK</t>
  </si>
  <si>
    <t>4 YD 1X PER WEEK</t>
  </si>
  <si>
    <t>4 YD MSW EOW</t>
  </si>
  <si>
    <t>6 YD MSW EOW</t>
  </si>
  <si>
    <t>1-6 YD 1X PER WEEK</t>
  </si>
  <si>
    <t>8 YD MSW EOW</t>
  </si>
  <si>
    <t>32 GAL CAN MSW 1X MO</t>
  </si>
  <si>
    <t>1-20 GAL MINI CAN MSW</t>
  </si>
  <si>
    <t>4-32 GAL CANS MSW</t>
  </si>
  <si>
    <t>20 GAL CART MSW</t>
  </si>
  <si>
    <t>35 GAL CART MSW 1X MO</t>
  </si>
  <si>
    <t>35 GAL CART MSW ON CALL</t>
  </si>
  <si>
    <t>35 GAL CART MSW EOW</t>
  </si>
  <si>
    <t>1-35 GAL CART MSW</t>
  </si>
  <si>
    <t>Monthly Customers/Containers</t>
  </si>
  <si>
    <t>Roll Off garbage - MSW</t>
  </si>
  <si>
    <t>Roll Off garbage - H2H</t>
  </si>
  <si>
    <t>Roll Off garbage - CDL</t>
  </si>
  <si>
    <t>Island County Disposal Summary</t>
  </si>
  <si>
    <t>20 GAL CART MSW 1X MO</t>
  </si>
  <si>
    <t>1-64 GAL CART EOW</t>
  </si>
  <si>
    <t>B&amp;O Tax increase</t>
  </si>
  <si>
    <t>Disposal</t>
  </si>
  <si>
    <t>before Tax</t>
  </si>
  <si>
    <t>after tax</t>
  </si>
  <si>
    <t>5-32 GAL CANS MSW</t>
  </si>
  <si>
    <t>6-32 GAL CANS MSW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</si>
</sst>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_(* #,##0.0_);_(* \(#,##0.0\);_(* &quot;-&quot;??_);_(@_)"/>
    <numFmt numFmtId="166" formatCode="_(* #,##0_);_(* \(#,##0\);_(* &quot;-&quot;??_);_(@_)"/>
    <numFmt numFmtId="167" formatCode="m/d/yy\ h:mm\ AM/PM"/>
    <numFmt numFmtId="168" formatCode="mm/dd/yy"/>
    <numFmt numFmtId="169" formatCode="mmm\-yyyy"/>
    <numFmt numFmtId="170" formatCode="mmmm\-yy"/>
    <numFmt numFmtId="171" formatCode="_*\ #,###.0,;_(* \(#,###.0,\);_(* &quot;-&quot;??_);_(@_)"/>
    <numFmt numFmtId="172" formatCode="0.0%"/>
    <numFmt numFmtId="173" formatCode="_(* #,##0,_);_(* \(#,##0,\);_(* &quot;-&quot;??_);_(@_)"/>
    <numFmt numFmtId="174" formatCode="_(&quot;$&quot;* #,##0_);_(&quot;$&quot;* \(#,##0\);_(&quot;$&quot;* &quot;-&quot;??_);_(@_)"/>
    <numFmt numFmtId="175" formatCode="_(* #,##0_);_(&quot;$&quot;* \(#,##0\);_(* &quot;-&quot;??_);_(@_)"/>
    <numFmt numFmtId="176" formatCode="#,##0.0000_);\(#,##0.0000\)"/>
    <numFmt numFmtId="177" formatCode=";;;"/>
    <numFmt numFmtId="178" formatCode="#,##0.000_);\(#,##0.000\)"/>
    <numFmt numFmtId="179" formatCode="0.0000%"/>
    <numFmt numFmtId="180" formatCode="#,##0.0_);\(#,##0.0\)"/>
    <numFmt numFmtId="181" formatCode="m/d/yy;@"/>
    <numFmt numFmtId="182" formatCode="General_)"/>
    <numFmt numFmtId="183" formatCode="_(&quot;$&quot;* #,##0.000_);_(&quot;$&quot;* \(#,##0.000\);_(&quot;$&quot;* &quot;-&quot;??_);_(@_)"/>
    <numFmt numFmtId="184" formatCode="0.000%"/>
    <numFmt numFmtId="185" formatCode="_(&quot;$&quot;* #,##0.000000_);_(&quot;$&quot;* \(#,##0.000000\);_(&quot;$&quot;* &quot;-&quot;??????_);_(@_)"/>
    <numFmt numFmtId="186" formatCode="_(&quot;$&quot;* #,##0.0_);_(&quot;$&quot;* \(#,##0.0\);_(&quot;$&quot;* &quot;-&quot;??_);_(@_)"/>
    <numFmt numFmtId="187" formatCode="_(&quot;$&quot;* #,##0.0000_);_(&quot;$&quot;* \(#,##0.0000\);_(&quot;$&quot;* &quot;-&quot;????_);_(@_)"/>
    <numFmt numFmtId="188" formatCode="_(* #,##0.000000_);_(* \(#,##0.000000\);_(* &quot;-&quot;??_);_(@_)"/>
    <numFmt numFmtId="189" formatCode="_(&quot;$&quot;* #,##0.000000_);_(&quot;$&quot;* \(#,##0.000000\);_(&quot;$&quot;* &quot;-&quot;??_);_(@_)"/>
    <numFmt numFmtId="190" formatCode="0.000000"/>
    <numFmt numFmtId="191" formatCode="#,##0.00000000"/>
    <numFmt numFmtId="192" formatCode="_(* #,##0.000_);_(* \(#,##0.000\);_(* &quot;-&quot;??_);_(@_)"/>
    <numFmt numFmtId="193" formatCode="_(* #,##0.000_);_(* \(#,##0.000\);_(* &quot;-&quot;???_);_(@_)"/>
    <numFmt numFmtId="194" formatCode="0.0000"/>
    <numFmt numFmtId="195" formatCode="0.000"/>
    <numFmt numFmtId="196" formatCode="_(* #,##0.0000_);_(* \(#,##0.0000\);_(* &quot;-&quot;??_);_(@_)"/>
    <numFmt numFmtId="197" formatCode="_(* #,##0.00000_);_(* \(#,##0.00000\);_(* &quot;-&quot;??_);_(@_)"/>
    <numFmt numFmtId="198" formatCode="_(&quot;$&quot;* #,##0.0000_);_(&quot;$&quot;* \(#,##0.0000\);_(&quot;$&quot;* &quot;-&quot;??_);_(@_)"/>
    <numFmt numFmtId="199" formatCode="_(&quot;$&quot;* #,##0.00000_);_(&quot;$&quot;* \(#,##0.00000\);_(&quot;$&quot;* &quot;-&quot;??_);_(@_)"/>
    <numFmt numFmtId="200" formatCode="_(* #,##0.0000_);_(* \(#,##0.0000\);_(* &quot;-&quot;????_);_(@_)"/>
  </numFmts>
  <fonts count="8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color indexed="56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0"/>
      <name val="MS Sans Serif"/>
      <family val="2"/>
    </font>
    <font>
      <sz val="10"/>
      <name val="MS Sans Serif"/>
      <family val="2"/>
    </font>
    <font>
      <u val="single"/>
      <sz val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b/>
      <u val="singleAccounting"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20"/>
      <color indexed="8"/>
      <name val="Arial"/>
      <family val="2"/>
    </font>
    <font>
      <sz val="12"/>
      <color indexed="10"/>
      <name val="Arial"/>
      <family val="2"/>
    </font>
    <font>
      <u val="singleAccounting"/>
      <sz val="12"/>
      <color indexed="8"/>
      <name val="Arial"/>
      <family val="2"/>
    </font>
    <font>
      <b/>
      <u val="doubleAccounting"/>
      <sz val="12"/>
      <color indexed="8"/>
      <name val="Arial"/>
      <family val="2"/>
    </font>
    <font>
      <sz val="12"/>
      <color indexed="8"/>
      <name val="Calibri"/>
      <family val="2"/>
    </font>
    <font>
      <u val="singleAccounting"/>
      <sz val="12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u val="doubleAccounting"/>
      <sz val="11"/>
      <color indexed="8"/>
      <name val="Calibri"/>
      <family val="2"/>
    </font>
    <font>
      <u val="singleAccounting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u val="double"/>
      <sz val="11"/>
      <color indexed="8"/>
      <name val="Calibri"/>
      <family val="2"/>
    </font>
    <font>
      <u val="double"/>
      <sz val="11"/>
      <color indexed="8"/>
      <name val="Calibri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u val="singleAccounting"/>
      <sz val="12"/>
      <color indexed="10"/>
      <name val="Arial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u val="single"/>
      <sz val="12"/>
      <color theme="1"/>
      <name val="Arial"/>
      <family val="2"/>
    </font>
    <font>
      <b/>
      <u val="singleAccounting"/>
      <sz val="12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b/>
      <sz val="20"/>
      <color theme="1"/>
      <name val="Arial"/>
      <family val="2"/>
    </font>
    <font>
      <sz val="12"/>
      <color rgb="FFFF0000"/>
      <name val="Arial"/>
      <family val="2"/>
    </font>
    <font>
      <u val="singleAccounting"/>
      <sz val="12"/>
      <color theme="1"/>
      <name val="Arial"/>
      <family val="2"/>
    </font>
    <font>
      <b/>
      <u val="doubleAccounting"/>
      <sz val="12"/>
      <color theme="1"/>
      <name val="Arial"/>
      <family val="2"/>
    </font>
    <font>
      <sz val="12"/>
      <color theme="1"/>
      <name val="Calibri"/>
      <family val="2"/>
    </font>
    <font>
      <u val="singleAccounting"/>
      <sz val="12"/>
      <color theme="1"/>
      <name val="Calibri"/>
      <family val="2"/>
    </font>
    <font>
      <sz val="11"/>
      <color theme="3" tint="0.39998000860214233"/>
      <name val="Calibri"/>
      <family val="2"/>
    </font>
    <font>
      <b/>
      <u val="doubleAccounting"/>
      <sz val="11"/>
      <color theme="1"/>
      <name val="Calibri"/>
      <family val="2"/>
    </font>
    <font>
      <u val="singleAccounting"/>
      <sz val="11"/>
      <color theme="1"/>
      <name val="Calibri"/>
      <family val="2"/>
    </font>
    <font>
      <u val="single"/>
      <sz val="11"/>
      <color theme="1"/>
      <name val="Calibri"/>
      <family val="2"/>
    </font>
    <font>
      <b/>
      <u val="double"/>
      <sz val="11"/>
      <color theme="1"/>
      <name val="Calibri"/>
      <family val="2"/>
    </font>
    <font>
      <u val="double"/>
      <sz val="11"/>
      <color theme="1"/>
      <name val="Calibri"/>
      <family val="2"/>
    </font>
    <font>
      <sz val="10"/>
      <color theme="1"/>
      <name val="Arial"/>
      <family val="2"/>
    </font>
    <font>
      <u val="single"/>
      <sz val="10"/>
      <color theme="1"/>
      <name val="Arial"/>
      <family val="2"/>
    </font>
    <font>
      <u val="singleAccounting"/>
      <sz val="12"/>
      <color rgb="FFFF0000"/>
      <name val="Arial"/>
      <family val="2"/>
    </font>
    <font>
      <b/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38" fontId="5" fillId="0" borderId="0" applyNumberFormat="0" applyFont="0" applyFill="0" applyBorder="0">
      <alignment horizontal="left" indent="4"/>
      <protection locked="0"/>
    </xf>
    <xf numFmtId="0" fontId="9" fillId="0" borderId="0" applyNumberFormat="0" applyFont="0" applyFill="0" applyBorder="0" applyAlignment="0" applyProtection="0"/>
    <xf numFmtId="15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0" fontId="8" fillId="0" borderId="9">
      <alignment horizontal="center"/>
      <protection/>
    </xf>
    <xf numFmtId="3" fontId="9" fillId="0" borderId="0" applyFont="0" applyFill="0" applyBorder="0" applyAlignment="0" applyProtection="0"/>
    <xf numFmtId="0" fontId="9" fillId="33" borderId="0" applyNumberFormat="0" applyFont="0" applyBorder="0" applyAlignment="0" applyProtection="0"/>
    <xf numFmtId="0" fontId="62" fillId="0" borderId="0" applyNumberFormat="0" applyFill="0" applyBorder="0" applyAlignment="0" applyProtection="0"/>
    <xf numFmtId="0" fontId="63" fillId="0" borderId="10" applyNumberFormat="0" applyFill="0" applyAlignment="0" applyProtection="0"/>
    <xf numFmtId="0" fontId="64" fillId="0" borderId="0" applyNumberFormat="0" applyFill="0" applyBorder="0" applyAlignment="0" applyProtection="0"/>
    <xf numFmtId="166" fontId="3" fillId="34" borderId="0" applyFont="0" applyFill="0" applyBorder="0" applyAlignment="0" applyProtection="0"/>
  </cellStyleXfs>
  <cellXfs count="17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66">
      <alignment/>
      <protection/>
    </xf>
    <xf numFmtId="0" fontId="65" fillId="0" borderId="0" xfId="66" applyFont="1">
      <alignment/>
      <protection/>
    </xf>
    <xf numFmtId="0" fontId="66" fillId="0" borderId="0" xfId="66" applyFont="1" applyAlignment="1">
      <alignment horizontal="center"/>
      <protection/>
    </xf>
    <xf numFmtId="44" fontId="67" fillId="0" borderId="0" xfId="56" applyFont="1" applyAlignment="1">
      <alignment horizontal="center"/>
    </xf>
    <xf numFmtId="0" fontId="68" fillId="0" borderId="0" xfId="66" applyFont="1" applyAlignment="1">
      <alignment horizontal="center"/>
      <protection/>
    </xf>
    <xf numFmtId="44" fontId="68" fillId="0" borderId="0" xfId="56" applyFont="1" applyAlignment="1">
      <alignment horizontal="center"/>
    </xf>
    <xf numFmtId="0" fontId="69" fillId="0" borderId="0" xfId="66" applyFont="1">
      <alignment/>
      <protection/>
    </xf>
    <xf numFmtId="0" fontId="70" fillId="0" borderId="0" xfId="66" applyFont="1">
      <alignment/>
      <protection/>
    </xf>
    <xf numFmtId="44" fontId="65" fillId="0" borderId="0" xfId="56" applyFont="1" applyBorder="1" applyAlignment="1">
      <alignment/>
    </xf>
    <xf numFmtId="0" fontId="65" fillId="0" borderId="0" xfId="66" applyFont="1" applyBorder="1">
      <alignment/>
      <protection/>
    </xf>
    <xf numFmtId="44" fontId="71" fillId="0" borderId="0" xfId="56" applyFont="1" applyBorder="1" applyAlignment="1">
      <alignment/>
    </xf>
    <xf numFmtId="174" fontId="65" fillId="0" borderId="0" xfId="56" applyNumberFormat="1" applyFont="1" applyBorder="1" applyAlignment="1">
      <alignment/>
    </xf>
    <xf numFmtId="174" fontId="72" fillId="0" borderId="0" xfId="56" applyNumberFormat="1" applyFont="1" applyBorder="1" applyAlignment="1">
      <alignment/>
    </xf>
    <xf numFmtId="44" fontId="65" fillId="0" borderId="0" xfId="66" applyNumberFormat="1" applyFont="1" applyBorder="1">
      <alignment/>
      <protection/>
    </xf>
    <xf numFmtId="174" fontId="67" fillId="0" borderId="0" xfId="56" applyNumberFormat="1" applyFont="1" applyBorder="1" applyAlignment="1">
      <alignment/>
    </xf>
    <xf numFmtId="174" fontId="73" fillId="0" borderId="0" xfId="56" applyNumberFormat="1" applyFont="1" applyBorder="1" applyAlignment="1">
      <alignment/>
    </xf>
    <xf numFmtId="43" fontId="65" fillId="0" borderId="0" xfId="66" applyNumberFormat="1" applyFont="1" applyBorder="1">
      <alignment/>
      <protection/>
    </xf>
    <xf numFmtId="174" fontId="65" fillId="0" borderId="0" xfId="66" applyNumberFormat="1" applyFont="1" applyBorder="1">
      <alignment/>
      <protection/>
    </xf>
    <xf numFmtId="174" fontId="72" fillId="0" borderId="0" xfId="66" applyNumberFormat="1" applyFont="1" applyBorder="1">
      <alignment/>
      <protection/>
    </xf>
    <xf numFmtId="43" fontId="67" fillId="0" borderId="0" xfId="66" applyNumberFormat="1" applyFont="1" applyBorder="1">
      <alignment/>
      <protection/>
    </xf>
    <xf numFmtId="43" fontId="68" fillId="0" borderId="0" xfId="66" applyNumberFormat="1" applyFont="1" applyBorder="1">
      <alignment/>
      <protection/>
    </xf>
    <xf numFmtId="43" fontId="73" fillId="0" borderId="0" xfId="66" applyNumberFormat="1" applyFont="1" applyBorder="1">
      <alignment/>
      <protection/>
    </xf>
    <xf numFmtId="43" fontId="72" fillId="0" borderId="0" xfId="66" applyNumberFormat="1" applyFont="1" applyBorder="1">
      <alignment/>
      <protection/>
    </xf>
    <xf numFmtId="0" fontId="2" fillId="0" borderId="0" xfId="66" applyBorder="1">
      <alignment/>
      <protection/>
    </xf>
    <xf numFmtId="183" fontId="65" fillId="0" borderId="0" xfId="66" applyNumberFormat="1" applyFont="1" applyBorder="1">
      <alignment/>
      <protection/>
    </xf>
    <xf numFmtId="44" fontId="2" fillId="0" borderId="0" xfId="55" applyFont="1" applyAlignment="1">
      <alignment/>
    </xf>
    <xf numFmtId="44" fontId="0" fillId="0" borderId="0" xfId="0" applyNumberFormat="1" applyAlignment="1">
      <alignment/>
    </xf>
    <xf numFmtId="172" fontId="0" fillId="0" borderId="0" xfId="77" applyNumberFormat="1" applyFont="1" applyAlignment="1">
      <alignment/>
    </xf>
    <xf numFmtId="0" fontId="6" fillId="0" borderId="0" xfId="67" applyFont="1" applyBorder="1">
      <alignment/>
      <protection/>
    </xf>
    <xf numFmtId="0" fontId="63" fillId="0" borderId="0" xfId="0" applyFont="1" applyBorder="1" applyAlignment="1">
      <alignment horizontal="center"/>
    </xf>
    <xf numFmtId="172" fontId="65" fillId="0" borderId="0" xfId="77" applyNumberFormat="1" applyFont="1" applyBorder="1" applyAlignment="1">
      <alignment/>
    </xf>
    <xf numFmtId="174" fontId="68" fillId="0" borderId="0" xfId="53" applyNumberFormat="1" applyFont="1" applyBorder="1" applyAlignment="1">
      <alignment/>
    </xf>
    <xf numFmtId="43" fontId="65" fillId="0" borderId="0" xfId="42" applyFont="1" applyBorder="1" applyAlignment="1">
      <alignment/>
    </xf>
    <xf numFmtId="43" fontId="72" fillId="0" borderId="0" xfId="42" applyFont="1" applyBorder="1" applyAlignment="1">
      <alignment/>
    </xf>
    <xf numFmtId="43" fontId="0" fillId="0" borderId="0" xfId="42" applyFont="1" applyBorder="1" applyAlignment="1">
      <alignment/>
    </xf>
    <xf numFmtId="10" fontId="71" fillId="0" borderId="0" xfId="78" applyNumberFormat="1" applyFont="1" applyAlignment="1">
      <alignment horizontal="center"/>
    </xf>
    <xf numFmtId="179" fontId="71" fillId="0" borderId="0" xfId="78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74" fontId="74" fillId="0" borderId="0" xfId="55" applyNumberFormat="1" applyFont="1" applyBorder="1" applyAlignment="1">
      <alignment/>
    </xf>
    <xf numFmtId="0" fontId="74" fillId="0" borderId="0" xfId="0" applyFont="1" applyAlignment="1">
      <alignment/>
    </xf>
    <xf numFmtId="166" fontId="74" fillId="0" borderId="0" xfId="42" applyNumberFormat="1" applyFont="1" applyBorder="1" applyAlignment="1">
      <alignment/>
    </xf>
    <xf numFmtId="166" fontId="74" fillId="0" borderId="0" xfId="42" applyNumberFormat="1" applyFont="1" applyAlignment="1">
      <alignment/>
    </xf>
    <xf numFmtId="166" fontId="75" fillId="0" borderId="0" xfId="42" applyNumberFormat="1" applyFont="1" applyBorder="1" applyAlignment="1">
      <alignment/>
    </xf>
    <xf numFmtId="166" fontId="75" fillId="0" borderId="0" xfId="42" applyNumberFormat="1" applyFont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43" fontId="0" fillId="0" borderId="0" xfId="42" applyFont="1" applyAlignment="1">
      <alignment/>
    </xf>
    <xf numFmtId="43" fontId="0" fillId="0" borderId="0" xfId="0" applyNumberFormat="1" applyFont="1" applyBorder="1" applyAlignment="1">
      <alignment horizontal="center"/>
    </xf>
    <xf numFmtId="43" fontId="0" fillId="0" borderId="0" xfId="0" applyNumberFormat="1" applyFont="1" applyAlignment="1">
      <alignment/>
    </xf>
    <xf numFmtId="0" fontId="63" fillId="0" borderId="0" xfId="0" applyFont="1" applyAlignment="1">
      <alignment/>
    </xf>
    <xf numFmtId="43" fontId="0" fillId="0" borderId="0" xfId="42" applyFont="1" applyAlignment="1">
      <alignment horizontal="center"/>
    </xf>
    <xf numFmtId="0" fontId="0" fillId="0" borderId="0" xfId="0" applyFont="1" applyAlignment="1">
      <alignment horizontal="left" indent="1"/>
    </xf>
    <xf numFmtId="166" fontId="0" fillId="0" borderId="0" xfId="42" applyNumberFormat="1" applyFont="1" applyAlignment="1">
      <alignment/>
    </xf>
    <xf numFmtId="0" fontId="0" fillId="35" borderId="0" xfId="0" applyFont="1" applyFill="1" applyAlignment="1">
      <alignment horizontal="center"/>
    </xf>
    <xf numFmtId="0" fontId="64" fillId="0" borderId="0" xfId="0" applyFont="1" applyFill="1" applyAlignment="1">
      <alignment/>
    </xf>
    <xf numFmtId="0" fontId="64" fillId="0" borderId="0" xfId="0" applyFont="1" applyFill="1" applyAlignment="1">
      <alignment horizontal="center"/>
    </xf>
    <xf numFmtId="0" fontId="63" fillId="36" borderId="11" xfId="0" applyFont="1" applyFill="1" applyBorder="1" applyAlignment="1">
      <alignment/>
    </xf>
    <xf numFmtId="0" fontId="0" fillId="36" borderId="11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36" borderId="11" xfId="0" applyFont="1" applyFill="1" applyBorder="1" applyAlignment="1">
      <alignment/>
    </xf>
    <xf numFmtId="44" fontId="0" fillId="0" borderId="0" xfId="0" applyNumberFormat="1" applyFont="1" applyAlignment="1">
      <alignment/>
    </xf>
    <xf numFmtId="190" fontId="0" fillId="0" borderId="0" xfId="0" applyNumberFormat="1" applyFont="1" applyAlignment="1">
      <alignment/>
    </xf>
    <xf numFmtId="166" fontId="0" fillId="0" borderId="11" xfId="42" applyNumberFormat="1" applyFont="1" applyBorder="1" applyAlignment="1">
      <alignment/>
    </xf>
    <xf numFmtId="0" fontId="63" fillId="36" borderId="11" xfId="0" applyFont="1" applyFill="1" applyBorder="1" applyAlignment="1">
      <alignment horizontal="center" wrapText="1"/>
    </xf>
    <xf numFmtId="0" fontId="63" fillId="36" borderId="11" xfId="0" applyFont="1" applyFill="1" applyBorder="1" applyAlignment="1">
      <alignment horizontal="center" vertical="center"/>
    </xf>
    <xf numFmtId="0" fontId="63" fillId="36" borderId="0" xfId="0" applyFont="1" applyFill="1" applyBorder="1" applyAlignment="1">
      <alignment horizontal="center" wrapText="1"/>
    </xf>
    <xf numFmtId="166" fontId="63" fillId="36" borderId="11" xfId="42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44" fontId="0" fillId="0" borderId="0" xfId="53" applyFont="1" applyFill="1" applyBorder="1" applyAlignment="1">
      <alignment/>
    </xf>
    <xf numFmtId="44" fontId="0" fillId="37" borderId="0" xfId="53" applyFont="1" applyFill="1" applyBorder="1" applyAlignment="1">
      <alignment/>
    </xf>
    <xf numFmtId="0" fontId="0" fillId="0" borderId="0" xfId="0" applyFont="1" applyFill="1" applyBorder="1" applyAlignment="1">
      <alignment/>
    </xf>
    <xf numFmtId="166" fontId="0" fillId="0" borderId="0" xfId="42" applyNumberFormat="1" applyFont="1" applyFill="1" applyBorder="1" applyAlignment="1">
      <alignment horizontal="center" wrapText="1"/>
    </xf>
    <xf numFmtId="43" fontId="38" fillId="0" borderId="0" xfId="42" applyNumberFormat="1" applyFont="1" applyFill="1" applyBorder="1" applyAlignment="1">
      <alignment/>
    </xf>
    <xf numFmtId="0" fontId="0" fillId="0" borderId="0" xfId="0" applyFont="1" applyFill="1" applyBorder="1" applyAlignment="1">
      <alignment vertical="center" textRotation="90"/>
    </xf>
    <xf numFmtId="166" fontId="38" fillId="0" borderId="0" xfId="42" applyNumberFormat="1" applyFont="1" applyFill="1" applyBorder="1" applyAlignment="1">
      <alignment/>
    </xf>
    <xf numFmtId="0" fontId="0" fillId="36" borderId="11" xfId="0" applyFont="1" applyFill="1" applyBorder="1" applyAlignment="1">
      <alignment vertical="center" textRotation="90"/>
    </xf>
    <xf numFmtId="0" fontId="0" fillId="36" borderId="11" xfId="0" applyFont="1" applyFill="1" applyBorder="1" applyAlignment="1">
      <alignment horizontal="center" vertical="center"/>
    </xf>
    <xf numFmtId="0" fontId="39" fillId="36" borderId="11" xfId="74" applyFont="1" applyFill="1" applyBorder="1" applyAlignment="1">
      <alignment horizontal="left"/>
      <protection/>
    </xf>
    <xf numFmtId="3" fontId="63" fillId="36" borderId="11" xfId="0" applyNumberFormat="1" applyFont="1" applyFill="1" applyBorder="1" applyAlignment="1">
      <alignment horizontal="right"/>
    </xf>
    <xf numFmtId="43" fontId="0" fillId="36" borderId="11" xfId="42" applyFont="1" applyFill="1" applyBorder="1" applyAlignment="1">
      <alignment/>
    </xf>
    <xf numFmtId="3" fontId="63" fillId="36" borderId="11" xfId="0" applyNumberFormat="1" applyFont="1" applyFill="1" applyBorder="1" applyAlignment="1">
      <alignment/>
    </xf>
    <xf numFmtId="166" fontId="63" fillId="36" borderId="11" xfId="42" applyNumberFormat="1" applyFont="1" applyFill="1" applyBorder="1" applyAlignment="1">
      <alignment/>
    </xf>
    <xf numFmtId="44" fontId="0" fillId="36" borderId="11" xfId="53" applyFont="1" applyFill="1" applyBorder="1" applyAlignment="1">
      <alignment/>
    </xf>
    <xf numFmtId="44" fontId="63" fillId="36" borderId="11" xfId="53" applyFont="1" applyFill="1" applyBorder="1" applyAlignment="1">
      <alignment/>
    </xf>
    <xf numFmtId="166" fontId="0" fillId="0" borderId="0" xfId="42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39" fillId="0" borderId="0" xfId="74" applyFont="1" applyFill="1" applyBorder="1" applyAlignment="1">
      <alignment horizontal="left"/>
      <protection/>
    </xf>
    <xf numFmtId="166" fontId="63" fillId="0" borderId="0" xfId="42" applyNumberFormat="1" applyFont="1" applyBorder="1" applyAlignment="1">
      <alignment horizontal="right"/>
    </xf>
    <xf numFmtId="44" fontId="63" fillId="0" borderId="0" xfId="53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44" fontId="0" fillId="0" borderId="0" xfId="42" applyNumberFormat="1" applyFont="1" applyFill="1" applyBorder="1" applyAlignment="1">
      <alignment/>
    </xf>
    <xf numFmtId="174" fontId="0" fillId="0" borderId="0" xfId="0" applyNumberFormat="1" applyFont="1" applyBorder="1" applyAlignment="1">
      <alignment/>
    </xf>
    <xf numFmtId="166" fontId="0" fillId="0" borderId="0" xfId="42" applyNumberFormat="1" applyFont="1" applyFill="1" applyBorder="1" applyAlignment="1">
      <alignment/>
    </xf>
    <xf numFmtId="0" fontId="64" fillId="0" borderId="0" xfId="70" applyFont="1" applyBorder="1" applyAlignment="1">
      <alignment horizontal="left"/>
      <protection/>
    </xf>
    <xf numFmtId="0" fontId="0" fillId="0" borderId="0" xfId="0" applyFont="1" applyFill="1" applyBorder="1" applyAlignment="1">
      <alignment/>
    </xf>
    <xf numFmtId="166" fontId="63" fillId="0" borderId="11" xfId="42" applyNumberFormat="1" applyFont="1" applyBorder="1" applyAlignment="1">
      <alignment horizontal="center"/>
    </xf>
    <xf numFmtId="0" fontId="0" fillId="35" borderId="0" xfId="0" applyFont="1" applyFill="1" applyBorder="1" applyAlignment="1">
      <alignment horizontal="left"/>
    </xf>
    <xf numFmtId="43" fontId="0" fillId="0" borderId="0" xfId="0" applyNumberFormat="1" applyFont="1" applyBorder="1" applyAlignment="1">
      <alignment/>
    </xf>
    <xf numFmtId="166" fontId="38" fillId="0" borderId="0" xfId="42" applyNumberFormat="1" applyFont="1" applyFill="1" applyBorder="1" applyAlignment="1">
      <alignment horizontal="left"/>
    </xf>
    <xf numFmtId="166" fontId="0" fillId="0" borderId="0" xfId="42" applyNumberFormat="1" applyFont="1" applyBorder="1" applyAlignment="1">
      <alignment horizontal="right"/>
    </xf>
    <xf numFmtId="0" fontId="76" fillId="0" borderId="0" xfId="42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10" fontId="0" fillId="0" borderId="0" xfId="77" applyNumberFormat="1" applyFont="1" applyBorder="1" applyAlignment="1">
      <alignment horizontal="right"/>
    </xf>
    <xf numFmtId="10" fontId="0" fillId="0" borderId="0" xfId="77" applyNumberFormat="1" applyFont="1" applyBorder="1" applyAlignment="1">
      <alignment/>
    </xf>
    <xf numFmtId="0" fontId="0" fillId="0" borderId="0" xfId="0" applyFont="1" applyBorder="1" applyAlignment="1">
      <alignment horizontal="right" wrapText="1"/>
    </xf>
    <xf numFmtId="0" fontId="0" fillId="0" borderId="0" xfId="0" applyFont="1" applyBorder="1" applyAlignment="1">
      <alignment horizontal="center" wrapText="1"/>
    </xf>
    <xf numFmtId="0" fontId="38" fillId="0" borderId="0" xfId="74" applyFont="1" applyFill="1" applyBorder="1" applyAlignment="1">
      <alignment horizontal="left"/>
      <protection/>
    </xf>
    <xf numFmtId="43" fontId="0" fillId="0" borderId="0" xfId="42" applyFont="1" applyBorder="1" applyAlignment="1">
      <alignment/>
    </xf>
    <xf numFmtId="44" fontId="0" fillId="0" borderId="0" xfId="0" applyNumberFormat="1" applyFont="1" applyBorder="1" applyAlignment="1">
      <alignment/>
    </xf>
    <xf numFmtId="174" fontId="0" fillId="0" borderId="0" xfId="53" applyNumberFormat="1" applyFont="1" applyBorder="1" applyAlignment="1">
      <alignment/>
    </xf>
    <xf numFmtId="44" fontId="0" fillId="0" borderId="0" xfId="53" applyFont="1" applyBorder="1" applyAlignment="1">
      <alignment horizontal="right"/>
    </xf>
    <xf numFmtId="183" fontId="0" fillId="0" borderId="0" xfId="53" applyNumberFormat="1" applyFont="1" applyBorder="1" applyAlignment="1">
      <alignment/>
    </xf>
    <xf numFmtId="166" fontId="0" fillId="0" borderId="0" xfId="42" applyNumberFormat="1" applyFont="1" applyFill="1" applyBorder="1" applyAlignment="1">
      <alignment/>
    </xf>
    <xf numFmtId="44" fontId="2" fillId="0" borderId="0" xfId="55" applyFont="1" applyFill="1" applyAlignment="1">
      <alignment/>
    </xf>
    <xf numFmtId="43" fontId="0" fillId="0" borderId="0" xfId="53" applyNumberFormat="1" applyFont="1" applyFill="1" applyBorder="1" applyAlignment="1">
      <alignment/>
    </xf>
    <xf numFmtId="166" fontId="0" fillId="0" borderId="0" xfId="42" applyNumberFormat="1" applyFont="1" applyFill="1" applyBorder="1" applyAlignment="1">
      <alignment/>
    </xf>
    <xf numFmtId="44" fontId="0" fillId="0" borderId="0" xfId="53" applyFont="1" applyFill="1" applyBorder="1" applyAlignment="1">
      <alignment/>
    </xf>
    <xf numFmtId="44" fontId="0" fillId="0" borderId="11" xfId="53" applyFont="1" applyFill="1" applyBorder="1" applyAlignment="1">
      <alignment/>
    </xf>
    <xf numFmtId="44" fontId="0" fillId="0" borderId="0" xfId="53" applyFont="1" applyFill="1" applyAlignment="1">
      <alignment/>
    </xf>
    <xf numFmtId="183" fontId="0" fillId="0" borderId="0" xfId="53" applyNumberFormat="1" applyFont="1" applyFill="1" applyAlignment="1">
      <alignment/>
    </xf>
    <xf numFmtId="183" fontId="0" fillId="0" borderId="11" xfId="53" applyNumberFormat="1" applyFont="1" applyFill="1" applyBorder="1" applyAlignment="1">
      <alignment/>
    </xf>
    <xf numFmtId="189" fontId="0" fillId="0" borderId="0" xfId="53" applyNumberFormat="1" applyFont="1" applyFill="1" applyAlignment="1">
      <alignment/>
    </xf>
    <xf numFmtId="0" fontId="0" fillId="25" borderId="0" xfId="42" applyNumberFormat="1" applyFont="1" applyFill="1" applyBorder="1" applyAlignment="1">
      <alignment/>
    </xf>
    <xf numFmtId="166" fontId="0" fillId="25" borderId="0" xfId="42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43" fontId="11" fillId="0" borderId="12" xfId="49" applyNumberFormat="1" applyFont="1" applyFill="1" applyBorder="1" applyAlignment="1">
      <alignment/>
    </xf>
    <xf numFmtId="166" fontId="2" fillId="0" borderId="0" xfId="46" applyNumberFormat="1" applyFont="1" applyAlignment="1">
      <alignment/>
    </xf>
    <xf numFmtId="166" fontId="2" fillId="0" borderId="0" xfId="46" applyNumberFormat="1" applyFont="1" applyFill="1" applyAlignment="1">
      <alignment/>
    </xf>
    <xf numFmtId="166" fontId="0" fillId="36" borderId="11" xfId="0" applyNumberFormat="1" applyFont="1" applyFill="1" applyBorder="1" applyAlignment="1">
      <alignment/>
    </xf>
    <xf numFmtId="166" fontId="63" fillId="36" borderId="11" xfId="0" applyNumberFormat="1" applyFont="1" applyFill="1" applyBorder="1" applyAlignment="1">
      <alignment horizontal="right"/>
    </xf>
    <xf numFmtId="166" fontId="0" fillId="0" borderId="0" xfId="0" applyNumberFormat="1" applyFont="1" applyBorder="1" applyAlignment="1">
      <alignment/>
    </xf>
    <xf numFmtId="44" fontId="77" fillId="0" borderId="0" xfId="53" applyFont="1" applyBorder="1" applyAlignment="1">
      <alignment horizontal="right"/>
    </xf>
    <xf numFmtId="44" fontId="0" fillId="0" borderId="0" xfId="53" applyNumberFormat="1" applyFont="1" applyFill="1" applyBorder="1" applyAlignment="1">
      <alignment/>
    </xf>
    <xf numFmtId="44" fontId="0" fillId="0" borderId="0" xfId="53" applyFont="1" applyAlignment="1">
      <alignment/>
    </xf>
    <xf numFmtId="174" fontId="0" fillId="0" borderId="0" xfId="53" applyNumberFormat="1" applyFont="1" applyAlignment="1">
      <alignment/>
    </xf>
    <xf numFmtId="174" fontId="78" fillId="0" borderId="0" xfId="53" applyNumberFormat="1" applyFont="1" applyAlignment="1">
      <alignment/>
    </xf>
    <xf numFmtId="174" fontId="77" fillId="0" borderId="0" xfId="0" applyNumberFormat="1" applyFont="1" applyAlignment="1">
      <alignment/>
    </xf>
    <xf numFmtId="184" fontId="0" fillId="0" borderId="0" xfId="77" applyNumberFormat="1" applyFont="1" applyAlignment="1">
      <alignment/>
    </xf>
    <xf numFmtId="179" fontId="0" fillId="0" borderId="0" xfId="77" applyNumberFormat="1" applyFont="1" applyAlignment="1">
      <alignment/>
    </xf>
    <xf numFmtId="179" fontId="0" fillId="0" borderId="0" xfId="77" applyNumberFormat="1" applyFont="1" applyBorder="1" applyAlignment="1">
      <alignment/>
    </xf>
    <xf numFmtId="179" fontId="79" fillId="0" borderId="0" xfId="77" applyNumberFormat="1" applyFont="1" applyAlignment="1">
      <alignment/>
    </xf>
    <xf numFmtId="179" fontId="80" fillId="0" borderId="0" xfId="77" applyNumberFormat="1" applyFont="1" applyAlignment="1">
      <alignment/>
    </xf>
    <xf numFmtId="10" fontId="4" fillId="0" borderId="0" xfId="78" applyNumberFormat="1" applyFont="1" applyAlignment="1">
      <alignment horizontal="center"/>
    </xf>
    <xf numFmtId="44" fontId="77" fillId="0" borderId="0" xfId="0" applyNumberFormat="1" applyFont="1" applyAlignment="1">
      <alignment/>
    </xf>
    <xf numFmtId="179" fontId="0" fillId="0" borderId="0" xfId="0" applyNumberFormat="1" applyAlignment="1">
      <alignment/>
    </xf>
    <xf numFmtId="179" fontId="79" fillId="0" borderId="0" xfId="0" applyNumberFormat="1" applyFont="1" applyAlignment="1">
      <alignment/>
    </xf>
    <xf numFmtId="179" fontId="10" fillId="0" borderId="0" xfId="78" applyNumberFormat="1" applyFont="1" applyAlignment="1">
      <alignment horizontal="right"/>
    </xf>
    <xf numFmtId="179" fontId="81" fillId="0" borderId="0" xfId="77" applyNumberFormat="1" applyFont="1" applyAlignment="1">
      <alignment/>
    </xf>
    <xf numFmtId="10" fontId="0" fillId="0" borderId="0" xfId="77" applyNumberFormat="1" applyFont="1" applyFill="1" applyBorder="1" applyAlignment="1">
      <alignment/>
    </xf>
    <xf numFmtId="166" fontId="0" fillId="0" borderId="0" xfId="42" applyNumberFormat="1" applyFont="1" applyFill="1" applyBorder="1" applyAlignment="1">
      <alignment/>
    </xf>
    <xf numFmtId="0" fontId="82" fillId="0" borderId="0" xfId="0" applyFont="1" applyAlignment="1">
      <alignment/>
    </xf>
    <xf numFmtId="0" fontId="83" fillId="0" borderId="0" xfId="0" applyFont="1" applyAlignment="1">
      <alignment/>
    </xf>
    <xf numFmtId="166" fontId="82" fillId="0" borderId="0" xfId="42" applyNumberFormat="1" applyFont="1" applyAlignment="1">
      <alignment/>
    </xf>
    <xf numFmtId="166" fontId="83" fillId="0" borderId="0" xfId="42" applyNumberFormat="1" applyFont="1" applyAlignment="1">
      <alignment/>
    </xf>
    <xf numFmtId="44" fontId="72" fillId="0" borderId="0" xfId="56" applyFont="1" applyBorder="1" applyAlignment="1">
      <alignment/>
    </xf>
    <xf numFmtId="174" fontId="67" fillId="0" borderId="0" xfId="53" applyNumberFormat="1" applyFont="1" applyBorder="1" applyAlignment="1">
      <alignment/>
    </xf>
    <xf numFmtId="44" fontId="84" fillId="0" borderId="0" xfId="56" applyFont="1" applyBorder="1" applyAlignment="1">
      <alignment/>
    </xf>
    <xf numFmtId="10" fontId="63" fillId="0" borderId="0" xfId="77" applyNumberFormat="1" applyFont="1" applyFill="1" applyBorder="1" applyAlignment="1">
      <alignment/>
    </xf>
    <xf numFmtId="0" fontId="63" fillId="36" borderId="0" xfId="0" applyFont="1" applyFill="1" applyBorder="1" applyAlignment="1">
      <alignment/>
    </xf>
    <xf numFmtId="0" fontId="63" fillId="36" borderId="0" xfId="0" applyFont="1" applyFill="1" applyBorder="1" applyAlignment="1">
      <alignment horizontal="center" vertical="center"/>
    </xf>
    <xf numFmtId="166" fontId="63" fillId="36" borderId="0" xfId="42" applyNumberFormat="1" applyFont="1" applyFill="1" applyBorder="1" applyAlignment="1">
      <alignment horizontal="center" wrapText="1"/>
    </xf>
    <xf numFmtId="10" fontId="85" fillId="36" borderId="0" xfId="77" applyNumberFormat="1" applyFont="1" applyFill="1" applyBorder="1" applyAlignment="1">
      <alignment horizontal="center" wrapText="1"/>
    </xf>
    <xf numFmtId="0" fontId="0" fillId="0" borderId="11" xfId="0" applyFont="1" applyBorder="1" applyAlignment="1">
      <alignment/>
    </xf>
    <xf numFmtId="174" fontId="0" fillId="0" borderId="0" xfId="53" applyNumberFormat="1" applyFont="1" applyBorder="1" applyAlignment="1">
      <alignment/>
    </xf>
    <xf numFmtId="0" fontId="0" fillId="36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63" fillId="36" borderId="11" xfId="0" applyFont="1" applyFill="1" applyBorder="1" applyAlignment="1">
      <alignment horizontal="center"/>
    </xf>
    <xf numFmtId="0" fontId="0" fillId="0" borderId="0" xfId="0" applyAlignment="1">
      <alignment vertical="top" wrapText="1"/>
    </xf>
    <xf numFmtId="0" fontId="0" fillId="0" borderId="0" xfId="0" applyFont="1" applyFill="1" applyBorder="1" applyAlignment="1">
      <alignment horizontal="center" vertical="center" textRotation="90"/>
    </xf>
    <xf numFmtId="0" fontId="0" fillId="0" borderId="13" xfId="0" applyFont="1" applyFill="1" applyBorder="1" applyAlignment="1">
      <alignment horizontal="center" vertical="center" textRotation="90"/>
    </xf>
    <xf numFmtId="0" fontId="0" fillId="36" borderId="0" xfId="0" applyFont="1" applyFill="1" applyBorder="1" applyAlignment="1">
      <alignment horizontal="center"/>
    </xf>
  </cellXfs>
  <cellStyles count="7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[0] 3" xfId="45"/>
    <cellStyle name="Comma 10" xfId="46"/>
    <cellStyle name="Comma 2" xfId="47"/>
    <cellStyle name="Comma 2 6" xfId="48"/>
    <cellStyle name="Comma 20" xfId="49"/>
    <cellStyle name="Comma 3" xfId="50"/>
    <cellStyle name="Comma 4" xfId="51"/>
    <cellStyle name="Comma 5" xfId="52"/>
    <cellStyle name="Currency" xfId="53"/>
    <cellStyle name="Currency [0]" xfId="54"/>
    <cellStyle name="Currency 2" xfId="55"/>
    <cellStyle name="Currency 2 6" xfId="56"/>
    <cellStyle name="Explanatory Text" xfId="57"/>
    <cellStyle name="Good" xfId="58"/>
    <cellStyle name="Heading 1" xfId="59"/>
    <cellStyle name="Heading 2" xfId="60"/>
    <cellStyle name="Heading 3" xfId="61"/>
    <cellStyle name="Heading 4" xfId="62"/>
    <cellStyle name="Input" xfId="63"/>
    <cellStyle name="Linked Cell" xfId="64"/>
    <cellStyle name="Neutral" xfId="65"/>
    <cellStyle name="Normal 10" xfId="66"/>
    <cellStyle name="Normal 2" xfId="67"/>
    <cellStyle name="Normal 2 2 2 2 3" xfId="68"/>
    <cellStyle name="Normal 2 8" xfId="69"/>
    <cellStyle name="Normal 90" xfId="70"/>
    <cellStyle name="Normal 93" xfId="71"/>
    <cellStyle name="Normal 94" xfId="72"/>
    <cellStyle name="Normal 98" xfId="73"/>
    <cellStyle name="Normal_Price out" xfId="74"/>
    <cellStyle name="Note" xfId="75"/>
    <cellStyle name="Output" xfId="76"/>
    <cellStyle name="Percent" xfId="77"/>
    <cellStyle name="Percent 2" xfId="78"/>
    <cellStyle name="Percent 2 6" xfId="79"/>
    <cellStyle name="Percent 3" xfId="80"/>
    <cellStyle name="PS_Comma" xfId="81"/>
    <cellStyle name="PSChar" xfId="82"/>
    <cellStyle name="PSDate" xfId="83"/>
    <cellStyle name="PSDec" xfId="84"/>
    <cellStyle name="PSHeading" xfId="85"/>
    <cellStyle name="PSInt" xfId="86"/>
    <cellStyle name="PSSpacer" xfId="87"/>
    <cellStyle name="Title" xfId="88"/>
    <cellStyle name="Total" xfId="89"/>
    <cellStyle name="Warning Text" xfId="90"/>
    <cellStyle name="WM_STANDARD" xfId="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zoomScalePageLayoutView="0" workbookViewId="0" topLeftCell="A9">
      <selection activeCell="B15" sqref="B15"/>
    </sheetView>
  </sheetViews>
  <sheetFormatPr defaultColWidth="9.140625" defaultRowHeight="15"/>
  <cols>
    <col min="1" max="1" width="52.140625" style="0" customWidth="1"/>
    <col min="2" max="2" width="16.7109375" style="0" customWidth="1"/>
    <col min="3" max="3" width="15.57421875" style="0" customWidth="1"/>
    <col min="6" max="6" width="12.421875" style="0" customWidth="1"/>
    <col min="7" max="7" width="10.7109375" style="0" customWidth="1"/>
    <col min="8" max="8" width="10.00390625" style="0" bestFit="1" customWidth="1"/>
  </cols>
  <sheetData>
    <row r="1" spans="1:8" ht="15">
      <c r="A1" s="169" t="s">
        <v>13</v>
      </c>
      <c r="B1" s="169"/>
      <c r="C1" s="169"/>
      <c r="D1" s="169"/>
      <c r="E1" s="169"/>
      <c r="F1" s="169"/>
      <c r="G1" s="169"/>
      <c r="H1" s="169"/>
    </row>
    <row r="2" spans="1:8" ht="15">
      <c r="A2" s="47" t="s">
        <v>14</v>
      </c>
      <c r="B2" s="48" t="s">
        <v>15</v>
      </c>
      <c r="C2" s="48" t="s">
        <v>16</v>
      </c>
      <c r="D2" s="48" t="s">
        <v>17</v>
      </c>
      <c r="E2" s="49" t="s">
        <v>18</v>
      </c>
      <c r="F2" s="49" t="s">
        <v>19</v>
      </c>
      <c r="G2" s="49" t="s">
        <v>20</v>
      </c>
      <c r="H2" s="48" t="s">
        <v>21</v>
      </c>
    </row>
    <row r="3" spans="1:8" ht="15">
      <c r="A3" s="47" t="s">
        <v>22</v>
      </c>
      <c r="B3" s="50">
        <f>52*5/12</f>
        <v>21.666666666666668</v>
      </c>
      <c r="C3" s="51">
        <f>$B$3*2</f>
        <v>43.333333333333336</v>
      </c>
      <c r="D3" s="51">
        <f>$B$3*3</f>
        <v>65</v>
      </c>
      <c r="E3" s="51">
        <f>$B$3*4</f>
        <v>86.66666666666667</v>
      </c>
      <c r="F3" s="51">
        <f>$B$3*5</f>
        <v>108.33333333333334</v>
      </c>
      <c r="G3" s="51">
        <f>$B$3*6</f>
        <v>130</v>
      </c>
      <c r="H3" s="51">
        <f>$B$3*7</f>
        <v>151.66666666666669</v>
      </c>
    </row>
    <row r="4" spans="1:8" ht="15">
      <c r="A4" s="47" t="s">
        <v>23</v>
      </c>
      <c r="B4" s="50">
        <f>52*4/12</f>
        <v>17.333333333333332</v>
      </c>
      <c r="C4" s="51">
        <f>$B$4*2</f>
        <v>34.666666666666664</v>
      </c>
      <c r="D4" s="51">
        <f>$B$4*3</f>
        <v>52</v>
      </c>
      <c r="E4" s="51">
        <f>$B$4*4</f>
        <v>69.33333333333333</v>
      </c>
      <c r="F4" s="51">
        <f>$B$4*5</f>
        <v>86.66666666666666</v>
      </c>
      <c r="G4" s="51">
        <f>$B$4*6</f>
        <v>104</v>
      </c>
      <c r="H4" s="51">
        <f>$B$4*7</f>
        <v>121.33333333333333</v>
      </c>
    </row>
    <row r="5" spans="1:8" ht="15">
      <c r="A5" s="47" t="s">
        <v>24</v>
      </c>
      <c r="B5" s="50">
        <f>52*3/12</f>
        <v>13</v>
      </c>
      <c r="C5" s="51">
        <f>$B$5*2</f>
        <v>26</v>
      </c>
      <c r="D5" s="51">
        <f>$B$5*3</f>
        <v>39</v>
      </c>
      <c r="E5" s="51">
        <f>$B$5*4</f>
        <v>52</v>
      </c>
      <c r="F5" s="51">
        <f>$B$5*5</f>
        <v>65</v>
      </c>
      <c r="G5" s="51">
        <f>$B$5*6</f>
        <v>78</v>
      </c>
      <c r="H5" s="51">
        <f>$B$5*7</f>
        <v>91</v>
      </c>
    </row>
    <row r="6" spans="1:8" ht="15">
      <c r="A6" s="47" t="s">
        <v>25</v>
      </c>
      <c r="B6" s="50">
        <f>52*2/12</f>
        <v>8.666666666666666</v>
      </c>
      <c r="C6" s="52">
        <f>$B$6*2</f>
        <v>17.333333333333332</v>
      </c>
      <c r="D6" s="52">
        <f>$B$6*3</f>
        <v>26</v>
      </c>
      <c r="E6" s="52">
        <f>$B$6*4</f>
        <v>34.666666666666664</v>
      </c>
      <c r="F6" s="52">
        <f>$B$6*5</f>
        <v>43.33333333333333</v>
      </c>
      <c r="G6" s="52">
        <f>$B$6*6</f>
        <v>52</v>
      </c>
      <c r="H6" s="52">
        <f>$B$6*7</f>
        <v>60.666666666666664</v>
      </c>
    </row>
    <row r="7" spans="1:8" ht="15">
      <c r="A7" s="47" t="s">
        <v>26</v>
      </c>
      <c r="B7" s="50">
        <f>52/12</f>
        <v>4.333333333333333</v>
      </c>
      <c r="C7" s="52">
        <f>$B$7*2</f>
        <v>8.666666666666666</v>
      </c>
      <c r="D7" s="52">
        <f>$B$7*3</f>
        <v>13</v>
      </c>
      <c r="E7" s="52">
        <f>$B$7*4</f>
        <v>17.333333333333332</v>
      </c>
      <c r="F7" s="52">
        <f>$B$7*5</f>
        <v>21.666666666666664</v>
      </c>
      <c r="G7" s="52">
        <f>$B$7*6</f>
        <v>26</v>
      </c>
      <c r="H7" s="52">
        <f>$B$7*7</f>
        <v>30.333333333333332</v>
      </c>
    </row>
    <row r="8" spans="1:8" ht="15">
      <c r="A8" s="47" t="s">
        <v>27</v>
      </c>
      <c r="B8" s="50">
        <f>26/12</f>
        <v>2.1666666666666665</v>
      </c>
      <c r="C8" s="52">
        <f>$B$8*2</f>
        <v>4.333333333333333</v>
      </c>
      <c r="D8" s="52">
        <f>$B$8*3</f>
        <v>6.5</v>
      </c>
      <c r="E8" s="52">
        <f>$B$8*4</f>
        <v>8.666666666666666</v>
      </c>
      <c r="F8" s="52">
        <f>$B$8*5</f>
        <v>10.833333333333332</v>
      </c>
      <c r="G8" s="52">
        <f>$B$8*6</f>
        <v>13</v>
      </c>
      <c r="H8" s="52">
        <f>$B$8*7</f>
        <v>15.166666666666666</v>
      </c>
    </row>
    <row r="9" spans="1:8" ht="15">
      <c r="A9" s="47" t="s">
        <v>28</v>
      </c>
      <c r="B9" s="50">
        <f>12/12</f>
        <v>1</v>
      </c>
      <c r="C9" s="52">
        <f>$B$9*2</f>
        <v>2</v>
      </c>
      <c r="D9" s="52">
        <f>$B$9*3</f>
        <v>3</v>
      </c>
      <c r="E9" s="52">
        <f>$B$9*4</f>
        <v>4</v>
      </c>
      <c r="F9" s="52">
        <f>$B$9*5</f>
        <v>5</v>
      </c>
      <c r="G9" s="52">
        <f>$B$9*6</f>
        <v>6</v>
      </c>
      <c r="H9" s="52">
        <f>$B$9*7</f>
        <v>7</v>
      </c>
    </row>
    <row r="10" spans="1:8" ht="15">
      <c r="A10" s="47"/>
      <c r="B10" s="50"/>
      <c r="C10" s="52"/>
      <c r="D10" s="52"/>
      <c r="E10" s="52"/>
      <c r="F10" s="52"/>
      <c r="G10" s="52"/>
      <c r="H10" s="52"/>
    </row>
    <row r="11" spans="1:8" ht="15">
      <c r="A11" s="169" t="s">
        <v>29</v>
      </c>
      <c r="B11" s="169"/>
      <c r="C11" s="52"/>
      <c r="D11" s="52"/>
      <c r="E11" s="52"/>
      <c r="F11" s="52"/>
      <c r="G11" s="52"/>
      <c r="H11" s="52"/>
    </row>
    <row r="12" spans="1:8" ht="15">
      <c r="A12" s="53" t="s">
        <v>30</v>
      </c>
      <c r="B12" s="54" t="s">
        <v>31</v>
      </c>
      <c r="C12" s="52"/>
      <c r="D12" s="52"/>
      <c r="E12" s="52"/>
      <c r="F12" s="52"/>
      <c r="G12" s="52"/>
      <c r="H12" s="52"/>
    </row>
    <row r="13" spans="1:8" ht="15">
      <c r="A13" s="55" t="s">
        <v>32</v>
      </c>
      <c r="B13" s="56">
        <v>20</v>
      </c>
      <c r="C13" s="52"/>
      <c r="D13" s="52"/>
      <c r="E13" s="52"/>
      <c r="F13" s="52"/>
      <c r="G13" s="52"/>
      <c r="H13" s="52"/>
    </row>
    <row r="14" spans="1:8" ht="15">
      <c r="A14" s="55" t="s">
        <v>33</v>
      </c>
      <c r="B14" s="56">
        <v>34</v>
      </c>
      <c r="C14" s="52"/>
      <c r="D14" s="52"/>
      <c r="E14" s="52"/>
      <c r="F14" s="52"/>
      <c r="G14" s="52"/>
      <c r="H14" s="52"/>
    </row>
    <row r="15" spans="1:8" ht="15">
      <c r="A15" s="55" t="s">
        <v>34</v>
      </c>
      <c r="B15" s="56">
        <v>51</v>
      </c>
      <c r="C15" s="52"/>
      <c r="D15" s="52"/>
      <c r="E15" s="52"/>
      <c r="F15" s="52"/>
      <c r="G15" s="52"/>
      <c r="H15" s="52"/>
    </row>
    <row r="16" spans="1:8" ht="15">
      <c r="A16" s="55" t="s">
        <v>35</v>
      </c>
      <c r="B16" s="56">
        <v>77</v>
      </c>
      <c r="C16" s="52"/>
      <c r="D16" s="52"/>
      <c r="E16" s="52"/>
      <c r="F16" s="47" t="s">
        <v>36</v>
      </c>
      <c r="G16" s="56">
        <v>2000</v>
      </c>
      <c r="H16" s="52"/>
    </row>
    <row r="17" spans="1:8" ht="15">
      <c r="A17" s="55" t="s">
        <v>37</v>
      </c>
      <c r="B17" s="56">
        <v>97</v>
      </c>
      <c r="C17" s="52"/>
      <c r="D17" s="52"/>
      <c r="E17" s="52"/>
      <c r="F17" s="47" t="s">
        <v>38</v>
      </c>
      <c r="G17" s="57" t="s">
        <v>39</v>
      </c>
      <c r="H17" s="52"/>
    </row>
    <row r="18" spans="1:8" ht="15">
      <c r="A18" s="55" t="s">
        <v>40</v>
      </c>
      <c r="B18" s="56">
        <v>117</v>
      </c>
      <c r="C18" s="52"/>
      <c r="D18" s="52"/>
      <c r="E18" s="52"/>
      <c r="F18" s="47"/>
      <c r="G18" s="47"/>
      <c r="H18" s="52"/>
    </row>
    <row r="19" spans="1:8" ht="15">
      <c r="A19" s="55" t="s">
        <v>41</v>
      </c>
      <c r="B19" s="56">
        <v>157</v>
      </c>
      <c r="C19" s="52"/>
      <c r="D19" s="52"/>
      <c r="E19" s="52"/>
      <c r="F19" s="58"/>
      <c r="G19" s="59"/>
      <c r="H19" s="52"/>
    </row>
    <row r="20" spans="1:8" ht="15">
      <c r="A20" s="55" t="s">
        <v>42</v>
      </c>
      <c r="B20" s="56">
        <v>37</v>
      </c>
      <c r="C20" s="52" t="s">
        <v>43</v>
      </c>
      <c r="D20" s="52"/>
      <c r="E20" s="52"/>
      <c r="F20" s="58"/>
      <c r="G20" s="59"/>
      <c r="H20" s="52"/>
    </row>
    <row r="21" spans="1:8" ht="15">
      <c r="A21" s="55" t="s">
        <v>44</v>
      </c>
      <c r="B21" s="56">
        <v>47</v>
      </c>
      <c r="C21" s="52"/>
      <c r="D21" s="52"/>
      <c r="E21" s="52"/>
      <c r="F21" s="52"/>
      <c r="G21" s="52"/>
      <c r="H21" s="52"/>
    </row>
    <row r="22" spans="1:8" ht="15">
      <c r="A22" s="55" t="s">
        <v>45</v>
      </c>
      <c r="B22" s="56">
        <v>68</v>
      </c>
      <c r="C22" s="52"/>
      <c r="D22" s="52"/>
      <c r="E22" s="52"/>
      <c r="F22" s="52"/>
      <c r="G22" s="52"/>
      <c r="H22" s="52"/>
    </row>
    <row r="23" spans="1:8" ht="15">
      <c r="A23" s="55" t="s">
        <v>46</v>
      </c>
      <c r="B23" s="56">
        <v>34</v>
      </c>
      <c r="C23" s="52"/>
      <c r="D23" s="52"/>
      <c r="E23" s="52"/>
      <c r="F23" s="52"/>
      <c r="G23" s="52"/>
      <c r="H23" s="52"/>
    </row>
    <row r="24" spans="1:8" ht="15">
      <c r="A24" s="55" t="s">
        <v>47</v>
      </c>
      <c r="B24" s="56">
        <v>34</v>
      </c>
      <c r="C24" s="52"/>
      <c r="D24" s="52"/>
      <c r="E24" s="52"/>
      <c r="F24" s="52"/>
      <c r="G24" s="52"/>
      <c r="H24" s="52"/>
    </row>
    <row r="25" spans="1:8" ht="15">
      <c r="A25" s="53" t="s">
        <v>48</v>
      </c>
      <c r="B25" s="56"/>
      <c r="C25" s="52"/>
      <c r="D25" s="52"/>
      <c r="E25" s="52"/>
      <c r="F25" s="52"/>
      <c r="G25" s="52"/>
      <c r="H25" s="52"/>
    </row>
    <row r="26" spans="1:8" ht="15">
      <c r="A26" s="55" t="s">
        <v>49</v>
      </c>
      <c r="B26" s="56">
        <v>29</v>
      </c>
      <c r="C26" s="52"/>
      <c r="D26" s="52"/>
      <c r="E26" s="52"/>
      <c r="F26" s="52"/>
      <c r="G26" s="52"/>
      <c r="H26" s="52"/>
    </row>
    <row r="27" spans="1:8" ht="15">
      <c r="A27" s="55" t="s">
        <v>50</v>
      </c>
      <c r="B27" s="56">
        <v>175</v>
      </c>
      <c r="C27" s="52"/>
      <c r="D27" s="52"/>
      <c r="E27" s="52"/>
      <c r="F27" s="52"/>
      <c r="G27" s="52"/>
      <c r="H27" s="52"/>
    </row>
    <row r="28" spans="1:8" ht="15">
      <c r="A28" s="55" t="s">
        <v>51</v>
      </c>
      <c r="B28" s="56">
        <v>250</v>
      </c>
      <c r="C28" s="52"/>
      <c r="D28" s="52"/>
      <c r="E28" s="52"/>
      <c r="F28" s="52"/>
      <c r="G28" s="52"/>
      <c r="H28" s="52"/>
    </row>
    <row r="29" spans="1:8" ht="15">
      <c r="A29" s="55" t="s">
        <v>52</v>
      </c>
      <c r="B29" s="56">
        <v>324</v>
      </c>
      <c r="C29" s="52"/>
      <c r="D29" s="52"/>
      <c r="E29" s="52"/>
      <c r="F29" s="52"/>
      <c r="G29" s="52"/>
      <c r="H29" s="52"/>
    </row>
    <row r="30" spans="1:8" ht="15">
      <c r="A30" s="55" t="s">
        <v>53</v>
      </c>
      <c r="B30" s="56">
        <v>473</v>
      </c>
      <c r="C30" s="52"/>
      <c r="D30" s="52"/>
      <c r="E30" s="52"/>
      <c r="F30" s="52"/>
      <c r="G30" s="52"/>
      <c r="H30" s="52"/>
    </row>
    <row r="31" spans="1:8" ht="15">
      <c r="A31" s="55" t="s">
        <v>54</v>
      </c>
      <c r="B31" s="56">
        <v>613</v>
      </c>
      <c r="C31" s="52"/>
      <c r="D31" s="52"/>
      <c r="E31" s="52"/>
      <c r="F31" s="52"/>
      <c r="G31" s="52"/>
      <c r="H31" s="52"/>
    </row>
    <row r="32" spans="1:8" ht="15">
      <c r="A32" s="55" t="s">
        <v>55</v>
      </c>
      <c r="B32" s="56">
        <v>840</v>
      </c>
      <c r="C32" s="52"/>
      <c r="D32" s="52"/>
      <c r="E32" s="52"/>
      <c r="F32" s="52"/>
      <c r="G32" s="52"/>
      <c r="H32" s="52"/>
    </row>
    <row r="33" spans="1:8" ht="15">
      <c r="A33" s="55" t="s">
        <v>56</v>
      </c>
      <c r="B33" s="56">
        <v>980</v>
      </c>
      <c r="C33" s="52"/>
      <c r="D33" s="52"/>
      <c r="E33" s="52"/>
      <c r="F33" s="52"/>
      <c r="G33" s="52"/>
      <c r="H33" s="52"/>
    </row>
    <row r="34" spans="1:8" ht="15">
      <c r="A34" s="55" t="s">
        <v>57</v>
      </c>
      <c r="B34" s="56">
        <v>482</v>
      </c>
      <c r="C34" s="52" t="s">
        <v>43</v>
      </c>
      <c r="D34" s="52"/>
      <c r="E34" s="52"/>
      <c r="F34" s="52"/>
      <c r="G34" s="52"/>
      <c r="H34" s="52"/>
    </row>
    <row r="35" spans="1:8" ht="15">
      <c r="A35" s="55" t="s">
        <v>58</v>
      </c>
      <c r="B35" s="56">
        <v>689</v>
      </c>
      <c r="C35" s="52" t="s">
        <v>43</v>
      </c>
      <c r="D35" s="52"/>
      <c r="E35" s="52"/>
      <c r="F35" s="52"/>
      <c r="G35" s="52"/>
      <c r="H35" s="52"/>
    </row>
    <row r="36" spans="1:8" ht="15">
      <c r="A36" s="55" t="s">
        <v>59</v>
      </c>
      <c r="B36" s="56">
        <v>892</v>
      </c>
      <c r="C36" s="52" t="s">
        <v>43</v>
      </c>
      <c r="D36" s="52"/>
      <c r="E36" s="52"/>
      <c r="F36" s="52"/>
      <c r="G36" s="52"/>
      <c r="H36" s="52"/>
    </row>
    <row r="37" spans="1:8" ht="15">
      <c r="A37" s="55" t="s">
        <v>60</v>
      </c>
      <c r="B37" s="56">
        <v>1301</v>
      </c>
      <c r="C37" s="52"/>
      <c r="D37" s="52"/>
      <c r="E37" s="52"/>
      <c r="F37" s="52"/>
      <c r="G37" s="52"/>
      <c r="H37" s="52"/>
    </row>
    <row r="38" spans="1:8" ht="15">
      <c r="A38" s="55" t="s">
        <v>61</v>
      </c>
      <c r="B38" s="56">
        <v>1686</v>
      </c>
      <c r="C38" s="52"/>
      <c r="D38" s="52"/>
      <c r="E38" s="52"/>
      <c r="F38" s="52"/>
      <c r="G38" s="52"/>
      <c r="H38" s="52"/>
    </row>
    <row r="39" spans="1:8" ht="15">
      <c r="A39" s="55" t="s">
        <v>62</v>
      </c>
      <c r="B39" s="56">
        <v>2046</v>
      </c>
      <c r="C39" s="52"/>
      <c r="D39" s="52"/>
      <c r="E39" s="52"/>
      <c r="F39" s="52"/>
      <c r="G39" s="52"/>
      <c r="H39" s="52"/>
    </row>
    <row r="40" spans="1:8" ht="15">
      <c r="A40" s="55" t="s">
        <v>63</v>
      </c>
      <c r="B40" s="56">
        <v>2310</v>
      </c>
      <c r="C40" s="52"/>
      <c r="D40" s="52"/>
      <c r="E40" s="52"/>
      <c r="F40" s="52"/>
      <c r="G40" s="52"/>
      <c r="H40" s="52"/>
    </row>
    <row r="41" spans="1:8" ht="15">
      <c r="A41" s="55" t="s">
        <v>64</v>
      </c>
      <c r="B41" s="56">
        <v>2800</v>
      </c>
      <c r="C41" s="52" t="s">
        <v>43</v>
      </c>
      <c r="D41" s="52"/>
      <c r="E41" s="52"/>
      <c r="F41" s="52"/>
      <c r="G41" s="52"/>
      <c r="H41" s="52"/>
    </row>
    <row r="42" spans="1:8" ht="15">
      <c r="A42" s="55" t="s">
        <v>65</v>
      </c>
      <c r="B42" s="56">
        <v>125</v>
      </c>
      <c r="C42" s="52"/>
      <c r="D42" s="52"/>
      <c r="E42" s="52"/>
      <c r="F42" s="52"/>
      <c r="G42" s="52"/>
      <c r="H42" s="52"/>
    </row>
    <row r="43" spans="1:8" ht="15">
      <c r="A43" s="47"/>
      <c r="B43" s="170" t="s">
        <v>66</v>
      </c>
      <c r="C43" s="170"/>
      <c r="D43" s="47"/>
      <c r="E43" s="47"/>
      <c r="F43" s="47"/>
      <c r="G43" s="47"/>
      <c r="H43" s="47"/>
    </row>
    <row r="44" spans="1:8" ht="15">
      <c r="A44" s="47"/>
      <c r="B44" s="47"/>
      <c r="C44" s="47"/>
      <c r="D44" s="47"/>
      <c r="E44" s="47"/>
      <c r="F44" s="47"/>
      <c r="G44" s="47"/>
      <c r="H44" s="47"/>
    </row>
    <row r="45" spans="1:8" ht="15">
      <c r="A45" s="47"/>
      <c r="B45" s="47"/>
      <c r="C45" s="47"/>
      <c r="D45" s="47"/>
      <c r="E45" s="47"/>
      <c r="F45" s="47"/>
      <c r="G45" s="47"/>
      <c r="H45" s="47"/>
    </row>
    <row r="46" spans="1:8" ht="15">
      <c r="A46" s="60" t="s">
        <v>67</v>
      </c>
      <c r="B46" s="61" t="s">
        <v>68</v>
      </c>
      <c r="C46" s="61" t="s">
        <v>69</v>
      </c>
      <c r="D46" s="47"/>
      <c r="E46" s="47"/>
      <c r="F46" s="171" t="s">
        <v>70</v>
      </c>
      <c r="G46" s="171"/>
      <c r="H46" s="47"/>
    </row>
    <row r="47" spans="1:8" ht="15">
      <c r="A47" s="62" t="s">
        <v>71</v>
      </c>
      <c r="B47" s="123">
        <v>109</v>
      </c>
      <c r="C47" s="124">
        <f>B47/2000</f>
        <v>0.0545</v>
      </c>
      <c r="D47" s="47"/>
      <c r="E47" s="47"/>
      <c r="F47" s="47" t="s">
        <v>72</v>
      </c>
      <c r="G47" s="143">
        <v>0.0175</v>
      </c>
      <c r="H47" s="47"/>
    </row>
    <row r="48" spans="1:8" ht="15">
      <c r="A48" s="62" t="s">
        <v>73</v>
      </c>
      <c r="B48" s="122">
        <v>147</v>
      </c>
      <c r="C48" s="125">
        <f>B48/2000</f>
        <v>0.0735</v>
      </c>
      <c r="D48" s="47"/>
      <c r="E48" s="47"/>
      <c r="F48" s="47" t="s">
        <v>74</v>
      </c>
      <c r="G48" s="144">
        <v>0.0051</v>
      </c>
      <c r="H48" s="47"/>
    </row>
    <row r="49" spans="1:8" ht="15">
      <c r="A49" s="55" t="s">
        <v>75</v>
      </c>
      <c r="B49" s="123">
        <f>B48-B47</f>
        <v>38</v>
      </c>
      <c r="C49" s="126">
        <f>C48-C47</f>
        <v>0.018999999999999996</v>
      </c>
      <c r="D49" s="47"/>
      <c r="E49" s="47"/>
      <c r="F49" s="47" t="s">
        <v>76</v>
      </c>
      <c r="G49" s="151">
        <v>0.00427</v>
      </c>
      <c r="H49" s="47"/>
    </row>
    <row r="50" spans="1:8" ht="15">
      <c r="A50" s="47"/>
      <c r="B50" s="47"/>
      <c r="C50" s="47"/>
      <c r="D50" s="47"/>
      <c r="E50" s="47"/>
      <c r="G50" s="149">
        <f>SUM(G47:G49)</f>
        <v>0.02687</v>
      </c>
      <c r="H50" s="47"/>
    </row>
    <row r="51" spans="1:8" ht="15">
      <c r="A51" s="47"/>
      <c r="C51" s="63" t="s">
        <v>77</v>
      </c>
      <c r="D51" s="47"/>
      <c r="E51" s="47"/>
      <c r="H51" s="47"/>
    </row>
    <row r="52" spans="1:8" ht="15">
      <c r="A52" s="47" t="s">
        <v>78</v>
      </c>
      <c r="C52" s="64">
        <f>B49</f>
        <v>38</v>
      </c>
      <c r="D52" s="47"/>
      <c r="E52" s="47"/>
      <c r="F52" s="47"/>
      <c r="G52" s="145"/>
      <c r="H52" s="47"/>
    </row>
    <row r="53" spans="1:8" ht="15">
      <c r="A53" s="47" t="s">
        <v>80</v>
      </c>
      <c r="C53" s="64">
        <f>C52/$G$57</f>
        <v>39.04925343993094</v>
      </c>
      <c r="D53" s="47"/>
      <c r="E53" s="47"/>
      <c r="F53" s="47" t="s">
        <v>3</v>
      </c>
      <c r="G53" s="146">
        <f>+G52+G50</f>
        <v>0.02687</v>
      </c>
      <c r="H53" s="47"/>
    </row>
    <row r="54" spans="1:8" ht="15">
      <c r="A54" s="47" t="s">
        <v>81</v>
      </c>
      <c r="C54" s="66">
        <f>'Calc. and priceout'!C54</f>
        <v>3806.75</v>
      </c>
      <c r="D54" s="47"/>
      <c r="E54" s="47"/>
      <c r="F54" s="47"/>
      <c r="G54" s="47"/>
      <c r="H54" s="47"/>
    </row>
    <row r="55" spans="1:8" ht="17.25">
      <c r="A55" s="53" t="s">
        <v>82</v>
      </c>
      <c r="C55" s="148">
        <f>C53*C54</f>
        <v>148650.7455324571</v>
      </c>
      <c r="D55" s="47"/>
      <c r="E55" s="47"/>
      <c r="F55" s="47"/>
      <c r="G55" s="65"/>
      <c r="H55" s="47"/>
    </row>
    <row r="56" spans="1:8" ht="15">
      <c r="A56" s="47"/>
      <c r="B56" s="47"/>
      <c r="C56" s="47"/>
      <c r="D56" s="47"/>
      <c r="E56" s="47"/>
      <c r="F56" s="47"/>
      <c r="G56" s="47"/>
      <c r="H56" s="47"/>
    </row>
    <row r="57" spans="1:7" ht="15">
      <c r="A57" s="47" t="s">
        <v>107</v>
      </c>
      <c r="C57" s="139">
        <f>+'Co. Pro Tonnage'!J14</f>
        <v>12414.726000000002</v>
      </c>
      <c r="F57" s="47" t="s">
        <v>79</v>
      </c>
      <c r="G57" s="65">
        <f>1-G53</f>
        <v>0.97313</v>
      </c>
    </row>
    <row r="58" spans="1:3" ht="17.25">
      <c r="A58" s="47"/>
      <c r="B58" s="150"/>
      <c r="C58" s="140"/>
    </row>
    <row r="59" spans="1:3" ht="17.25">
      <c r="A59" s="53"/>
      <c r="B59" s="139"/>
      <c r="C59" s="141">
        <f>+C57+C55</f>
        <v>161065.4715324571</v>
      </c>
    </row>
    <row r="60" spans="1:3" ht="17.25">
      <c r="A60" s="53"/>
      <c r="B60" s="138"/>
      <c r="C60" s="141"/>
    </row>
    <row r="61" spans="1:3" ht="17.25">
      <c r="A61" s="53"/>
      <c r="B61" s="140"/>
      <c r="C61" s="141"/>
    </row>
    <row r="62" spans="1:3" ht="17.25">
      <c r="A62" s="53"/>
      <c r="B62" s="152"/>
      <c r="C62" s="141"/>
    </row>
    <row r="64" spans="1:2" ht="48.75" customHeight="1">
      <c r="A64" s="172"/>
      <c r="B64" s="172"/>
    </row>
  </sheetData>
  <sheetProtection/>
  <mergeCells count="5">
    <mergeCell ref="A1:H1"/>
    <mergeCell ref="A11:B11"/>
    <mergeCell ref="B43:C43"/>
    <mergeCell ref="F46:G46"/>
    <mergeCell ref="A64:B64"/>
  </mergeCells>
  <printOptions/>
  <pageMargins left="0.7" right="0.7" top="0.75" bottom="0.75" header="0.3" footer="0.3"/>
  <pageSetup fitToHeight="1" fitToWidth="1" horizontalDpi="600" verticalDpi="600" orientation="portrait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5"/>
  <sheetViews>
    <sheetView tabSelected="1" zoomScale="80" zoomScaleNormal="80" zoomScalePageLayoutView="0" workbookViewId="0" topLeftCell="A1">
      <pane xSplit="3" ySplit="1" topLeftCell="M39" activePane="bottomRight" state="frozen"/>
      <selection pane="topLeft" activeCell="A1" sqref="A1"/>
      <selection pane="topRight" activeCell="D1" sqref="D1"/>
      <selection pane="bottomLeft" activeCell="A2" sqref="A2"/>
      <selection pane="bottomRight" activeCell="N25" sqref="N25"/>
    </sheetView>
  </sheetViews>
  <sheetFormatPr defaultColWidth="8.8515625" defaultRowHeight="15"/>
  <cols>
    <col min="1" max="1" width="4.57421875" style="71" customWidth="1"/>
    <col min="2" max="2" width="21.140625" style="90" customWidth="1"/>
    <col min="3" max="3" width="31.7109375" style="71" bestFit="1" customWidth="1"/>
    <col min="4" max="4" width="11.57421875" style="94" customWidth="1"/>
    <col min="5" max="5" width="18.421875" style="71" customWidth="1"/>
    <col min="6" max="6" width="13.28125" style="71" customWidth="1"/>
    <col min="7" max="7" width="14.57421875" style="71" customWidth="1"/>
    <col min="8" max="8" width="21.421875" style="71" customWidth="1"/>
    <col min="9" max="9" width="16.28125" style="89" customWidth="1"/>
    <col min="10" max="10" width="14.140625" style="71" customWidth="1"/>
    <col min="11" max="12" width="14.28125" style="71" customWidth="1"/>
    <col min="13" max="13" width="10.7109375" style="71" customWidth="1"/>
    <col min="14" max="16" width="16.28125" style="71" customWidth="1"/>
    <col min="17" max="17" width="16.57421875" style="71" customWidth="1"/>
    <col min="18" max="18" width="13.57421875" style="71" bestFit="1" customWidth="1"/>
    <col min="19" max="19" width="16.57421875" style="71" bestFit="1" customWidth="1"/>
    <col min="20" max="20" width="16.28125" style="71" customWidth="1"/>
    <col min="21" max="16384" width="8.8515625" style="71" customWidth="1"/>
  </cols>
  <sheetData>
    <row r="1" spans="1:20" s="167" customFormat="1" ht="42" customHeight="1">
      <c r="A1" s="60"/>
      <c r="B1" s="67" t="s">
        <v>83</v>
      </c>
      <c r="C1" s="68" t="s">
        <v>84</v>
      </c>
      <c r="D1" s="67" t="s">
        <v>143</v>
      </c>
      <c r="E1" s="67" t="s">
        <v>85</v>
      </c>
      <c r="F1" s="60" t="s">
        <v>86</v>
      </c>
      <c r="G1" s="67" t="s">
        <v>29</v>
      </c>
      <c r="H1" s="67" t="s">
        <v>87</v>
      </c>
      <c r="I1" s="70" t="s">
        <v>88</v>
      </c>
      <c r="J1" s="67" t="s">
        <v>75</v>
      </c>
      <c r="K1" s="67" t="s">
        <v>89</v>
      </c>
      <c r="L1" s="67" t="s">
        <v>91</v>
      </c>
      <c r="M1" s="67" t="s">
        <v>90</v>
      </c>
      <c r="N1" s="67" t="s">
        <v>106</v>
      </c>
      <c r="O1" s="67" t="s">
        <v>150</v>
      </c>
      <c r="P1" s="67" t="s">
        <v>106</v>
      </c>
      <c r="Q1" s="67" t="s">
        <v>92</v>
      </c>
      <c r="R1" s="67" t="s">
        <v>93</v>
      </c>
      <c r="S1" s="67" t="s">
        <v>94</v>
      </c>
      <c r="T1" s="67" t="s">
        <v>95</v>
      </c>
    </row>
    <row r="2" spans="1:20" ht="15">
      <c r="A2" s="163"/>
      <c r="B2" s="69"/>
      <c r="C2" s="164"/>
      <c r="D2" s="69"/>
      <c r="E2" s="69"/>
      <c r="F2" s="163"/>
      <c r="G2" s="69"/>
      <c r="H2" s="69"/>
      <c r="I2" s="165"/>
      <c r="J2" s="69"/>
      <c r="K2" s="69"/>
      <c r="L2" s="69"/>
      <c r="M2" s="69" t="s">
        <v>151</v>
      </c>
      <c r="N2" s="69" t="s">
        <v>152</v>
      </c>
      <c r="O2" s="166">
        <v>0.0025</v>
      </c>
      <c r="P2" s="69" t="s">
        <v>153</v>
      </c>
      <c r="Q2" s="69"/>
      <c r="R2" s="69"/>
      <c r="S2" s="69"/>
      <c r="T2" s="69"/>
    </row>
    <row r="3" spans="1:24" s="75" customFormat="1" ht="15">
      <c r="A3" s="173" t="s">
        <v>96</v>
      </c>
      <c r="B3" s="72">
        <v>24</v>
      </c>
      <c r="C3" s="155" t="s">
        <v>135</v>
      </c>
      <c r="D3" s="157">
        <v>63</v>
      </c>
      <c r="E3" s="77">
        <v>1</v>
      </c>
      <c r="F3" s="117">
        <f>+E3*D3*12</f>
        <v>756</v>
      </c>
      <c r="G3" s="131">
        <f>+References!B14</f>
        <v>34</v>
      </c>
      <c r="H3" s="97">
        <f>G3*F3</f>
        <v>25704</v>
      </c>
      <c r="I3" s="76">
        <f aca="true" t="shared" si="0" ref="I3:I23">$C$57*H3</f>
        <v>17217.28956266768</v>
      </c>
      <c r="J3" s="73">
        <f>(References!$C$49*I3)</f>
        <v>327.1285016906859</v>
      </c>
      <c r="K3" s="73">
        <f>J3/References!$G$57</f>
        <v>336.161151840644</v>
      </c>
      <c r="L3" s="27">
        <v>6.2</v>
      </c>
      <c r="M3" s="137">
        <f aca="true" t="shared" si="1" ref="M3:M23">ROUND(((K3/F3)*E3),2)</f>
        <v>0.44</v>
      </c>
      <c r="N3" s="73">
        <f aca="true" t="shared" si="2" ref="N3:N23">M3+L3</f>
        <v>6.640000000000001</v>
      </c>
      <c r="O3" s="121">
        <f>ROUND(+$O$2*N3,2)</f>
        <v>0.02</v>
      </c>
      <c r="P3" s="121">
        <f>+O3+N3</f>
        <v>6.66</v>
      </c>
      <c r="Q3" s="73">
        <f aca="true" t="shared" si="3" ref="Q3:Q23">D3*L3*12</f>
        <v>4687.200000000001</v>
      </c>
      <c r="R3" s="74">
        <f>+P3</f>
        <v>6.66</v>
      </c>
      <c r="S3" s="74">
        <f aca="true" t="shared" si="4" ref="S3:S23">D3*R3*12</f>
        <v>5034.96</v>
      </c>
      <c r="T3" s="74">
        <f>S3-Q3</f>
        <v>347.7599999999993</v>
      </c>
      <c r="W3" s="153">
        <f>+R3/L3-1</f>
        <v>0.0741935483870968</v>
      </c>
      <c r="X3" s="27"/>
    </row>
    <row r="4" spans="1:24" s="75" customFormat="1" ht="15">
      <c r="A4" s="173"/>
      <c r="B4" s="72">
        <v>24</v>
      </c>
      <c r="C4" s="155" t="s">
        <v>111</v>
      </c>
      <c r="D4" s="157">
        <v>263</v>
      </c>
      <c r="E4" s="77">
        <v>2.1666666666666665</v>
      </c>
      <c r="F4" s="154">
        <f aca="true" t="shared" si="5" ref="F4:F23">+E4*D4*12</f>
        <v>6837.999999999999</v>
      </c>
      <c r="G4" s="131">
        <v>34</v>
      </c>
      <c r="H4" s="154">
        <f aca="true" t="shared" si="6" ref="H4:H23">G4*F4</f>
        <v>232491.99999999997</v>
      </c>
      <c r="I4" s="76">
        <f t="shared" si="0"/>
        <v>155729.92861047827</v>
      </c>
      <c r="J4" s="121">
        <f>(References!$C$49*I4)</f>
        <v>2958.868643599086</v>
      </c>
      <c r="K4" s="121">
        <f>J4/References!$G$57</f>
        <v>3040.5687252464586</v>
      </c>
      <c r="L4" s="27">
        <v>13</v>
      </c>
      <c r="M4" s="137">
        <f t="shared" si="1"/>
        <v>0.96</v>
      </c>
      <c r="N4" s="121">
        <f t="shared" si="2"/>
        <v>13.96</v>
      </c>
      <c r="O4" s="121">
        <f aca="true" t="shared" si="7" ref="O4:O23">ROUND(+$O$2*N4,2)</f>
        <v>0.03</v>
      </c>
      <c r="P4" s="121">
        <f aca="true" t="shared" si="8" ref="P4:P23">+O4+N4</f>
        <v>13.99</v>
      </c>
      <c r="Q4" s="121">
        <f t="shared" si="3"/>
        <v>41028</v>
      </c>
      <c r="R4" s="74">
        <f aca="true" t="shared" si="9" ref="R4:R45">+P4</f>
        <v>13.99</v>
      </c>
      <c r="S4" s="74">
        <f t="shared" si="4"/>
        <v>44152.44</v>
      </c>
      <c r="T4" s="74">
        <f aca="true" t="shared" si="10" ref="T4:T23">S4-Q4</f>
        <v>3124.4400000000023</v>
      </c>
      <c r="W4" s="153">
        <f aca="true" t="shared" si="11" ref="W4:W45">+R4/L4-1</f>
        <v>0.07615384615384624</v>
      </c>
      <c r="X4" s="27"/>
    </row>
    <row r="5" spans="1:24" s="75" customFormat="1" ht="15">
      <c r="A5" s="173"/>
      <c r="B5" s="72">
        <v>24</v>
      </c>
      <c r="C5" s="155" t="s">
        <v>136</v>
      </c>
      <c r="D5" s="157">
        <v>42</v>
      </c>
      <c r="E5" s="77">
        <v>4.333</v>
      </c>
      <c r="F5" s="154">
        <f t="shared" si="5"/>
        <v>2183.8320000000003</v>
      </c>
      <c r="G5" s="131">
        <f>+References!B13</f>
        <v>20</v>
      </c>
      <c r="H5" s="154">
        <f t="shared" si="6"/>
        <v>43676.64000000001</v>
      </c>
      <c r="I5" s="76">
        <f t="shared" si="0"/>
        <v>29255.88850001532</v>
      </c>
      <c r="J5" s="121">
        <f>(References!$C$49*I5)</f>
        <v>555.861881500291</v>
      </c>
      <c r="K5" s="121">
        <f>J5/References!$G$57</f>
        <v>571.2103023237296</v>
      </c>
      <c r="L5" s="27">
        <v>15.7</v>
      </c>
      <c r="M5" s="137">
        <f t="shared" si="1"/>
        <v>1.13</v>
      </c>
      <c r="N5" s="121">
        <f t="shared" si="2"/>
        <v>16.83</v>
      </c>
      <c r="O5" s="121">
        <f t="shared" si="7"/>
        <v>0.04</v>
      </c>
      <c r="P5" s="121">
        <f t="shared" si="8"/>
        <v>16.869999999999997</v>
      </c>
      <c r="Q5" s="121">
        <f t="shared" si="3"/>
        <v>7912.799999999999</v>
      </c>
      <c r="R5" s="74">
        <f t="shared" si="9"/>
        <v>16.869999999999997</v>
      </c>
      <c r="S5" s="74">
        <f t="shared" si="4"/>
        <v>8502.479999999998</v>
      </c>
      <c r="T5" s="74">
        <f t="shared" si="10"/>
        <v>589.6799999999985</v>
      </c>
      <c r="W5" s="153">
        <f t="shared" si="11"/>
        <v>0.07452229299363045</v>
      </c>
      <c r="X5" s="27"/>
    </row>
    <row r="6" spans="1:24" s="75" customFormat="1" ht="15">
      <c r="A6" s="173"/>
      <c r="B6" s="72">
        <v>24</v>
      </c>
      <c r="C6" s="155" t="s">
        <v>112</v>
      </c>
      <c r="D6" s="157">
        <v>961</v>
      </c>
      <c r="E6" s="77">
        <v>4.333</v>
      </c>
      <c r="F6" s="154">
        <f t="shared" si="5"/>
        <v>49968.156</v>
      </c>
      <c r="G6" s="131">
        <f>+G4</f>
        <v>34</v>
      </c>
      <c r="H6" s="154">
        <f t="shared" si="6"/>
        <v>1698917.304</v>
      </c>
      <c r="I6" s="76">
        <f t="shared" si="0"/>
        <v>1137984.4057732148</v>
      </c>
      <c r="J6" s="121">
        <f>(References!$C$49*I6)</f>
        <v>21621.703709691075</v>
      </c>
      <c r="K6" s="121">
        <f>J6/References!$G$57</f>
        <v>22218.72073586373</v>
      </c>
      <c r="L6" s="27">
        <v>18.8</v>
      </c>
      <c r="M6" s="137">
        <f t="shared" si="1"/>
        <v>1.93</v>
      </c>
      <c r="N6" s="121">
        <f t="shared" si="2"/>
        <v>20.73</v>
      </c>
      <c r="O6" s="121">
        <f t="shared" si="7"/>
        <v>0.05</v>
      </c>
      <c r="P6" s="121">
        <f t="shared" si="8"/>
        <v>20.78</v>
      </c>
      <c r="Q6" s="121">
        <f t="shared" si="3"/>
        <v>216801.59999999998</v>
      </c>
      <c r="R6" s="74">
        <f t="shared" si="9"/>
        <v>20.78</v>
      </c>
      <c r="S6" s="74">
        <f t="shared" si="4"/>
        <v>239634.96000000002</v>
      </c>
      <c r="T6" s="74">
        <f t="shared" si="10"/>
        <v>22833.360000000044</v>
      </c>
      <c r="W6" s="153">
        <f t="shared" si="11"/>
        <v>0.10531914893617023</v>
      </c>
      <c r="X6" s="27"/>
    </row>
    <row r="7" spans="1:24" s="75" customFormat="1" ht="15">
      <c r="A7" s="173"/>
      <c r="B7" s="72">
        <v>24</v>
      </c>
      <c r="C7" s="155" t="s">
        <v>113</v>
      </c>
      <c r="D7" s="157">
        <v>298</v>
      </c>
      <c r="E7" s="77">
        <v>4.333</v>
      </c>
      <c r="F7" s="154">
        <f t="shared" si="5"/>
        <v>15494.808</v>
      </c>
      <c r="G7" s="131">
        <f>+References!B15</f>
        <v>51</v>
      </c>
      <c r="H7" s="154">
        <f t="shared" si="6"/>
        <v>790235.2080000001</v>
      </c>
      <c r="I7" s="76">
        <f t="shared" si="0"/>
        <v>529322.6112181343</v>
      </c>
      <c r="J7" s="121">
        <f>(References!$C$49*I7)</f>
        <v>10057.129613144549</v>
      </c>
      <c r="K7" s="121">
        <f>J7/References!$G$57</f>
        <v>10334.826398471478</v>
      </c>
      <c r="L7" s="27">
        <v>29.1</v>
      </c>
      <c r="M7" s="137">
        <f t="shared" si="1"/>
        <v>2.89</v>
      </c>
      <c r="N7" s="121">
        <f t="shared" si="2"/>
        <v>31.990000000000002</v>
      </c>
      <c r="O7" s="121">
        <f t="shared" si="7"/>
        <v>0.08</v>
      </c>
      <c r="P7" s="121">
        <f t="shared" si="8"/>
        <v>32.07</v>
      </c>
      <c r="Q7" s="121">
        <f t="shared" si="3"/>
        <v>104061.6</v>
      </c>
      <c r="R7" s="74">
        <f t="shared" si="9"/>
        <v>32.07</v>
      </c>
      <c r="S7" s="74">
        <f t="shared" si="4"/>
        <v>114682.32</v>
      </c>
      <c r="T7" s="74">
        <f t="shared" si="10"/>
        <v>10620.720000000001</v>
      </c>
      <c r="W7" s="153">
        <f t="shared" si="11"/>
        <v>0.10206185567010295</v>
      </c>
      <c r="X7" s="27"/>
    </row>
    <row r="8" spans="1:24" s="75" customFormat="1" ht="15">
      <c r="A8" s="173"/>
      <c r="B8" s="72">
        <v>24</v>
      </c>
      <c r="C8" s="155" t="s">
        <v>114</v>
      </c>
      <c r="D8" s="157">
        <v>18</v>
      </c>
      <c r="E8" s="77">
        <v>4.333</v>
      </c>
      <c r="F8" s="154">
        <f t="shared" si="5"/>
        <v>935.928</v>
      </c>
      <c r="G8" s="131">
        <f>+References!B16</f>
        <v>77</v>
      </c>
      <c r="H8" s="154">
        <f t="shared" si="6"/>
        <v>72066.456</v>
      </c>
      <c r="I8" s="76">
        <f t="shared" si="0"/>
        <v>48272.21602502527</v>
      </c>
      <c r="J8" s="121">
        <f>(References!$C$49*I8)</f>
        <v>917.17210447548</v>
      </c>
      <c r="K8" s="121">
        <f>J8/References!$G$57</f>
        <v>942.4969988341536</v>
      </c>
      <c r="L8" s="27">
        <v>39.4</v>
      </c>
      <c r="M8" s="137">
        <f t="shared" si="1"/>
        <v>4.36</v>
      </c>
      <c r="N8" s="121">
        <f t="shared" si="2"/>
        <v>43.76</v>
      </c>
      <c r="O8" s="121">
        <f t="shared" si="7"/>
        <v>0.11</v>
      </c>
      <c r="P8" s="121">
        <f t="shared" si="8"/>
        <v>43.87</v>
      </c>
      <c r="Q8" s="121">
        <f t="shared" si="3"/>
        <v>8510.4</v>
      </c>
      <c r="R8" s="74">
        <f t="shared" si="9"/>
        <v>43.87</v>
      </c>
      <c r="S8" s="74">
        <f t="shared" si="4"/>
        <v>9475.92</v>
      </c>
      <c r="T8" s="74">
        <f t="shared" si="10"/>
        <v>965.5200000000004</v>
      </c>
      <c r="W8" s="153">
        <f t="shared" si="11"/>
        <v>0.11345177664974626</v>
      </c>
      <c r="X8" s="27"/>
    </row>
    <row r="9" spans="1:24" s="75" customFormat="1" ht="15">
      <c r="A9" s="173"/>
      <c r="B9" s="72">
        <v>24</v>
      </c>
      <c r="C9" s="155" t="s">
        <v>137</v>
      </c>
      <c r="D9" s="157">
        <v>4</v>
      </c>
      <c r="E9" s="77">
        <v>4.333</v>
      </c>
      <c r="F9" s="154">
        <f t="shared" si="5"/>
        <v>207.984</v>
      </c>
      <c r="G9" s="131">
        <f>+References!B17</f>
        <v>97</v>
      </c>
      <c r="H9" s="154">
        <f t="shared" si="6"/>
        <v>20174.448</v>
      </c>
      <c r="I9" s="76">
        <f t="shared" si="0"/>
        <v>13513.434211911836</v>
      </c>
      <c r="J9" s="121">
        <f>(References!$C$49*I9)</f>
        <v>256.7552500263248</v>
      </c>
      <c r="K9" s="121">
        <f>J9/References!$G$57</f>
        <v>263.8447586923893</v>
      </c>
      <c r="L9" s="27">
        <v>49.6</v>
      </c>
      <c r="M9" s="137">
        <f t="shared" si="1"/>
        <v>5.5</v>
      </c>
      <c r="N9" s="121">
        <f t="shared" si="2"/>
        <v>55.1</v>
      </c>
      <c r="O9" s="121">
        <f t="shared" si="7"/>
        <v>0.14</v>
      </c>
      <c r="P9" s="121">
        <f t="shared" si="8"/>
        <v>55.24</v>
      </c>
      <c r="Q9" s="121">
        <f t="shared" si="3"/>
        <v>2380.8</v>
      </c>
      <c r="R9" s="74">
        <f t="shared" si="9"/>
        <v>55.24</v>
      </c>
      <c r="S9" s="74">
        <f t="shared" si="4"/>
        <v>2651.52</v>
      </c>
      <c r="T9" s="74">
        <f t="shared" si="10"/>
        <v>270.7199999999998</v>
      </c>
      <c r="W9" s="153">
        <f t="shared" si="11"/>
        <v>0.1137096774193549</v>
      </c>
      <c r="X9" s="27"/>
    </row>
    <row r="10" spans="1:24" s="75" customFormat="1" ht="15">
      <c r="A10" s="173"/>
      <c r="B10" s="72">
        <v>24</v>
      </c>
      <c r="C10" s="155" t="s">
        <v>154</v>
      </c>
      <c r="D10" s="157">
        <v>1</v>
      </c>
      <c r="E10" s="77">
        <v>4.333</v>
      </c>
      <c r="F10" s="154">
        <f>+E10*D10*12</f>
        <v>51.996</v>
      </c>
      <c r="G10" s="131">
        <f>+References!B18</f>
        <v>117</v>
      </c>
      <c r="H10" s="154">
        <f>G10*F10</f>
        <v>6083.532</v>
      </c>
      <c r="I10" s="76">
        <f>$C$57*H10</f>
        <v>4074.9273267878475</v>
      </c>
      <c r="J10" s="121">
        <f>(References!$C$49*I10)</f>
        <v>77.42361920896909</v>
      </c>
      <c r="K10" s="121">
        <f>J10/References!$G$57</f>
        <v>79.56143496651946</v>
      </c>
      <c r="L10" s="27">
        <v>59.9</v>
      </c>
      <c r="M10" s="137">
        <f>ROUND(((K10/F10)*E10),2)</f>
        <v>6.63</v>
      </c>
      <c r="N10" s="121">
        <f>M10+L10</f>
        <v>66.53</v>
      </c>
      <c r="O10" s="121">
        <f>ROUND(+$O$2*N10,2)</f>
        <v>0.17</v>
      </c>
      <c r="P10" s="121">
        <f>+O10+N10</f>
        <v>66.7</v>
      </c>
      <c r="Q10" s="121">
        <f>D10*L10*12</f>
        <v>718.8</v>
      </c>
      <c r="R10" s="74">
        <f>+P10</f>
        <v>66.7</v>
      </c>
      <c r="S10" s="74">
        <f>D10*R10*12</f>
        <v>800.4000000000001</v>
      </c>
      <c r="T10" s="74">
        <f>S10-Q10</f>
        <v>81.60000000000014</v>
      </c>
      <c r="W10" s="153">
        <f t="shared" si="11"/>
        <v>0.11352253756260433</v>
      </c>
      <c r="X10" s="27"/>
    </row>
    <row r="11" spans="1:24" s="75" customFormat="1" ht="15">
      <c r="A11" s="173"/>
      <c r="B11" s="72">
        <v>24</v>
      </c>
      <c r="C11" s="155" t="s">
        <v>155</v>
      </c>
      <c r="D11" s="157">
        <v>1</v>
      </c>
      <c r="E11" s="77">
        <v>4.333</v>
      </c>
      <c r="F11" s="154">
        <f>+E11*D11*12</f>
        <v>51.996</v>
      </c>
      <c r="G11" s="131">
        <f>+References!B19</f>
        <v>157</v>
      </c>
      <c r="H11" s="154">
        <f>G11*F11</f>
        <v>8163.372</v>
      </c>
      <c r="I11" s="76">
        <f>$C$57*H11</f>
        <v>5468.064874407624</v>
      </c>
      <c r="J11" s="121">
        <f>(References!$C$49*I11)</f>
        <v>103.89323261374484</v>
      </c>
      <c r="K11" s="121">
        <f>J11/References!$G$57</f>
        <v>106.76192555336372</v>
      </c>
      <c r="L11" s="27">
        <v>69.9</v>
      </c>
      <c r="M11" s="137">
        <f>ROUND(((K11/F11)*E11),2)</f>
        <v>8.9</v>
      </c>
      <c r="N11" s="121">
        <f>M11+L11</f>
        <v>78.80000000000001</v>
      </c>
      <c r="O11" s="121">
        <f>ROUND(+$O$2*N11,2)</f>
        <v>0.2</v>
      </c>
      <c r="P11" s="121">
        <f>+O11+N11</f>
        <v>79.00000000000001</v>
      </c>
      <c r="Q11" s="121">
        <f>D11*L11*12</f>
        <v>838.8000000000001</v>
      </c>
      <c r="R11" s="74">
        <f>+P11</f>
        <v>79.00000000000001</v>
      </c>
      <c r="S11" s="74">
        <f>D11*R11*12</f>
        <v>948.0000000000002</v>
      </c>
      <c r="T11" s="74">
        <f>S11-Q11</f>
        <v>109.20000000000016</v>
      </c>
      <c r="W11" s="153">
        <f t="shared" si="11"/>
        <v>0.1301859799713878</v>
      </c>
      <c r="X11" s="27"/>
    </row>
    <row r="12" spans="1:24" s="75" customFormat="1" ht="15">
      <c r="A12" s="173"/>
      <c r="B12" s="72">
        <v>24</v>
      </c>
      <c r="C12" s="155" t="s">
        <v>148</v>
      </c>
      <c r="D12" s="157">
        <v>3</v>
      </c>
      <c r="E12" s="77">
        <v>1</v>
      </c>
      <c r="F12" s="154">
        <f t="shared" si="5"/>
        <v>36</v>
      </c>
      <c r="G12" s="131">
        <v>20</v>
      </c>
      <c r="H12" s="154">
        <f t="shared" si="6"/>
        <v>720</v>
      </c>
      <c r="I12" s="76">
        <f t="shared" si="0"/>
        <v>482.27701856211985</v>
      </c>
      <c r="J12" s="121">
        <f>(References!$C$49*I12)</f>
        <v>9.163263352680275</v>
      </c>
      <c r="K12" s="121">
        <f>J12/References!$G$57</f>
        <v>9.416278763043247</v>
      </c>
      <c r="L12" s="27">
        <v>6.2</v>
      </c>
      <c r="M12" s="137">
        <f t="shared" si="1"/>
        <v>0.26</v>
      </c>
      <c r="N12" s="121">
        <f t="shared" si="2"/>
        <v>6.46</v>
      </c>
      <c r="O12" s="121">
        <f t="shared" si="7"/>
        <v>0.02</v>
      </c>
      <c r="P12" s="121">
        <f t="shared" si="8"/>
        <v>6.4799999999999995</v>
      </c>
      <c r="Q12" s="121">
        <f t="shared" si="3"/>
        <v>223.20000000000002</v>
      </c>
      <c r="R12" s="74">
        <f t="shared" si="9"/>
        <v>6.4799999999999995</v>
      </c>
      <c r="S12" s="74">
        <f t="shared" si="4"/>
        <v>233.27999999999997</v>
      </c>
      <c r="T12" s="74">
        <f t="shared" si="10"/>
        <v>10.079999999999956</v>
      </c>
      <c r="W12" s="153">
        <f t="shared" si="11"/>
        <v>0.04516129032258065</v>
      </c>
      <c r="X12" s="27"/>
    </row>
    <row r="13" spans="1:24" s="75" customFormat="1" ht="15">
      <c r="A13" s="173"/>
      <c r="B13" s="72">
        <v>24</v>
      </c>
      <c r="C13" s="155" t="s">
        <v>138</v>
      </c>
      <c r="D13" s="157">
        <v>322</v>
      </c>
      <c r="E13" s="77">
        <v>4.333</v>
      </c>
      <c r="F13" s="154">
        <f t="shared" si="5"/>
        <v>16742.712</v>
      </c>
      <c r="G13" s="131">
        <f>+G5</f>
        <v>20</v>
      </c>
      <c r="H13" s="154">
        <f t="shared" si="6"/>
        <v>334854.24</v>
      </c>
      <c r="I13" s="76">
        <f t="shared" si="0"/>
        <v>224295.1451667841</v>
      </c>
      <c r="J13" s="121">
        <f>(References!$C$49*I13)</f>
        <v>4261.607758168897</v>
      </c>
      <c r="K13" s="121">
        <f>J13/References!$G$57</f>
        <v>4379.278984481926</v>
      </c>
      <c r="L13" s="27">
        <v>17.3</v>
      </c>
      <c r="M13" s="137">
        <f t="shared" si="1"/>
        <v>1.13</v>
      </c>
      <c r="N13" s="121">
        <f t="shared" si="2"/>
        <v>18.43</v>
      </c>
      <c r="O13" s="121">
        <f t="shared" si="7"/>
        <v>0.05</v>
      </c>
      <c r="P13" s="121">
        <f t="shared" si="8"/>
        <v>18.48</v>
      </c>
      <c r="Q13" s="121">
        <f t="shared" si="3"/>
        <v>66847.20000000001</v>
      </c>
      <c r="R13" s="74">
        <f t="shared" si="9"/>
        <v>18.48</v>
      </c>
      <c r="S13" s="74">
        <f t="shared" si="4"/>
        <v>71406.72</v>
      </c>
      <c r="T13" s="74">
        <f t="shared" si="10"/>
        <v>4559.5199999999895</v>
      </c>
      <c r="W13" s="153">
        <f t="shared" si="11"/>
        <v>0.06820809248554904</v>
      </c>
      <c r="X13" s="27"/>
    </row>
    <row r="14" spans="1:24" s="75" customFormat="1" ht="15">
      <c r="A14" s="173"/>
      <c r="B14" s="72">
        <v>24</v>
      </c>
      <c r="C14" s="155" t="s">
        <v>139</v>
      </c>
      <c r="D14" s="157">
        <v>13</v>
      </c>
      <c r="E14" s="77">
        <v>1</v>
      </c>
      <c r="F14" s="154">
        <f t="shared" si="5"/>
        <v>156</v>
      </c>
      <c r="G14" s="131">
        <f>+References!B20</f>
        <v>37</v>
      </c>
      <c r="H14" s="154">
        <f t="shared" si="6"/>
        <v>5772</v>
      </c>
      <c r="I14" s="76">
        <f t="shared" si="0"/>
        <v>3866.2540988063274</v>
      </c>
      <c r="J14" s="121">
        <f>(References!$C$49*I14)</f>
        <v>73.4588278773202</v>
      </c>
      <c r="K14" s="121">
        <f>J14/References!$G$57</f>
        <v>75.48716808373003</v>
      </c>
      <c r="L14" s="27">
        <v>7.4</v>
      </c>
      <c r="M14" s="137">
        <f t="shared" si="1"/>
        <v>0.48</v>
      </c>
      <c r="N14" s="121">
        <f t="shared" si="2"/>
        <v>7.880000000000001</v>
      </c>
      <c r="O14" s="121">
        <f t="shared" si="7"/>
        <v>0.02</v>
      </c>
      <c r="P14" s="121">
        <f t="shared" si="8"/>
        <v>7.9</v>
      </c>
      <c r="Q14" s="121">
        <f t="shared" si="3"/>
        <v>1154.4</v>
      </c>
      <c r="R14" s="74">
        <f t="shared" si="9"/>
        <v>7.9</v>
      </c>
      <c r="S14" s="74">
        <f t="shared" si="4"/>
        <v>1232.4</v>
      </c>
      <c r="T14" s="74">
        <f t="shared" si="10"/>
        <v>78</v>
      </c>
      <c r="W14" s="153">
        <f t="shared" si="11"/>
        <v>0.06756756756756754</v>
      </c>
      <c r="X14" s="27"/>
    </row>
    <row r="15" spans="1:24" s="75" customFormat="1" ht="15">
      <c r="A15" s="173"/>
      <c r="B15" s="72">
        <v>24</v>
      </c>
      <c r="C15" s="155" t="s">
        <v>140</v>
      </c>
      <c r="D15" s="157">
        <v>65</v>
      </c>
      <c r="E15" s="77">
        <v>1</v>
      </c>
      <c r="F15" s="154">
        <f t="shared" si="5"/>
        <v>780</v>
      </c>
      <c r="G15" s="131">
        <f>+G14</f>
        <v>37</v>
      </c>
      <c r="H15" s="154">
        <f t="shared" si="6"/>
        <v>28860</v>
      </c>
      <c r="I15" s="76">
        <f t="shared" si="0"/>
        <v>19331.270494031636</v>
      </c>
      <c r="J15" s="121">
        <f>(References!$C$49*I15)</f>
        <v>367.294139386601</v>
      </c>
      <c r="K15" s="121">
        <f>J15/References!$G$57</f>
        <v>377.4358404186501</v>
      </c>
      <c r="L15" s="27">
        <v>7.4</v>
      </c>
      <c r="M15" s="137">
        <f t="shared" si="1"/>
        <v>0.48</v>
      </c>
      <c r="N15" s="121">
        <f t="shared" si="2"/>
        <v>7.880000000000001</v>
      </c>
      <c r="O15" s="121">
        <f t="shared" si="7"/>
        <v>0.02</v>
      </c>
      <c r="P15" s="121">
        <f t="shared" si="8"/>
        <v>7.9</v>
      </c>
      <c r="Q15" s="121">
        <f t="shared" si="3"/>
        <v>5772</v>
      </c>
      <c r="R15" s="74">
        <f t="shared" si="9"/>
        <v>7.9</v>
      </c>
      <c r="S15" s="74">
        <f t="shared" si="4"/>
        <v>6162</v>
      </c>
      <c r="T15" s="74">
        <f t="shared" si="10"/>
        <v>390</v>
      </c>
      <c r="W15" s="153">
        <f t="shared" si="11"/>
        <v>0.06756756756756754</v>
      </c>
      <c r="X15" s="27"/>
    </row>
    <row r="16" spans="1:24" s="75" customFormat="1" ht="15">
      <c r="A16" s="173"/>
      <c r="B16" s="72">
        <v>24</v>
      </c>
      <c r="C16" s="155" t="s">
        <v>141</v>
      </c>
      <c r="D16" s="157">
        <v>45</v>
      </c>
      <c r="E16" s="77">
        <v>2.1667</v>
      </c>
      <c r="F16" s="154">
        <f t="shared" si="5"/>
        <v>1170.018</v>
      </c>
      <c r="G16" s="131">
        <f>+G15</f>
        <v>37</v>
      </c>
      <c r="H16" s="154">
        <f t="shared" si="6"/>
        <v>43290.666</v>
      </c>
      <c r="I16" s="76">
        <f t="shared" si="0"/>
        <v>28997.351847289625</v>
      </c>
      <c r="J16" s="121">
        <f>(References!$C$49*I16)</f>
        <v>550.9496850985028</v>
      </c>
      <c r="K16" s="121">
        <f>J16/References!$G$57</f>
        <v>566.162470685831</v>
      </c>
      <c r="L16" s="27">
        <v>14.2</v>
      </c>
      <c r="M16" s="137">
        <f t="shared" si="1"/>
        <v>1.05</v>
      </c>
      <c r="N16" s="121">
        <f t="shared" si="2"/>
        <v>15.25</v>
      </c>
      <c r="O16" s="121">
        <f t="shared" si="7"/>
        <v>0.04</v>
      </c>
      <c r="P16" s="121">
        <f t="shared" si="8"/>
        <v>15.29</v>
      </c>
      <c r="Q16" s="121">
        <f t="shared" si="3"/>
        <v>7668</v>
      </c>
      <c r="R16" s="74">
        <f t="shared" si="9"/>
        <v>15.29</v>
      </c>
      <c r="S16" s="74">
        <f t="shared" si="4"/>
        <v>8256.599999999999</v>
      </c>
      <c r="T16" s="74">
        <f t="shared" si="10"/>
        <v>588.5999999999985</v>
      </c>
      <c r="W16" s="153">
        <f t="shared" si="11"/>
        <v>0.0767605633802817</v>
      </c>
      <c r="X16" s="27"/>
    </row>
    <row r="17" spans="1:24" s="75" customFormat="1" ht="15">
      <c r="A17" s="173"/>
      <c r="B17" s="72">
        <v>24</v>
      </c>
      <c r="C17" s="155" t="s">
        <v>142</v>
      </c>
      <c r="D17" s="157">
        <v>1689</v>
      </c>
      <c r="E17" s="77">
        <v>4.333</v>
      </c>
      <c r="F17" s="154">
        <f t="shared" si="5"/>
        <v>87821.244</v>
      </c>
      <c r="G17" s="131">
        <f>+G16</f>
        <v>37</v>
      </c>
      <c r="H17" s="154">
        <f t="shared" si="6"/>
        <v>3249386.0280000004</v>
      </c>
      <c r="I17" s="76">
        <f t="shared" si="0"/>
        <v>2176533.6190850683</v>
      </c>
      <c r="J17" s="121">
        <f>(References!$C$49*I17)</f>
        <v>41354.13876261629</v>
      </c>
      <c r="K17" s="121">
        <f>J17/References!$G$57</f>
        <v>42496.00645609147</v>
      </c>
      <c r="L17" s="27">
        <v>20.2</v>
      </c>
      <c r="M17" s="137">
        <f t="shared" si="1"/>
        <v>2.1</v>
      </c>
      <c r="N17" s="121">
        <f t="shared" si="2"/>
        <v>22.3</v>
      </c>
      <c r="O17" s="121">
        <f t="shared" si="7"/>
        <v>0.06</v>
      </c>
      <c r="P17" s="121">
        <f t="shared" si="8"/>
        <v>22.36</v>
      </c>
      <c r="Q17" s="121">
        <f t="shared" si="3"/>
        <v>409413.6</v>
      </c>
      <c r="R17" s="74">
        <f t="shared" si="9"/>
        <v>22.36</v>
      </c>
      <c r="S17" s="74">
        <f t="shared" si="4"/>
        <v>453192.48</v>
      </c>
      <c r="T17" s="74">
        <f t="shared" si="10"/>
        <v>43778.880000000005</v>
      </c>
      <c r="W17" s="153">
        <f t="shared" si="11"/>
        <v>0.10693069306930703</v>
      </c>
      <c r="X17" s="27"/>
    </row>
    <row r="18" spans="1:24" s="75" customFormat="1" ht="15">
      <c r="A18" s="173"/>
      <c r="B18" s="72">
        <v>24</v>
      </c>
      <c r="C18" s="155" t="s">
        <v>115</v>
      </c>
      <c r="D18" s="157">
        <v>24</v>
      </c>
      <c r="E18" s="77">
        <v>4.333</v>
      </c>
      <c r="F18" s="154">
        <f t="shared" si="5"/>
        <v>1247.904</v>
      </c>
      <c r="G18" s="131">
        <f>+G17</f>
        <v>37</v>
      </c>
      <c r="H18" s="154">
        <f t="shared" si="6"/>
        <v>46172.448</v>
      </c>
      <c r="I18" s="76">
        <f t="shared" si="0"/>
        <v>30927.653557159047</v>
      </c>
      <c r="J18" s="121">
        <f>(References!$C$49*I18)</f>
        <v>587.6254175860217</v>
      </c>
      <c r="K18" s="121">
        <f>J18/References!$G$57</f>
        <v>603.8508910279426</v>
      </c>
      <c r="L18" s="27">
        <f>+L17*2</f>
        <v>40.4</v>
      </c>
      <c r="M18" s="137">
        <f>+M17*2</f>
        <v>4.2</v>
      </c>
      <c r="N18" s="121">
        <f t="shared" si="2"/>
        <v>44.6</v>
      </c>
      <c r="O18" s="121">
        <f t="shared" si="7"/>
        <v>0.11</v>
      </c>
      <c r="P18" s="121">
        <f t="shared" si="8"/>
        <v>44.71</v>
      </c>
      <c r="Q18" s="121">
        <f t="shared" si="3"/>
        <v>11635.199999999999</v>
      </c>
      <c r="R18" s="74">
        <f t="shared" si="9"/>
        <v>44.71</v>
      </c>
      <c r="S18" s="74">
        <f t="shared" si="4"/>
        <v>12876.48</v>
      </c>
      <c r="T18" s="74">
        <f t="shared" si="10"/>
        <v>1241.2800000000007</v>
      </c>
      <c r="W18" s="153">
        <f t="shared" si="11"/>
        <v>0.10668316831683167</v>
      </c>
      <c r="X18" s="118"/>
    </row>
    <row r="19" spans="1:24" s="75" customFormat="1" ht="15">
      <c r="A19" s="173"/>
      <c r="B19" s="72">
        <v>24</v>
      </c>
      <c r="C19" s="155" t="s">
        <v>116</v>
      </c>
      <c r="D19" s="157">
        <v>771</v>
      </c>
      <c r="E19" s="77">
        <v>4.333</v>
      </c>
      <c r="F19" s="154">
        <f t="shared" si="5"/>
        <v>40088.916</v>
      </c>
      <c r="G19" s="131">
        <f>+References!B21</f>
        <v>47</v>
      </c>
      <c r="H19" s="154">
        <f t="shared" si="6"/>
        <v>1884179.052</v>
      </c>
      <c r="I19" s="76">
        <f t="shared" si="0"/>
        <v>1262078.1328274463</v>
      </c>
      <c r="J19" s="121">
        <f>(References!$C$49*I19)</f>
        <v>23979.484523721476</v>
      </c>
      <c r="K19" s="121">
        <f>J19/References!$G$57</f>
        <v>24641.604434886885</v>
      </c>
      <c r="L19" s="27">
        <v>30.4</v>
      </c>
      <c r="M19" s="137">
        <f t="shared" si="1"/>
        <v>2.66</v>
      </c>
      <c r="N19" s="121">
        <f t="shared" si="2"/>
        <v>33.06</v>
      </c>
      <c r="O19" s="121">
        <f t="shared" si="7"/>
        <v>0.08</v>
      </c>
      <c r="P19" s="121">
        <f t="shared" si="8"/>
        <v>33.14</v>
      </c>
      <c r="Q19" s="121">
        <f t="shared" si="3"/>
        <v>281260.8</v>
      </c>
      <c r="R19" s="74">
        <f t="shared" si="9"/>
        <v>33.14</v>
      </c>
      <c r="S19" s="74">
        <f t="shared" si="4"/>
        <v>306611.27999999997</v>
      </c>
      <c r="T19" s="74">
        <f t="shared" si="10"/>
        <v>25350.47999999998</v>
      </c>
      <c r="W19" s="153">
        <f t="shared" si="11"/>
        <v>0.09013157894736845</v>
      </c>
      <c r="X19" s="118"/>
    </row>
    <row r="20" spans="1:24" s="75" customFormat="1" ht="15">
      <c r="A20" s="173"/>
      <c r="B20" s="72">
        <v>24</v>
      </c>
      <c r="C20" s="155" t="s">
        <v>117</v>
      </c>
      <c r="D20" s="157">
        <v>12</v>
      </c>
      <c r="E20" s="77">
        <v>4.333</v>
      </c>
      <c r="F20" s="154">
        <f t="shared" si="5"/>
        <v>623.952</v>
      </c>
      <c r="G20" s="131">
        <f>+G19*2</f>
        <v>94</v>
      </c>
      <c r="H20" s="154">
        <f t="shared" si="6"/>
        <v>58651.488</v>
      </c>
      <c r="I20" s="76">
        <f t="shared" si="0"/>
        <v>39286.47884287771</v>
      </c>
      <c r="J20" s="121">
        <f>(References!$C$49*I20)</f>
        <v>746.4430980146764</v>
      </c>
      <c r="K20" s="121">
        <f>J20/References!$G$57</f>
        <v>767.0538345490082</v>
      </c>
      <c r="L20" s="27">
        <f>+L19*2</f>
        <v>60.8</v>
      </c>
      <c r="M20" s="137">
        <f>+M19*2</f>
        <v>5.32</v>
      </c>
      <c r="N20" s="121">
        <f t="shared" si="2"/>
        <v>66.12</v>
      </c>
      <c r="O20" s="121">
        <f t="shared" si="7"/>
        <v>0.17</v>
      </c>
      <c r="P20" s="121">
        <f t="shared" si="8"/>
        <v>66.29</v>
      </c>
      <c r="Q20" s="121">
        <f t="shared" si="3"/>
        <v>8755.199999999999</v>
      </c>
      <c r="R20" s="74">
        <f t="shared" si="9"/>
        <v>66.29</v>
      </c>
      <c r="S20" s="74">
        <f t="shared" si="4"/>
        <v>9545.76</v>
      </c>
      <c r="T20" s="74">
        <f t="shared" si="10"/>
        <v>790.5600000000013</v>
      </c>
      <c r="W20" s="153">
        <f t="shared" si="11"/>
        <v>0.09029605263157903</v>
      </c>
      <c r="X20" s="118"/>
    </row>
    <row r="21" spans="1:24" s="75" customFormat="1" ht="15">
      <c r="A21" s="173"/>
      <c r="B21" s="72">
        <v>24</v>
      </c>
      <c r="C21" s="155" t="s">
        <v>118</v>
      </c>
      <c r="D21" s="157">
        <v>238</v>
      </c>
      <c r="E21" s="77">
        <v>4.333</v>
      </c>
      <c r="F21" s="154">
        <f t="shared" si="5"/>
        <v>12375.048000000003</v>
      </c>
      <c r="G21" s="131">
        <f>+References!B22</f>
        <v>68</v>
      </c>
      <c r="H21" s="154">
        <f t="shared" si="6"/>
        <v>841503.2640000002</v>
      </c>
      <c r="I21" s="76">
        <f t="shared" si="0"/>
        <v>563663.4517669618</v>
      </c>
      <c r="J21" s="121">
        <f>(References!$C$49*I21)</f>
        <v>10709.605583572273</v>
      </c>
      <c r="K21" s="121">
        <f>J21/References!$G$57</f>
        <v>11005.318491437189</v>
      </c>
      <c r="L21" s="27">
        <v>40.7</v>
      </c>
      <c r="M21" s="137">
        <f t="shared" si="1"/>
        <v>3.85</v>
      </c>
      <c r="N21" s="121">
        <f t="shared" si="2"/>
        <v>44.550000000000004</v>
      </c>
      <c r="O21" s="121">
        <f t="shared" si="7"/>
        <v>0.11</v>
      </c>
      <c r="P21" s="121">
        <f t="shared" si="8"/>
        <v>44.660000000000004</v>
      </c>
      <c r="Q21" s="121">
        <f t="shared" si="3"/>
        <v>116239.20000000001</v>
      </c>
      <c r="R21" s="74">
        <f t="shared" si="9"/>
        <v>44.660000000000004</v>
      </c>
      <c r="S21" s="74">
        <f t="shared" si="4"/>
        <v>127548.96000000002</v>
      </c>
      <c r="T21" s="74">
        <f t="shared" si="10"/>
        <v>11309.76000000001</v>
      </c>
      <c r="W21" s="153">
        <f t="shared" si="11"/>
        <v>0.09729729729729741</v>
      </c>
      <c r="X21" s="118"/>
    </row>
    <row r="22" spans="1:24" s="75" customFormat="1" ht="15">
      <c r="A22" s="173"/>
      <c r="B22" s="72">
        <v>24</v>
      </c>
      <c r="C22" s="155" t="s">
        <v>119</v>
      </c>
      <c r="D22" s="157">
        <v>14</v>
      </c>
      <c r="E22" s="77">
        <v>4.333</v>
      </c>
      <c r="F22" s="154">
        <f t="shared" si="5"/>
        <v>727.9440000000001</v>
      </c>
      <c r="G22" s="131">
        <f>+G21*2</f>
        <v>136</v>
      </c>
      <c r="H22" s="154">
        <f t="shared" si="6"/>
        <v>99000.384</v>
      </c>
      <c r="I22" s="76">
        <f t="shared" si="0"/>
        <v>66313.34726670138</v>
      </c>
      <c r="J22" s="121">
        <f>(References!$C$49*I22)</f>
        <v>1259.953598067326</v>
      </c>
      <c r="K22" s="121">
        <f>J22/References!$G$57</f>
        <v>1294.743351933787</v>
      </c>
      <c r="L22" s="27">
        <f>+L21*2</f>
        <v>81.4</v>
      </c>
      <c r="M22" s="137">
        <f>+M21*2</f>
        <v>7.7</v>
      </c>
      <c r="N22" s="121">
        <f t="shared" si="2"/>
        <v>89.10000000000001</v>
      </c>
      <c r="O22" s="121">
        <f t="shared" si="7"/>
        <v>0.22</v>
      </c>
      <c r="P22" s="121">
        <f t="shared" si="8"/>
        <v>89.32000000000001</v>
      </c>
      <c r="Q22" s="121">
        <f t="shared" si="3"/>
        <v>13675.2</v>
      </c>
      <c r="R22" s="74">
        <f t="shared" si="9"/>
        <v>89.32000000000001</v>
      </c>
      <c r="S22" s="74">
        <f t="shared" si="4"/>
        <v>15005.76</v>
      </c>
      <c r="T22" s="74">
        <f t="shared" si="10"/>
        <v>1330.5599999999995</v>
      </c>
      <c r="W22" s="153">
        <f t="shared" si="11"/>
        <v>0.09729729729729741</v>
      </c>
      <c r="X22" s="118"/>
    </row>
    <row r="23" spans="1:24" s="75" customFormat="1" ht="15">
      <c r="A23" s="173"/>
      <c r="B23" s="72">
        <v>25</v>
      </c>
      <c r="C23" s="155" t="s">
        <v>47</v>
      </c>
      <c r="D23" s="158">
        <v>675</v>
      </c>
      <c r="E23" s="77">
        <v>1</v>
      </c>
      <c r="F23" s="154">
        <f t="shared" si="5"/>
        <v>8100</v>
      </c>
      <c r="G23" s="131">
        <f>+References!B24</f>
        <v>34</v>
      </c>
      <c r="H23" s="154">
        <f t="shared" si="6"/>
        <v>275400</v>
      </c>
      <c r="I23" s="76">
        <f t="shared" si="0"/>
        <v>184470.95960001086</v>
      </c>
      <c r="J23" s="121">
        <f>(References!$C$49*I23)</f>
        <v>3504.9482324002056</v>
      </c>
      <c r="K23" s="121">
        <f>J23/References!$G$57</f>
        <v>3601.7266268640424</v>
      </c>
      <c r="L23" s="27">
        <v>4.8</v>
      </c>
      <c r="M23" s="137">
        <f t="shared" si="1"/>
        <v>0.44</v>
      </c>
      <c r="N23" s="121">
        <f t="shared" si="2"/>
        <v>5.24</v>
      </c>
      <c r="O23" s="121">
        <f t="shared" si="7"/>
        <v>0.01</v>
      </c>
      <c r="P23" s="121">
        <f t="shared" si="8"/>
        <v>5.25</v>
      </c>
      <c r="Q23" s="121">
        <f t="shared" si="3"/>
        <v>38880</v>
      </c>
      <c r="R23" s="74">
        <f t="shared" si="9"/>
        <v>5.25</v>
      </c>
      <c r="S23" s="74">
        <f t="shared" si="4"/>
        <v>42525</v>
      </c>
      <c r="T23" s="74">
        <f t="shared" si="10"/>
        <v>3645</v>
      </c>
      <c r="W23" s="153">
        <f t="shared" si="11"/>
        <v>0.09375</v>
      </c>
      <c r="X23" s="118"/>
    </row>
    <row r="24" spans="1:24" s="75" customFormat="1" ht="15">
      <c r="A24" s="80"/>
      <c r="B24" s="81"/>
      <c r="C24" s="82" t="s">
        <v>3</v>
      </c>
      <c r="D24" s="83">
        <f>SUM(D3:D23)</f>
        <v>5522</v>
      </c>
      <c r="E24" s="84"/>
      <c r="F24" s="83">
        <f>SUM(F3:F23)</f>
        <v>246358.438</v>
      </c>
      <c r="G24" s="133"/>
      <c r="H24" s="85">
        <f>SUM(H3:H23)</f>
        <v>9765302.530000001</v>
      </c>
      <c r="I24" s="86">
        <f>SUM(I3:I23)</f>
        <v>6541084.707674343</v>
      </c>
      <c r="J24" s="87"/>
      <c r="K24" s="87"/>
      <c r="L24" s="87"/>
      <c r="M24" s="87"/>
      <c r="N24" s="87"/>
      <c r="O24" s="87"/>
      <c r="P24" s="87"/>
      <c r="Q24" s="88">
        <f>SUM(Q3:Q23)</f>
        <v>1348463.9999999998</v>
      </c>
      <c r="R24" s="88"/>
      <c r="S24" s="88">
        <f>SUM(S3:S23)</f>
        <v>1480479.72</v>
      </c>
      <c r="T24" s="88">
        <f>SUM(T3:T23)</f>
        <v>132015.72000000003</v>
      </c>
      <c r="W24" s="162">
        <f>+T24/Q24</f>
        <v>0.09790081159007585</v>
      </c>
      <c r="X24" s="118"/>
    </row>
    <row r="25" spans="1:24" s="75" customFormat="1" ht="15" customHeight="1">
      <c r="A25" s="174" t="s">
        <v>97</v>
      </c>
      <c r="B25" s="72">
        <v>36</v>
      </c>
      <c r="C25" s="155" t="s">
        <v>111</v>
      </c>
      <c r="D25" s="155">
        <v>1</v>
      </c>
      <c r="E25" s="155">
        <v>0.5</v>
      </c>
      <c r="F25" s="154">
        <f>+E25*D25*52</f>
        <v>26</v>
      </c>
      <c r="G25" s="132">
        <f>References!$B$26</f>
        <v>29</v>
      </c>
      <c r="H25" s="79">
        <f aca="true" t="shared" si="12" ref="H25:H43">F25*G25</f>
        <v>754</v>
      </c>
      <c r="I25" s="76">
        <f aca="true" t="shared" si="13" ref="I25:I45">$C$57*H25</f>
        <v>505.0512111053311</v>
      </c>
      <c r="J25" s="73">
        <f>References!$C$49*I25</f>
        <v>9.59597301100129</v>
      </c>
      <c r="K25" s="73">
        <f>J25/References!$G$57</f>
        <v>9.860936371298068</v>
      </c>
      <c r="L25" s="27">
        <v>4.2</v>
      </c>
      <c r="M25" s="121">
        <f aca="true" t="shared" si="14" ref="M25:M45">ROUND((K25/F25),2)</f>
        <v>0.38</v>
      </c>
      <c r="N25" s="73">
        <f aca="true" t="shared" si="15" ref="N25:N45">M25+L25</f>
        <v>4.58</v>
      </c>
      <c r="O25" s="121">
        <f>ROUND(+$O$2*N25,2)</f>
        <v>0.01</v>
      </c>
      <c r="P25" s="121">
        <f>+O25+N25</f>
        <v>4.59</v>
      </c>
      <c r="Q25" s="73">
        <f aca="true" t="shared" si="16" ref="Q25:Q45">F25*L25</f>
        <v>109.2</v>
      </c>
      <c r="R25" s="74">
        <f t="shared" si="9"/>
        <v>4.59</v>
      </c>
      <c r="S25" s="74">
        <f aca="true" t="shared" si="17" ref="S25:S45">F25*R25</f>
        <v>119.34</v>
      </c>
      <c r="T25" s="74">
        <f aca="true" t="shared" si="18" ref="T25:T39">S25-Q25</f>
        <v>10.14</v>
      </c>
      <c r="W25" s="153">
        <f t="shared" si="11"/>
        <v>0.09285714285714275</v>
      </c>
      <c r="X25" s="118"/>
    </row>
    <row r="26" spans="1:24" s="75" customFormat="1" ht="15">
      <c r="A26" s="173"/>
      <c r="B26" s="72">
        <v>36</v>
      </c>
      <c r="C26" s="155" t="s">
        <v>112</v>
      </c>
      <c r="D26" s="155">
        <v>4</v>
      </c>
      <c r="E26" s="155">
        <v>1</v>
      </c>
      <c r="F26" s="154">
        <f aca="true" t="shared" si="19" ref="F26:F43">+E26*D26*52</f>
        <v>208</v>
      </c>
      <c r="G26" s="132">
        <f>References!$B$26</f>
        <v>29</v>
      </c>
      <c r="H26" s="79">
        <f t="shared" si="12"/>
        <v>6032</v>
      </c>
      <c r="I26" s="76">
        <f t="shared" si="13"/>
        <v>4040.409688842649</v>
      </c>
      <c r="J26" s="73">
        <f>References!$C$49*I26</f>
        <v>76.76778408801032</v>
      </c>
      <c r="K26" s="121">
        <f>J26/References!$G$57</f>
        <v>78.88749097038455</v>
      </c>
      <c r="L26" s="27">
        <f>+L25</f>
        <v>4.2</v>
      </c>
      <c r="M26" s="121">
        <f t="shared" si="14"/>
        <v>0.38</v>
      </c>
      <c r="N26" s="73">
        <f t="shared" si="15"/>
        <v>4.58</v>
      </c>
      <c r="O26" s="121">
        <f aca="true" t="shared" si="20" ref="O26:O45">ROUND(+$O$2*N26,2)</f>
        <v>0.01</v>
      </c>
      <c r="P26" s="121">
        <f aca="true" t="shared" si="21" ref="P26:P45">+O26+N26</f>
        <v>4.59</v>
      </c>
      <c r="Q26" s="73">
        <f t="shared" si="16"/>
        <v>873.6</v>
      </c>
      <c r="R26" s="74">
        <f t="shared" si="9"/>
        <v>4.59</v>
      </c>
      <c r="S26" s="74">
        <f t="shared" si="17"/>
        <v>954.72</v>
      </c>
      <c r="T26" s="74">
        <f t="shared" si="18"/>
        <v>81.12</v>
      </c>
      <c r="W26" s="153">
        <f t="shared" si="11"/>
        <v>0.09285714285714275</v>
      </c>
      <c r="X26" s="118"/>
    </row>
    <row r="27" spans="1:24" s="75" customFormat="1" ht="15">
      <c r="A27" s="173"/>
      <c r="B27" s="72">
        <v>36</v>
      </c>
      <c r="C27" s="155" t="s">
        <v>141</v>
      </c>
      <c r="D27" s="155">
        <v>1</v>
      </c>
      <c r="E27" s="155">
        <v>0.5</v>
      </c>
      <c r="F27" s="154">
        <f t="shared" si="19"/>
        <v>26</v>
      </c>
      <c r="G27" s="132">
        <v>37</v>
      </c>
      <c r="H27" s="79">
        <f t="shared" si="12"/>
        <v>962</v>
      </c>
      <c r="I27" s="76">
        <f t="shared" si="13"/>
        <v>644.3756831343879</v>
      </c>
      <c r="J27" s="73">
        <f>References!$C$49*I27</f>
        <v>12.243137979553369</v>
      </c>
      <c r="K27" s="121">
        <f>J27/References!$G$57</f>
        <v>12.581194680621673</v>
      </c>
      <c r="L27" s="27">
        <v>5.45</v>
      </c>
      <c r="M27" s="121">
        <f t="shared" si="14"/>
        <v>0.48</v>
      </c>
      <c r="N27" s="73">
        <f t="shared" si="15"/>
        <v>5.93</v>
      </c>
      <c r="O27" s="121">
        <f t="shared" si="20"/>
        <v>0.01</v>
      </c>
      <c r="P27" s="121">
        <f t="shared" si="21"/>
        <v>5.9399999999999995</v>
      </c>
      <c r="Q27" s="73">
        <f t="shared" si="16"/>
        <v>141.70000000000002</v>
      </c>
      <c r="R27" s="74">
        <f t="shared" si="9"/>
        <v>5.9399999999999995</v>
      </c>
      <c r="S27" s="74">
        <f t="shared" si="17"/>
        <v>154.44</v>
      </c>
      <c r="T27" s="74">
        <f t="shared" si="18"/>
        <v>12.73999999999998</v>
      </c>
      <c r="W27" s="153">
        <f t="shared" si="11"/>
        <v>0.0899082568807339</v>
      </c>
      <c r="X27" s="118"/>
    </row>
    <row r="28" spans="1:24" s="75" customFormat="1" ht="15">
      <c r="A28" s="173"/>
      <c r="B28" s="72">
        <v>36</v>
      </c>
      <c r="C28" s="155" t="s">
        <v>149</v>
      </c>
      <c r="D28" s="155">
        <v>1</v>
      </c>
      <c r="E28" s="155">
        <v>0.5</v>
      </c>
      <c r="F28" s="154">
        <f t="shared" si="19"/>
        <v>26</v>
      </c>
      <c r="G28" s="132">
        <v>47</v>
      </c>
      <c r="H28" s="79">
        <f t="shared" si="12"/>
        <v>1222</v>
      </c>
      <c r="I28" s="76">
        <f t="shared" si="13"/>
        <v>818.531273170709</v>
      </c>
      <c r="J28" s="73">
        <f>References!$C$49*I28</f>
        <v>15.552094190243468</v>
      </c>
      <c r="K28" s="121">
        <f>J28/References!$G$57</f>
        <v>15.981517567276178</v>
      </c>
      <c r="L28" s="27">
        <v>7.9</v>
      </c>
      <c r="M28" s="121">
        <f t="shared" si="14"/>
        <v>0.61</v>
      </c>
      <c r="N28" s="73">
        <f t="shared" si="15"/>
        <v>8.51</v>
      </c>
      <c r="O28" s="121">
        <f t="shared" si="20"/>
        <v>0.02</v>
      </c>
      <c r="P28" s="121">
        <f t="shared" si="21"/>
        <v>8.53</v>
      </c>
      <c r="Q28" s="73">
        <f t="shared" si="16"/>
        <v>205.4</v>
      </c>
      <c r="R28" s="74">
        <f t="shared" si="9"/>
        <v>8.53</v>
      </c>
      <c r="S28" s="74">
        <f t="shared" si="17"/>
        <v>221.77999999999997</v>
      </c>
      <c r="T28" s="74">
        <f t="shared" si="18"/>
        <v>16.379999999999967</v>
      </c>
      <c r="W28" s="153">
        <f t="shared" si="11"/>
        <v>0.07974683544303796</v>
      </c>
      <c r="X28" s="118"/>
    </row>
    <row r="29" spans="1:24" s="75" customFormat="1" ht="15">
      <c r="A29" s="173"/>
      <c r="B29" s="72">
        <v>36</v>
      </c>
      <c r="C29" s="155" t="s">
        <v>116</v>
      </c>
      <c r="D29" s="155">
        <v>2</v>
      </c>
      <c r="E29" s="155">
        <v>1</v>
      </c>
      <c r="F29" s="154">
        <f t="shared" si="19"/>
        <v>104</v>
      </c>
      <c r="G29" s="132">
        <v>47</v>
      </c>
      <c r="H29" s="79">
        <f t="shared" si="12"/>
        <v>4888</v>
      </c>
      <c r="I29" s="76">
        <f t="shared" si="13"/>
        <v>3274.125092682836</v>
      </c>
      <c r="J29" s="73">
        <f>References!$C$49*I29</f>
        <v>62.20837676097387</v>
      </c>
      <c r="K29" s="121">
        <f>J29/References!$G$57</f>
        <v>63.92607026910471</v>
      </c>
      <c r="L29" s="27">
        <v>7.9</v>
      </c>
      <c r="M29" s="121">
        <f t="shared" si="14"/>
        <v>0.61</v>
      </c>
      <c r="N29" s="73">
        <f t="shared" si="15"/>
        <v>8.51</v>
      </c>
      <c r="O29" s="121">
        <f t="shared" si="20"/>
        <v>0.02</v>
      </c>
      <c r="P29" s="121">
        <f t="shared" si="21"/>
        <v>8.53</v>
      </c>
      <c r="Q29" s="73">
        <f t="shared" si="16"/>
        <v>821.6</v>
      </c>
      <c r="R29" s="74">
        <f t="shared" si="9"/>
        <v>8.53</v>
      </c>
      <c r="S29" s="74">
        <f t="shared" si="17"/>
        <v>887.1199999999999</v>
      </c>
      <c r="T29" s="74">
        <f t="shared" si="18"/>
        <v>65.51999999999987</v>
      </c>
      <c r="W29" s="153">
        <f t="shared" si="11"/>
        <v>0.07974683544303796</v>
      </c>
      <c r="X29" s="119"/>
    </row>
    <row r="30" spans="1:24" s="75" customFormat="1" ht="15">
      <c r="A30" s="173"/>
      <c r="B30" s="72">
        <v>36</v>
      </c>
      <c r="C30" s="155" t="s">
        <v>118</v>
      </c>
      <c r="D30" s="155">
        <v>3</v>
      </c>
      <c r="E30" s="155">
        <v>1</v>
      </c>
      <c r="F30" s="154">
        <f t="shared" si="19"/>
        <v>156</v>
      </c>
      <c r="G30" s="132">
        <v>68</v>
      </c>
      <c r="H30" s="79">
        <f>F30*G30</f>
        <v>10608</v>
      </c>
      <c r="I30" s="76">
        <f t="shared" si="13"/>
        <v>7105.548073481899</v>
      </c>
      <c r="J30" s="121">
        <f>References!$C$49*I30</f>
        <v>135.00541339615606</v>
      </c>
      <c r="K30" s="121">
        <f>J30/References!$G$57</f>
        <v>138.73317377550384</v>
      </c>
      <c r="L30" s="27">
        <v>10.8</v>
      </c>
      <c r="M30" s="121">
        <f t="shared" si="14"/>
        <v>0.89</v>
      </c>
      <c r="N30" s="121">
        <f t="shared" si="15"/>
        <v>11.690000000000001</v>
      </c>
      <c r="O30" s="121">
        <f t="shared" si="20"/>
        <v>0.03</v>
      </c>
      <c r="P30" s="121">
        <f t="shared" si="21"/>
        <v>11.72</v>
      </c>
      <c r="Q30" s="121">
        <f t="shared" si="16"/>
        <v>1684.8000000000002</v>
      </c>
      <c r="R30" s="74">
        <f t="shared" si="9"/>
        <v>11.72</v>
      </c>
      <c r="S30" s="74">
        <f t="shared" si="17"/>
        <v>1828.3200000000002</v>
      </c>
      <c r="T30" s="74">
        <f>S30-Q30</f>
        <v>143.51999999999998</v>
      </c>
      <c r="W30" s="153">
        <f t="shared" si="11"/>
        <v>0.08518518518518525</v>
      </c>
      <c r="X30" s="119"/>
    </row>
    <row r="31" spans="1:24" s="75" customFormat="1" ht="15">
      <c r="A31" s="173"/>
      <c r="B31" s="72">
        <v>35</v>
      </c>
      <c r="C31" s="155" t="s">
        <v>120</v>
      </c>
      <c r="D31" s="155">
        <v>9</v>
      </c>
      <c r="E31" s="155">
        <v>0.5</v>
      </c>
      <c r="F31" s="154">
        <f t="shared" si="19"/>
        <v>234</v>
      </c>
      <c r="G31" s="132">
        <f>+References!B27</f>
        <v>175</v>
      </c>
      <c r="H31" s="79">
        <f>F31*G31</f>
        <v>40950</v>
      </c>
      <c r="I31" s="76">
        <f t="shared" si="13"/>
        <v>27429.50543072057</v>
      </c>
      <c r="J31" s="121">
        <f>References!$C$49*I31</f>
        <v>521.1606031836907</v>
      </c>
      <c r="K31" s="121">
        <f>J31/References!$G$57</f>
        <v>535.5508546480847</v>
      </c>
      <c r="L31" s="27">
        <v>19</v>
      </c>
      <c r="M31" s="121">
        <f t="shared" si="14"/>
        <v>2.29</v>
      </c>
      <c r="N31" s="121">
        <f t="shared" si="15"/>
        <v>21.29</v>
      </c>
      <c r="O31" s="121">
        <f t="shared" si="20"/>
        <v>0.05</v>
      </c>
      <c r="P31" s="121">
        <f t="shared" si="21"/>
        <v>21.34</v>
      </c>
      <c r="Q31" s="121">
        <f t="shared" si="16"/>
        <v>4446</v>
      </c>
      <c r="R31" s="74">
        <f t="shared" si="9"/>
        <v>21.34</v>
      </c>
      <c r="S31" s="74">
        <f t="shared" si="17"/>
        <v>4993.56</v>
      </c>
      <c r="T31" s="74">
        <f>S31-Q31</f>
        <v>547.5600000000004</v>
      </c>
      <c r="W31" s="153">
        <f t="shared" si="11"/>
        <v>0.12315789473684213</v>
      </c>
      <c r="X31" s="119"/>
    </row>
    <row r="32" spans="1:24" s="75" customFormat="1" ht="15">
      <c r="A32" s="173"/>
      <c r="B32" s="72">
        <v>35</v>
      </c>
      <c r="C32" s="155" t="s">
        <v>121</v>
      </c>
      <c r="D32" s="155">
        <v>18</v>
      </c>
      <c r="E32" s="155">
        <v>1</v>
      </c>
      <c r="F32" s="154">
        <f t="shared" si="19"/>
        <v>936</v>
      </c>
      <c r="G32" s="132">
        <f>+G31</f>
        <v>175</v>
      </c>
      <c r="H32" s="79">
        <f>F32*G32</f>
        <v>163800</v>
      </c>
      <c r="I32" s="76">
        <f t="shared" si="13"/>
        <v>109718.02172288227</v>
      </c>
      <c r="J32" s="121">
        <f>References!$C$49*I32</f>
        <v>2084.6424127347627</v>
      </c>
      <c r="K32" s="121">
        <f>J32/References!$G$57</f>
        <v>2142.203418592339</v>
      </c>
      <c r="L32" s="27">
        <f>+L31</f>
        <v>19</v>
      </c>
      <c r="M32" s="121">
        <f t="shared" si="14"/>
        <v>2.29</v>
      </c>
      <c r="N32" s="121">
        <f t="shared" si="15"/>
        <v>21.29</v>
      </c>
      <c r="O32" s="121">
        <f t="shared" si="20"/>
        <v>0.05</v>
      </c>
      <c r="P32" s="121">
        <f t="shared" si="21"/>
        <v>21.34</v>
      </c>
      <c r="Q32" s="121">
        <f t="shared" si="16"/>
        <v>17784</v>
      </c>
      <c r="R32" s="74">
        <f t="shared" si="9"/>
        <v>21.34</v>
      </c>
      <c r="S32" s="74">
        <f t="shared" si="17"/>
        <v>19974.24</v>
      </c>
      <c r="T32" s="74">
        <f>S32-Q32</f>
        <v>2190.2400000000016</v>
      </c>
      <c r="W32" s="153">
        <f t="shared" si="11"/>
        <v>0.12315789473684213</v>
      </c>
      <c r="X32" s="119"/>
    </row>
    <row r="33" spans="1:24" s="75" customFormat="1" ht="15">
      <c r="A33" s="173"/>
      <c r="B33" s="72">
        <v>35</v>
      </c>
      <c r="C33" s="155" t="s">
        <v>122</v>
      </c>
      <c r="D33" s="155">
        <v>2</v>
      </c>
      <c r="E33" s="155">
        <v>0.5</v>
      </c>
      <c r="F33" s="154">
        <f t="shared" si="19"/>
        <v>52</v>
      </c>
      <c r="G33" s="132">
        <f>+References!B28</f>
        <v>250</v>
      </c>
      <c r="H33" s="79">
        <f t="shared" si="12"/>
        <v>13000</v>
      </c>
      <c r="I33" s="76">
        <f t="shared" si="13"/>
        <v>8707.779501816052</v>
      </c>
      <c r="J33" s="73">
        <f>References!$C$49*I33</f>
        <v>165.44781053450495</v>
      </c>
      <c r="K33" s="121">
        <f>J33/References!$G$57</f>
        <v>170.01614433272528</v>
      </c>
      <c r="L33" s="27">
        <v>24.7</v>
      </c>
      <c r="M33" s="121">
        <f t="shared" si="14"/>
        <v>3.27</v>
      </c>
      <c r="N33" s="73">
        <f t="shared" si="15"/>
        <v>27.97</v>
      </c>
      <c r="O33" s="121">
        <f t="shared" si="20"/>
        <v>0.07</v>
      </c>
      <c r="P33" s="121">
        <f t="shared" si="21"/>
        <v>28.04</v>
      </c>
      <c r="Q33" s="73">
        <f t="shared" si="16"/>
        <v>1284.3999999999999</v>
      </c>
      <c r="R33" s="74">
        <f t="shared" si="9"/>
        <v>28.04</v>
      </c>
      <c r="S33" s="74">
        <f t="shared" si="17"/>
        <v>1458.08</v>
      </c>
      <c r="T33" s="74">
        <f t="shared" si="18"/>
        <v>173.68000000000006</v>
      </c>
      <c r="W33" s="153">
        <f t="shared" si="11"/>
        <v>0.13522267206477734</v>
      </c>
      <c r="X33" s="119"/>
    </row>
    <row r="34" spans="1:24" s="75" customFormat="1" ht="15">
      <c r="A34" s="173"/>
      <c r="B34" s="72">
        <v>35</v>
      </c>
      <c r="C34" s="155" t="s">
        <v>123</v>
      </c>
      <c r="D34" s="155">
        <v>9</v>
      </c>
      <c r="E34" s="155">
        <v>1</v>
      </c>
      <c r="F34" s="154">
        <f t="shared" si="19"/>
        <v>468</v>
      </c>
      <c r="G34" s="132">
        <f>+G33</f>
        <v>250</v>
      </c>
      <c r="H34" s="79">
        <f t="shared" si="12"/>
        <v>117000</v>
      </c>
      <c r="I34" s="76">
        <f t="shared" si="13"/>
        <v>78370.01551634447</v>
      </c>
      <c r="J34" s="73">
        <f>References!$C$49*I34</f>
        <v>1489.0302948105448</v>
      </c>
      <c r="K34" s="121">
        <f>J34/References!$G$57</f>
        <v>1530.1452989945276</v>
      </c>
      <c r="L34" s="27">
        <f>+L33</f>
        <v>24.7</v>
      </c>
      <c r="M34" s="121">
        <f t="shared" si="14"/>
        <v>3.27</v>
      </c>
      <c r="N34" s="73">
        <f t="shared" si="15"/>
        <v>27.97</v>
      </c>
      <c r="O34" s="121">
        <f t="shared" si="20"/>
        <v>0.07</v>
      </c>
      <c r="P34" s="121">
        <f t="shared" si="21"/>
        <v>28.04</v>
      </c>
      <c r="Q34" s="73">
        <f t="shared" si="16"/>
        <v>11559.6</v>
      </c>
      <c r="R34" s="74">
        <f t="shared" si="9"/>
        <v>28.04</v>
      </c>
      <c r="S34" s="74">
        <f t="shared" si="17"/>
        <v>13122.72</v>
      </c>
      <c r="T34" s="74">
        <f t="shared" si="18"/>
        <v>1563.119999999999</v>
      </c>
      <c r="W34" s="153">
        <f t="shared" si="11"/>
        <v>0.13522267206477734</v>
      </c>
      <c r="X34" s="119"/>
    </row>
    <row r="35" spans="1:24" s="75" customFormat="1" ht="15">
      <c r="A35" s="173"/>
      <c r="B35" s="72">
        <v>35</v>
      </c>
      <c r="C35" s="155" t="s">
        <v>124</v>
      </c>
      <c r="D35" s="155">
        <v>2</v>
      </c>
      <c r="E35" s="155">
        <v>2</v>
      </c>
      <c r="F35" s="154">
        <f t="shared" si="19"/>
        <v>208</v>
      </c>
      <c r="G35" s="132">
        <f>+G34</f>
        <v>250</v>
      </c>
      <c r="H35" s="79">
        <f t="shared" si="12"/>
        <v>52000</v>
      </c>
      <c r="I35" s="76">
        <f t="shared" si="13"/>
        <v>34831.11800726421</v>
      </c>
      <c r="J35" s="73">
        <f>References!$C$49*I35</f>
        <v>661.7912421380198</v>
      </c>
      <c r="K35" s="121">
        <f>J35/References!$G$57</f>
        <v>680.0645773309011</v>
      </c>
      <c r="L35" s="27">
        <f>+L34</f>
        <v>24.7</v>
      </c>
      <c r="M35" s="121">
        <f t="shared" si="14"/>
        <v>3.27</v>
      </c>
      <c r="N35" s="73">
        <f t="shared" si="15"/>
        <v>27.97</v>
      </c>
      <c r="O35" s="121">
        <f t="shared" si="20"/>
        <v>0.07</v>
      </c>
      <c r="P35" s="121">
        <f t="shared" si="21"/>
        <v>28.04</v>
      </c>
      <c r="Q35" s="73">
        <f t="shared" si="16"/>
        <v>5137.599999999999</v>
      </c>
      <c r="R35" s="74">
        <f t="shared" si="9"/>
        <v>28.04</v>
      </c>
      <c r="S35" s="74">
        <f t="shared" si="17"/>
        <v>5832.32</v>
      </c>
      <c r="T35" s="74">
        <f t="shared" si="18"/>
        <v>694.7200000000003</v>
      </c>
      <c r="W35" s="153">
        <f t="shared" si="11"/>
        <v>0.13522267206477734</v>
      </c>
      <c r="X35" s="119"/>
    </row>
    <row r="36" spans="1:24" s="75" customFormat="1" ht="15">
      <c r="A36" s="173"/>
      <c r="B36" s="72">
        <v>35</v>
      </c>
      <c r="C36" s="155" t="s">
        <v>125</v>
      </c>
      <c r="D36" s="155">
        <v>9</v>
      </c>
      <c r="E36" s="155">
        <v>0.5</v>
      </c>
      <c r="F36" s="154">
        <f t="shared" si="19"/>
        <v>234</v>
      </c>
      <c r="G36" s="132">
        <f>+References!B29</f>
        <v>324</v>
      </c>
      <c r="H36" s="79">
        <f t="shared" si="12"/>
        <v>75816</v>
      </c>
      <c r="I36" s="76">
        <f t="shared" si="13"/>
        <v>50783.77005459122</v>
      </c>
      <c r="J36" s="73">
        <f>References!$C$49*I36</f>
        <v>964.8916310372331</v>
      </c>
      <c r="K36" s="121">
        <f>J36/References!$G$57</f>
        <v>991.534153748454</v>
      </c>
      <c r="L36" s="27">
        <v>30.1</v>
      </c>
      <c r="M36" s="121">
        <f t="shared" si="14"/>
        <v>4.24</v>
      </c>
      <c r="N36" s="73">
        <f t="shared" si="15"/>
        <v>34.34</v>
      </c>
      <c r="O36" s="121">
        <f t="shared" si="20"/>
        <v>0.09</v>
      </c>
      <c r="P36" s="121">
        <f t="shared" si="21"/>
        <v>34.43000000000001</v>
      </c>
      <c r="Q36" s="73">
        <f t="shared" si="16"/>
        <v>7043.400000000001</v>
      </c>
      <c r="R36" s="74">
        <f t="shared" si="9"/>
        <v>34.43000000000001</v>
      </c>
      <c r="S36" s="74">
        <f t="shared" si="17"/>
        <v>8056.620000000002</v>
      </c>
      <c r="T36" s="74">
        <f t="shared" si="18"/>
        <v>1013.2200000000012</v>
      </c>
      <c r="W36" s="153">
        <f t="shared" si="11"/>
        <v>0.1438538205980069</v>
      </c>
      <c r="X36" s="119"/>
    </row>
    <row r="37" spans="1:24" s="75" customFormat="1" ht="15">
      <c r="A37" s="173"/>
      <c r="B37" s="72">
        <v>35</v>
      </c>
      <c r="C37" s="155" t="s">
        <v>126</v>
      </c>
      <c r="D37" s="155">
        <v>17</v>
      </c>
      <c r="E37" s="155">
        <v>1</v>
      </c>
      <c r="F37" s="154">
        <f t="shared" si="19"/>
        <v>884</v>
      </c>
      <c r="G37" s="132">
        <f>+G36</f>
        <v>324</v>
      </c>
      <c r="H37" s="79">
        <f t="shared" si="12"/>
        <v>286416</v>
      </c>
      <c r="I37" s="76">
        <f t="shared" si="13"/>
        <v>191849.79798401127</v>
      </c>
      <c r="J37" s="73">
        <f>References!$C$49*I37</f>
        <v>3645.1461616962133</v>
      </c>
      <c r="K37" s="121">
        <f>J37/References!$G$57</f>
        <v>3745.7956919386033</v>
      </c>
      <c r="L37" s="27">
        <f>+L36</f>
        <v>30.1</v>
      </c>
      <c r="M37" s="121">
        <f t="shared" si="14"/>
        <v>4.24</v>
      </c>
      <c r="N37" s="73">
        <f t="shared" si="15"/>
        <v>34.34</v>
      </c>
      <c r="O37" s="121">
        <f t="shared" si="20"/>
        <v>0.09</v>
      </c>
      <c r="P37" s="121">
        <f t="shared" si="21"/>
        <v>34.43000000000001</v>
      </c>
      <c r="Q37" s="73">
        <f t="shared" si="16"/>
        <v>26608.4</v>
      </c>
      <c r="R37" s="74">
        <f t="shared" si="9"/>
        <v>34.43000000000001</v>
      </c>
      <c r="S37" s="74">
        <f t="shared" si="17"/>
        <v>30436.120000000006</v>
      </c>
      <c r="T37" s="74">
        <f t="shared" si="18"/>
        <v>3827.720000000005</v>
      </c>
      <c r="W37" s="153">
        <f t="shared" si="11"/>
        <v>0.1438538205980069</v>
      </c>
      <c r="X37" s="119"/>
    </row>
    <row r="38" spans="1:24" s="75" customFormat="1" ht="15">
      <c r="A38" s="173"/>
      <c r="B38" s="72">
        <v>35</v>
      </c>
      <c r="C38" s="155" t="s">
        <v>127</v>
      </c>
      <c r="D38" s="155">
        <v>5</v>
      </c>
      <c r="E38" s="155">
        <v>0.5</v>
      </c>
      <c r="F38" s="154">
        <f t="shared" si="19"/>
        <v>130</v>
      </c>
      <c r="G38" s="132">
        <f>+References!B30</f>
        <v>473</v>
      </c>
      <c r="H38" s="79">
        <f t="shared" si="12"/>
        <v>61490</v>
      </c>
      <c r="I38" s="76">
        <f t="shared" si="13"/>
        <v>41187.79704358993</v>
      </c>
      <c r="J38" s="73">
        <f>References!$C$49*I38</f>
        <v>782.5681438282086</v>
      </c>
      <c r="K38" s="121">
        <f>J38/References!$G$57</f>
        <v>804.1763626937907</v>
      </c>
      <c r="L38" s="27">
        <v>41.4</v>
      </c>
      <c r="M38" s="121">
        <f t="shared" si="14"/>
        <v>6.19</v>
      </c>
      <c r="N38" s="73">
        <f t="shared" si="15"/>
        <v>47.589999999999996</v>
      </c>
      <c r="O38" s="121">
        <f t="shared" si="20"/>
        <v>0.12</v>
      </c>
      <c r="P38" s="121">
        <f t="shared" si="21"/>
        <v>47.709999999999994</v>
      </c>
      <c r="Q38" s="73">
        <f t="shared" si="16"/>
        <v>5382</v>
      </c>
      <c r="R38" s="74">
        <f t="shared" si="9"/>
        <v>47.709999999999994</v>
      </c>
      <c r="S38" s="74">
        <f t="shared" si="17"/>
        <v>6202.299999999999</v>
      </c>
      <c r="T38" s="74">
        <f t="shared" si="18"/>
        <v>820.2999999999993</v>
      </c>
      <c r="W38" s="153">
        <f t="shared" si="11"/>
        <v>0.152415458937198</v>
      </c>
      <c r="X38" s="119"/>
    </row>
    <row r="39" spans="1:24" s="75" customFormat="1" ht="15">
      <c r="A39" s="173"/>
      <c r="B39" s="72">
        <v>35</v>
      </c>
      <c r="C39" s="155" t="s">
        <v>128</v>
      </c>
      <c r="D39" s="155">
        <v>4</v>
      </c>
      <c r="E39" s="155">
        <v>1</v>
      </c>
      <c r="F39" s="154">
        <f t="shared" si="19"/>
        <v>208</v>
      </c>
      <c r="G39" s="132">
        <f>+G38</f>
        <v>473</v>
      </c>
      <c r="H39" s="79">
        <f t="shared" si="12"/>
        <v>98384</v>
      </c>
      <c r="I39" s="76">
        <f t="shared" si="13"/>
        <v>65900.4752697439</v>
      </c>
      <c r="J39" s="73">
        <f>References!$C$49*I39</f>
        <v>1252.1090301251338</v>
      </c>
      <c r="K39" s="121">
        <f>J39/References!$G$57</f>
        <v>1286.6821803100652</v>
      </c>
      <c r="L39" s="27">
        <f>+L38</f>
        <v>41.4</v>
      </c>
      <c r="M39" s="121">
        <f t="shared" si="14"/>
        <v>6.19</v>
      </c>
      <c r="N39" s="73">
        <f t="shared" si="15"/>
        <v>47.589999999999996</v>
      </c>
      <c r="O39" s="121">
        <f t="shared" si="20"/>
        <v>0.12</v>
      </c>
      <c r="P39" s="121">
        <f t="shared" si="21"/>
        <v>47.709999999999994</v>
      </c>
      <c r="Q39" s="73">
        <f t="shared" si="16"/>
        <v>8611.199999999999</v>
      </c>
      <c r="R39" s="74">
        <f t="shared" si="9"/>
        <v>47.709999999999994</v>
      </c>
      <c r="S39" s="74">
        <f t="shared" si="17"/>
        <v>9923.679999999998</v>
      </c>
      <c r="T39" s="74">
        <f t="shared" si="18"/>
        <v>1312.4799999999996</v>
      </c>
      <c r="W39" s="153">
        <f t="shared" si="11"/>
        <v>0.152415458937198</v>
      </c>
      <c r="X39" s="119"/>
    </row>
    <row r="40" spans="1:24" s="75" customFormat="1" ht="15">
      <c r="A40" s="173"/>
      <c r="B40" s="72">
        <v>35</v>
      </c>
      <c r="C40" s="155" t="s">
        <v>131</v>
      </c>
      <c r="D40" s="155">
        <v>1</v>
      </c>
      <c r="E40" s="155">
        <v>0.5</v>
      </c>
      <c r="F40" s="154">
        <f t="shared" si="19"/>
        <v>26</v>
      </c>
      <c r="G40" s="132">
        <f>+References!B31</f>
        <v>613</v>
      </c>
      <c r="H40" s="79">
        <f t="shared" si="12"/>
        <v>15938</v>
      </c>
      <c r="I40" s="76">
        <f t="shared" si="13"/>
        <v>10675.73766922648</v>
      </c>
      <c r="J40" s="73">
        <f>References!$C$49*I40</f>
        <v>202.83901571530308</v>
      </c>
      <c r="K40" s="121">
        <f>J40/References!$G$57</f>
        <v>208.4397929519212</v>
      </c>
      <c r="L40" s="27">
        <v>52.6</v>
      </c>
      <c r="M40" s="121">
        <f t="shared" si="14"/>
        <v>8.02</v>
      </c>
      <c r="N40" s="73">
        <f t="shared" si="15"/>
        <v>60.620000000000005</v>
      </c>
      <c r="O40" s="121">
        <f t="shared" si="20"/>
        <v>0.15</v>
      </c>
      <c r="P40" s="121">
        <f t="shared" si="21"/>
        <v>60.77</v>
      </c>
      <c r="Q40" s="73">
        <f t="shared" si="16"/>
        <v>1367.6000000000001</v>
      </c>
      <c r="R40" s="74">
        <f t="shared" si="9"/>
        <v>60.77</v>
      </c>
      <c r="S40" s="74">
        <f t="shared" si="17"/>
        <v>1580.02</v>
      </c>
      <c r="T40" s="74">
        <f aca="true" t="shared" si="22" ref="T40:T45">S40-Q40</f>
        <v>212.41999999999985</v>
      </c>
      <c r="W40" s="153">
        <f t="shared" si="11"/>
        <v>0.15532319391634974</v>
      </c>
      <c r="X40" s="119"/>
    </row>
    <row r="41" spans="1:24" s="75" customFormat="1" ht="15">
      <c r="A41" s="173"/>
      <c r="B41" s="72">
        <v>35</v>
      </c>
      <c r="C41" s="155" t="s">
        <v>130</v>
      </c>
      <c r="D41" s="155">
        <v>8</v>
      </c>
      <c r="E41" s="155">
        <v>1</v>
      </c>
      <c r="F41" s="154">
        <f t="shared" si="19"/>
        <v>416</v>
      </c>
      <c r="G41" s="132">
        <f>+G40</f>
        <v>613</v>
      </c>
      <c r="H41" s="79">
        <f t="shared" si="12"/>
        <v>255008</v>
      </c>
      <c r="I41" s="76">
        <f t="shared" si="13"/>
        <v>170811.8027076237</v>
      </c>
      <c r="J41" s="73">
        <f>References!$C$49*I41</f>
        <v>3245.4242514448492</v>
      </c>
      <c r="K41" s="121">
        <f>J41/References!$G$57</f>
        <v>3335.036687230739</v>
      </c>
      <c r="L41" s="27">
        <f>+L40</f>
        <v>52.6</v>
      </c>
      <c r="M41" s="121">
        <f t="shared" si="14"/>
        <v>8.02</v>
      </c>
      <c r="N41" s="73">
        <f t="shared" si="15"/>
        <v>60.620000000000005</v>
      </c>
      <c r="O41" s="121">
        <f t="shared" si="20"/>
        <v>0.15</v>
      </c>
      <c r="P41" s="121">
        <f t="shared" si="21"/>
        <v>60.77</v>
      </c>
      <c r="Q41" s="73">
        <f t="shared" si="16"/>
        <v>21881.600000000002</v>
      </c>
      <c r="R41" s="74">
        <f t="shared" si="9"/>
        <v>60.77</v>
      </c>
      <c r="S41" s="74">
        <f t="shared" si="17"/>
        <v>25280.32</v>
      </c>
      <c r="T41" s="74">
        <f t="shared" si="22"/>
        <v>3398.7199999999975</v>
      </c>
      <c r="W41" s="153">
        <f t="shared" si="11"/>
        <v>0.15532319391634974</v>
      </c>
      <c r="X41" s="119"/>
    </row>
    <row r="42" spans="1:24" s="75" customFormat="1" ht="15">
      <c r="A42" s="173"/>
      <c r="B42" s="72">
        <v>35</v>
      </c>
      <c r="C42" s="155" t="s">
        <v>132</v>
      </c>
      <c r="D42" s="155">
        <v>2</v>
      </c>
      <c r="E42" s="155">
        <v>0.5</v>
      </c>
      <c r="F42" s="154">
        <f t="shared" si="19"/>
        <v>52</v>
      </c>
      <c r="G42" s="132">
        <f>+References!B32</f>
        <v>840</v>
      </c>
      <c r="H42" s="79">
        <f t="shared" si="12"/>
        <v>43680</v>
      </c>
      <c r="I42" s="76">
        <f t="shared" si="13"/>
        <v>29258.139126101938</v>
      </c>
      <c r="J42" s="73">
        <f>References!$C$49*I42</f>
        <v>555.9046433959367</v>
      </c>
      <c r="K42" s="121">
        <f>J42/References!$G$57</f>
        <v>571.254244957957</v>
      </c>
      <c r="L42" s="27">
        <v>73.4</v>
      </c>
      <c r="M42" s="121">
        <f t="shared" si="14"/>
        <v>10.99</v>
      </c>
      <c r="N42" s="73">
        <f t="shared" si="15"/>
        <v>84.39</v>
      </c>
      <c r="O42" s="121">
        <f t="shared" si="20"/>
        <v>0.21</v>
      </c>
      <c r="P42" s="121">
        <f t="shared" si="21"/>
        <v>84.6</v>
      </c>
      <c r="Q42" s="73">
        <f t="shared" si="16"/>
        <v>3816.8</v>
      </c>
      <c r="R42" s="74">
        <f t="shared" si="9"/>
        <v>84.6</v>
      </c>
      <c r="S42" s="74">
        <f t="shared" si="17"/>
        <v>4399.2</v>
      </c>
      <c r="T42" s="74">
        <f t="shared" si="22"/>
        <v>582.3999999999996</v>
      </c>
      <c r="W42" s="153">
        <f t="shared" si="11"/>
        <v>0.15258855585831044</v>
      </c>
      <c r="X42" s="119"/>
    </row>
    <row r="43" spans="1:24" s="75" customFormat="1" ht="15">
      <c r="A43" s="173"/>
      <c r="B43" s="72">
        <v>35</v>
      </c>
      <c r="C43" s="155" t="s">
        <v>133</v>
      </c>
      <c r="D43" s="155">
        <v>4</v>
      </c>
      <c r="E43" s="155">
        <v>1</v>
      </c>
      <c r="F43" s="154">
        <f t="shared" si="19"/>
        <v>208</v>
      </c>
      <c r="G43" s="132">
        <f>+G42</f>
        <v>840</v>
      </c>
      <c r="H43" s="79">
        <f t="shared" si="12"/>
        <v>174720</v>
      </c>
      <c r="I43" s="76">
        <f t="shared" si="13"/>
        <v>117032.55650440775</v>
      </c>
      <c r="J43" s="73">
        <f>References!$C$49*I43</f>
        <v>2223.6185735837466</v>
      </c>
      <c r="K43" s="121">
        <f>J43/References!$G$57</f>
        <v>2285.016979831828</v>
      </c>
      <c r="L43" s="27">
        <f>+L42</f>
        <v>73.4</v>
      </c>
      <c r="M43" s="121">
        <f t="shared" si="14"/>
        <v>10.99</v>
      </c>
      <c r="N43" s="73">
        <f t="shared" si="15"/>
        <v>84.39</v>
      </c>
      <c r="O43" s="121">
        <f t="shared" si="20"/>
        <v>0.21</v>
      </c>
      <c r="P43" s="121">
        <f t="shared" si="21"/>
        <v>84.6</v>
      </c>
      <c r="Q43" s="73">
        <f t="shared" si="16"/>
        <v>15267.2</v>
      </c>
      <c r="R43" s="74">
        <f t="shared" si="9"/>
        <v>84.6</v>
      </c>
      <c r="S43" s="74">
        <f t="shared" si="17"/>
        <v>17596.8</v>
      </c>
      <c r="T43" s="74">
        <f t="shared" si="22"/>
        <v>2329.5999999999985</v>
      </c>
      <c r="W43" s="153">
        <f t="shared" si="11"/>
        <v>0.15258855585831044</v>
      </c>
      <c r="X43" s="119"/>
    </row>
    <row r="44" spans="1:24" s="75" customFormat="1" ht="15">
      <c r="A44" s="173"/>
      <c r="B44" s="72">
        <v>35</v>
      </c>
      <c r="C44" s="155" t="s">
        <v>134</v>
      </c>
      <c r="D44" s="155">
        <v>1</v>
      </c>
      <c r="E44" s="155">
        <v>0.5</v>
      </c>
      <c r="F44" s="154">
        <f>+E44*D44*52</f>
        <v>26</v>
      </c>
      <c r="G44" s="132">
        <f>+References!B33</f>
        <v>980</v>
      </c>
      <c r="H44" s="79">
        <f>F44*G44</f>
        <v>25480</v>
      </c>
      <c r="I44" s="76">
        <f t="shared" si="13"/>
        <v>17067.247823559464</v>
      </c>
      <c r="J44" s="73">
        <f>References!$C$49*I44</f>
        <v>324.27770864762977</v>
      </c>
      <c r="K44" s="121">
        <f>J44/References!$G$57</f>
        <v>333.23164289214156</v>
      </c>
      <c r="L44" s="27">
        <v>94.3</v>
      </c>
      <c r="M44" s="121">
        <f t="shared" si="14"/>
        <v>12.82</v>
      </c>
      <c r="N44" s="73">
        <f t="shared" si="15"/>
        <v>107.12</v>
      </c>
      <c r="O44" s="121">
        <f t="shared" si="20"/>
        <v>0.27</v>
      </c>
      <c r="P44" s="121">
        <f t="shared" si="21"/>
        <v>107.39</v>
      </c>
      <c r="Q44" s="73">
        <f t="shared" si="16"/>
        <v>2451.7999999999997</v>
      </c>
      <c r="R44" s="74">
        <f t="shared" si="9"/>
        <v>107.39</v>
      </c>
      <c r="S44" s="74">
        <f t="shared" si="17"/>
        <v>2792.14</v>
      </c>
      <c r="T44" s="74">
        <f t="shared" si="22"/>
        <v>340.34000000000015</v>
      </c>
      <c r="W44" s="153">
        <f t="shared" si="11"/>
        <v>0.1388123011664899</v>
      </c>
      <c r="X44" s="119"/>
    </row>
    <row r="45" spans="1:24" s="75" customFormat="1" ht="15">
      <c r="A45" s="173"/>
      <c r="B45" s="72">
        <v>35</v>
      </c>
      <c r="C45" s="155" t="s">
        <v>129</v>
      </c>
      <c r="D45" s="156">
        <v>1</v>
      </c>
      <c r="E45" s="155">
        <v>3</v>
      </c>
      <c r="F45" s="154">
        <f>+E45*D45*52</f>
        <v>156</v>
      </c>
      <c r="G45" s="132">
        <f>+G44</f>
        <v>980</v>
      </c>
      <c r="H45" s="79">
        <f>F45*G45</f>
        <v>152880</v>
      </c>
      <c r="I45" s="76">
        <f t="shared" si="13"/>
        <v>102403.48694135678</v>
      </c>
      <c r="J45" s="73">
        <f>References!$C$49*I45</f>
        <v>1945.6662518857784</v>
      </c>
      <c r="K45" s="121">
        <f>J45/References!$G$57</f>
        <v>1999.3898573528493</v>
      </c>
      <c r="L45" s="27">
        <f>+L44</f>
        <v>94.3</v>
      </c>
      <c r="M45" s="121">
        <f t="shared" si="14"/>
        <v>12.82</v>
      </c>
      <c r="N45" s="73">
        <f t="shared" si="15"/>
        <v>107.12</v>
      </c>
      <c r="O45" s="121">
        <f t="shared" si="20"/>
        <v>0.27</v>
      </c>
      <c r="P45" s="121">
        <f t="shared" si="21"/>
        <v>107.39</v>
      </c>
      <c r="Q45" s="73">
        <f t="shared" si="16"/>
        <v>14710.8</v>
      </c>
      <c r="R45" s="74">
        <f t="shared" si="9"/>
        <v>107.39</v>
      </c>
      <c r="S45" s="74">
        <f t="shared" si="17"/>
        <v>16752.84</v>
      </c>
      <c r="T45" s="74">
        <f t="shared" si="22"/>
        <v>2042.0400000000009</v>
      </c>
      <c r="W45" s="153">
        <f t="shared" si="11"/>
        <v>0.1388123011664899</v>
      </c>
      <c r="X45" s="119"/>
    </row>
    <row r="46" spans="1:23" s="75" customFormat="1" ht="15">
      <c r="A46" s="80"/>
      <c r="B46" s="61"/>
      <c r="C46" s="82" t="s">
        <v>3</v>
      </c>
      <c r="D46" s="83">
        <f>SUM(D25:D45)</f>
        <v>104</v>
      </c>
      <c r="E46" s="83"/>
      <c r="F46" s="83">
        <f>SUM(F25:F45)</f>
        <v>4784</v>
      </c>
      <c r="G46" s="134"/>
      <c r="H46" s="83">
        <f>SUM(H25:H45)</f>
        <v>1601028</v>
      </c>
      <c r="I46" s="86">
        <f>SUM(I25:I45)</f>
        <v>1072415.292325658</v>
      </c>
      <c r="J46" s="88"/>
      <c r="K46" s="88"/>
      <c r="L46" s="88"/>
      <c r="M46" s="88"/>
      <c r="N46" s="88"/>
      <c r="O46" s="88"/>
      <c r="P46" s="88"/>
      <c r="Q46" s="88">
        <f>SUM(Q25:Q45)</f>
        <v>151188.7</v>
      </c>
      <c r="R46" s="88"/>
      <c r="S46" s="88">
        <f>SUM(S25:S45)</f>
        <v>172566.68000000002</v>
      </c>
      <c r="T46" s="88">
        <f>SUM(T25:T45)</f>
        <v>21377.980000000003</v>
      </c>
      <c r="W46" s="162">
        <f>+T46/Q46</f>
        <v>0.1413993241558397</v>
      </c>
    </row>
    <row r="47" spans="3:23" ht="25.5" customHeight="1">
      <c r="C47" s="91" t="s">
        <v>98</v>
      </c>
      <c r="D47" s="92">
        <f>D24+D46</f>
        <v>5626</v>
      </c>
      <c r="E47" s="92"/>
      <c r="F47" s="92">
        <f>F24+F46</f>
        <v>251142.438</v>
      </c>
      <c r="G47" s="92"/>
      <c r="H47" s="92">
        <f>H24+H46</f>
        <v>11366330.530000001</v>
      </c>
      <c r="I47" s="92">
        <f>I24+I46</f>
        <v>7613500.000000001</v>
      </c>
      <c r="J47" s="73"/>
      <c r="K47" s="93"/>
      <c r="L47" s="93"/>
      <c r="M47" s="93"/>
      <c r="N47" s="93"/>
      <c r="O47" s="93"/>
      <c r="P47" s="93"/>
      <c r="Q47" s="136">
        <f>Q24+Q46</f>
        <v>1499652.6999999997</v>
      </c>
      <c r="R47" s="136"/>
      <c r="S47" s="136">
        <f>S24+S46</f>
        <v>1653046.4</v>
      </c>
      <c r="T47" s="136">
        <f>T24+T46</f>
        <v>153393.70000000004</v>
      </c>
      <c r="W47" s="162">
        <f>+T47/Q47</f>
        <v>0.10228614931977255</v>
      </c>
    </row>
    <row r="48" spans="7:10" ht="15">
      <c r="G48" s="135"/>
      <c r="J48" s="95"/>
    </row>
    <row r="49" spans="7:20" ht="15">
      <c r="G49" s="135"/>
      <c r="H49" s="71">
        <f>+H46/2000</f>
        <v>800.514</v>
      </c>
      <c r="I49" s="71">
        <f>+I46/2000</f>
        <v>536.2076461628291</v>
      </c>
      <c r="J49" s="95"/>
      <c r="T49" s="168">
        <f>+References!C57</f>
        <v>12414.726000000002</v>
      </c>
    </row>
    <row r="50" spans="1:3" ht="15">
      <c r="A50" s="78"/>
      <c r="C50" s="98"/>
    </row>
    <row r="51" spans="1:20" ht="15">
      <c r="A51" s="78"/>
      <c r="C51" s="98"/>
      <c r="T51" s="113">
        <f>+T47+T49</f>
        <v>165808.42600000004</v>
      </c>
    </row>
    <row r="52" spans="1:8" ht="15">
      <c r="A52" s="78"/>
      <c r="B52" s="175" t="s">
        <v>99</v>
      </c>
      <c r="C52" s="175"/>
      <c r="D52" s="71"/>
      <c r="E52" s="99"/>
      <c r="F52" s="99"/>
      <c r="H52" s="129"/>
    </row>
    <row r="53" spans="1:17" ht="15">
      <c r="A53" s="78"/>
      <c r="B53" s="71"/>
      <c r="C53" s="100" t="s">
        <v>3</v>
      </c>
      <c r="D53" s="71"/>
      <c r="E53" s="31"/>
      <c r="F53" s="31"/>
      <c r="H53" s="101" t="s">
        <v>100</v>
      </c>
      <c r="J53" s="102"/>
      <c r="Q53" s="94"/>
    </row>
    <row r="54" spans="1:17" ht="15">
      <c r="A54" s="78"/>
      <c r="B54" s="71" t="s">
        <v>101</v>
      </c>
      <c r="C54" s="130">
        <f>'Co. Pro Tonnage'!E9</f>
        <v>3806.75</v>
      </c>
      <c r="D54" s="71"/>
      <c r="E54" s="89"/>
      <c r="F54" s="89"/>
      <c r="G54" s="103"/>
      <c r="H54" s="127" t="s">
        <v>104</v>
      </c>
      <c r="I54" s="128"/>
      <c r="J54" s="102"/>
      <c r="Q54" s="94"/>
    </row>
    <row r="55" spans="1:10" ht="15">
      <c r="A55" s="78"/>
      <c r="B55" s="71" t="s">
        <v>102</v>
      </c>
      <c r="C55" s="104">
        <f>C54*2000</f>
        <v>7613500</v>
      </c>
      <c r="D55" s="71"/>
      <c r="E55" s="104"/>
      <c r="F55" s="104"/>
      <c r="G55" s="104"/>
      <c r="H55" s="105"/>
      <c r="J55" s="102"/>
    </row>
    <row r="56" spans="1:17" ht="15">
      <c r="A56" s="78"/>
      <c r="B56" s="71" t="s">
        <v>103</v>
      </c>
      <c r="C56" s="104">
        <f>F24+F46</f>
        <v>251142.438</v>
      </c>
      <c r="D56" s="71"/>
      <c r="E56" s="89"/>
      <c r="F56" s="89"/>
      <c r="G56" s="89"/>
      <c r="I56" s="120"/>
      <c r="J56" s="102"/>
      <c r="Q56" s="94"/>
    </row>
    <row r="57" spans="2:17" ht="15">
      <c r="B57" s="106" t="s">
        <v>105</v>
      </c>
      <c r="C57" s="107">
        <f>C55/$H$47</f>
        <v>0.6698291924473887</v>
      </c>
      <c r="D57" s="71"/>
      <c r="E57" s="107"/>
      <c r="F57" s="107"/>
      <c r="G57" s="107"/>
      <c r="H57" s="108"/>
      <c r="J57" s="102"/>
      <c r="L57" s="109"/>
      <c r="N57" s="109"/>
      <c r="O57" s="109"/>
      <c r="P57" s="109"/>
      <c r="Q57" s="110"/>
    </row>
    <row r="58" spans="5:17" ht="15">
      <c r="E58" s="102"/>
      <c r="G58" s="111"/>
      <c r="H58" s="112"/>
      <c r="J58" s="102"/>
      <c r="L58" s="113"/>
      <c r="N58" s="114"/>
      <c r="O58" s="114"/>
      <c r="P58" s="114"/>
      <c r="Q58" s="96"/>
    </row>
    <row r="59" spans="4:17" ht="15">
      <c r="D59" s="115"/>
      <c r="E59" s="116"/>
      <c r="G59" s="111"/>
      <c r="H59" s="112"/>
      <c r="J59" s="102"/>
      <c r="L59" s="113"/>
      <c r="N59" s="114"/>
      <c r="O59" s="114"/>
      <c r="P59" s="114"/>
      <c r="Q59" s="96"/>
    </row>
    <row r="60" spans="4:17" ht="15">
      <c r="D60" s="115"/>
      <c r="E60" s="116"/>
      <c r="G60" s="111"/>
      <c r="H60" s="112"/>
      <c r="J60" s="102"/>
      <c r="L60" s="113"/>
      <c r="N60" s="114"/>
      <c r="O60" s="114"/>
      <c r="P60" s="114"/>
      <c r="Q60" s="96"/>
    </row>
    <row r="61" spans="4:9" ht="15">
      <c r="D61" s="71"/>
      <c r="I61" s="71"/>
    </row>
    <row r="62" spans="4:9" ht="15">
      <c r="D62" s="71"/>
      <c r="E62" s="102"/>
      <c r="I62" s="71"/>
    </row>
    <row r="63" spans="4:9" ht="15">
      <c r="D63" s="71"/>
      <c r="I63" s="71"/>
    </row>
    <row r="64" spans="4:9" ht="15">
      <c r="D64" s="71"/>
      <c r="I64" s="71"/>
    </row>
    <row r="65" ht="15">
      <c r="D65" s="71"/>
    </row>
  </sheetData>
  <sheetProtection/>
  <mergeCells count="3">
    <mergeCell ref="A3:A23"/>
    <mergeCell ref="A25:A45"/>
    <mergeCell ref="B52:C52"/>
  </mergeCells>
  <printOptions/>
  <pageMargins left="0.45" right="0.2" top="0.25" bottom="0.25" header="0.3" footer="0.3"/>
  <pageSetup fitToHeight="0" fitToWidth="1" horizontalDpi="600" verticalDpi="600" orientation="landscape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zoomScalePageLayoutView="0" workbookViewId="0" topLeftCell="A1">
      <selection activeCell="J14" sqref="J14"/>
    </sheetView>
  </sheetViews>
  <sheetFormatPr defaultColWidth="9.140625" defaultRowHeight="15"/>
  <cols>
    <col min="1" max="1" width="28.8515625" style="0" bestFit="1" customWidth="1"/>
    <col min="3" max="3" width="12.8515625" style="0" bestFit="1" customWidth="1"/>
    <col min="4" max="4" width="12.421875" style="0" bestFit="1" customWidth="1"/>
    <col min="5" max="5" width="14.28125" style="0" bestFit="1" customWidth="1"/>
    <col min="6" max="6" width="11.00390625" style="0" bestFit="1" customWidth="1"/>
    <col min="7" max="7" width="17.57421875" style="0" bestFit="1" customWidth="1"/>
    <col min="8" max="8" width="13.57421875" style="0" bestFit="1" customWidth="1"/>
    <col min="9" max="9" width="14.28125" style="0" bestFit="1" customWidth="1"/>
    <col min="10" max="10" width="12.7109375" style="0" bestFit="1" customWidth="1"/>
    <col min="11" max="11" width="2.421875" style="0" customWidth="1"/>
    <col min="12" max="13" width="10.421875" style="0" bestFit="1" customWidth="1"/>
    <col min="14" max="14" width="14.421875" style="0" bestFit="1" customWidth="1"/>
    <col min="15" max="15" width="14.421875" style="0" customWidth="1"/>
    <col min="16" max="16" width="12.8515625" style="0" bestFit="1" customWidth="1"/>
    <col min="17" max="17" width="10.00390625" style="0" bestFit="1" customWidth="1"/>
    <col min="18" max="18" width="12.57421875" style="0" bestFit="1" customWidth="1"/>
  </cols>
  <sheetData>
    <row r="1" spans="1:10" ht="26.25">
      <c r="A1" s="9" t="s">
        <v>109</v>
      </c>
      <c r="B1" s="2"/>
      <c r="C1" s="2"/>
      <c r="D1" s="2"/>
      <c r="E1" s="2"/>
      <c r="F1" s="2"/>
      <c r="G1" s="2"/>
      <c r="H1" s="2"/>
      <c r="I1" s="2"/>
      <c r="J1" s="2"/>
    </row>
    <row r="2" spans="1:10" ht="20.25">
      <c r="A2" s="8" t="s">
        <v>147</v>
      </c>
      <c r="B2" s="2"/>
      <c r="C2" s="2"/>
      <c r="D2" s="2"/>
      <c r="E2" s="2"/>
      <c r="F2" s="2"/>
      <c r="G2" s="2"/>
      <c r="H2" s="2"/>
      <c r="I2" s="2"/>
      <c r="J2" s="2"/>
    </row>
    <row r="3" spans="1:16" ht="15.75">
      <c r="A3" s="30" t="s">
        <v>110</v>
      </c>
      <c r="G3" s="6" t="s">
        <v>108</v>
      </c>
      <c r="I3" s="6" t="s">
        <v>12</v>
      </c>
      <c r="L3" s="38"/>
      <c r="M3" s="37"/>
      <c r="N3" s="37"/>
      <c r="O3" s="147"/>
      <c r="P3" s="39"/>
    </row>
    <row r="4" spans="1:16" ht="15.75">
      <c r="A4" s="2"/>
      <c r="B4" s="2"/>
      <c r="C4" s="6" t="s">
        <v>3</v>
      </c>
      <c r="D4" s="6" t="s">
        <v>2</v>
      </c>
      <c r="E4" s="6" t="s">
        <v>12</v>
      </c>
      <c r="F4" s="7" t="s">
        <v>4</v>
      </c>
      <c r="G4" s="6" t="s">
        <v>12</v>
      </c>
      <c r="H4" s="7" t="s">
        <v>6</v>
      </c>
      <c r="I4" s="6" t="s">
        <v>0</v>
      </c>
      <c r="J4" s="6" t="s">
        <v>0</v>
      </c>
      <c r="L4" s="39"/>
      <c r="M4" s="39"/>
      <c r="N4" s="39"/>
      <c r="O4" s="39"/>
      <c r="P4" s="39"/>
    </row>
    <row r="5" spans="1:17" ht="20.25">
      <c r="A5" s="2"/>
      <c r="B5" s="2"/>
      <c r="C5" s="4" t="s">
        <v>7</v>
      </c>
      <c r="D5" s="4" t="s">
        <v>12</v>
      </c>
      <c r="E5" s="4" t="s">
        <v>7</v>
      </c>
      <c r="F5" s="5" t="s">
        <v>8</v>
      </c>
      <c r="G5" s="4" t="s">
        <v>5</v>
      </c>
      <c r="H5" s="5" t="s">
        <v>8</v>
      </c>
      <c r="I5" s="4" t="s">
        <v>9</v>
      </c>
      <c r="J5" s="4" t="s">
        <v>1</v>
      </c>
      <c r="L5" s="40"/>
      <c r="M5" s="40"/>
      <c r="N5" s="40"/>
      <c r="O5" s="40"/>
      <c r="P5" s="40"/>
      <c r="Q5" s="40"/>
    </row>
    <row r="6" spans="1:18" ht="15.75">
      <c r="A6" s="3" t="s">
        <v>10</v>
      </c>
      <c r="B6" s="2">
        <v>648.89</v>
      </c>
      <c r="C6" s="18">
        <v>481.88</v>
      </c>
      <c r="D6" s="32">
        <v>1</v>
      </c>
      <c r="E6" s="34">
        <f>+D6*C6</f>
        <v>481.88</v>
      </c>
      <c r="F6" s="10">
        <v>109</v>
      </c>
      <c r="G6" s="13">
        <f>+F6*E6</f>
        <v>52524.92</v>
      </c>
      <c r="H6" s="12">
        <v>147</v>
      </c>
      <c r="I6" s="13">
        <f>+H6*E6</f>
        <v>70836.36</v>
      </c>
      <c r="J6" s="19">
        <f>+I6-G6</f>
        <v>18311.440000000002</v>
      </c>
      <c r="K6" s="29"/>
      <c r="L6" s="43"/>
      <c r="M6" s="43"/>
      <c r="N6" s="43"/>
      <c r="O6" s="43"/>
      <c r="P6" s="44"/>
      <c r="Q6" s="142"/>
      <c r="R6" s="28"/>
    </row>
    <row r="7" spans="1:16" ht="15.75">
      <c r="A7" s="2"/>
      <c r="B7" s="2"/>
      <c r="C7" s="11"/>
      <c r="D7" s="13"/>
      <c r="E7" s="13"/>
      <c r="F7" s="10"/>
      <c r="G7" s="13"/>
      <c r="H7" s="12"/>
      <c r="I7" s="13"/>
      <c r="J7" s="19"/>
      <c r="L7" s="44"/>
      <c r="M7" s="44"/>
      <c r="N7" s="44"/>
      <c r="O7" s="44"/>
      <c r="P7" s="44"/>
    </row>
    <row r="8" spans="1:18" ht="18">
      <c r="A8" s="3" t="s">
        <v>11</v>
      </c>
      <c r="B8" s="2">
        <v>3185.29</v>
      </c>
      <c r="C8" s="24">
        <v>3324.87</v>
      </c>
      <c r="D8" s="32">
        <v>1</v>
      </c>
      <c r="E8" s="35">
        <f>+D8*C8</f>
        <v>3324.87</v>
      </c>
      <c r="F8" s="10">
        <f>+F6</f>
        <v>109</v>
      </c>
      <c r="G8" s="14">
        <f>+F8*E8</f>
        <v>362410.83</v>
      </c>
      <c r="H8" s="12">
        <f>+H6</f>
        <v>147</v>
      </c>
      <c r="I8" s="14">
        <f>+H8*E8</f>
        <v>488755.88999999996</v>
      </c>
      <c r="J8" s="20">
        <f>+I8-G8</f>
        <v>126345.05999999994</v>
      </c>
      <c r="K8" s="29"/>
      <c r="L8" s="45"/>
      <c r="M8" s="45"/>
      <c r="N8" s="45"/>
      <c r="O8" s="45"/>
      <c r="P8" s="46"/>
      <c r="Q8" s="142"/>
      <c r="R8" s="28"/>
    </row>
    <row r="9" spans="1:18" ht="20.25">
      <c r="A9" s="3"/>
      <c r="B9" s="2"/>
      <c r="C9" s="21">
        <f>+C8+C6</f>
        <v>3806.75</v>
      </c>
      <c r="D9" s="14"/>
      <c r="E9" s="21">
        <f>+E8+E6</f>
        <v>3806.75</v>
      </c>
      <c r="F9" s="159"/>
      <c r="G9" s="160">
        <f>+G8+G6</f>
        <v>414935.75</v>
      </c>
      <c r="H9" s="161"/>
      <c r="I9" s="160">
        <f>+I8+I6</f>
        <v>559592.25</v>
      </c>
      <c r="J9" s="160">
        <f>+J8+J6</f>
        <v>144656.49999999994</v>
      </c>
      <c r="K9" s="33"/>
      <c r="L9" s="33"/>
      <c r="M9" s="33"/>
      <c r="N9" s="33"/>
      <c r="O9" s="33"/>
      <c r="P9" s="33"/>
      <c r="R9" s="28"/>
    </row>
    <row r="10" spans="1:16" ht="15.75">
      <c r="A10" s="2"/>
      <c r="B10" s="2"/>
      <c r="C10" s="11"/>
      <c r="D10" s="13"/>
      <c r="E10" s="13"/>
      <c r="F10" s="10"/>
      <c r="G10" s="13"/>
      <c r="H10" s="12"/>
      <c r="I10" s="13"/>
      <c r="J10" s="19"/>
      <c r="L10" s="42"/>
      <c r="M10" s="42"/>
      <c r="N10" s="42"/>
      <c r="O10" s="42"/>
      <c r="P10" s="42"/>
    </row>
    <row r="11" spans="1:16" ht="15.75">
      <c r="A11" s="3" t="s">
        <v>144</v>
      </c>
      <c r="B11" s="2"/>
      <c r="C11" s="18"/>
      <c r="D11" s="32"/>
      <c r="E11" s="18">
        <f>31.49+163.25</f>
        <v>194.74</v>
      </c>
      <c r="F11" s="10">
        <f>+F8</f>
        <v>109</v>
      </c>
      <c r="G11" s="13">
        <f>+F11*E11</f>
        <v>21226.66</v>
      </c>
      <c r="H11" s="12">
        <f>+H8</f>
        <v>147</v>
      </c>
      <c r="I11" s="13">
        <f>+H11*E11</f>
        <v>28626.780000000002</v>
      </c>
      <c r="J11" s="19">
        <f>+I11-G11</f>
        <v>7400.120000000003</v>
      </c>
      <c r="L11" s="41"/>
      <c r="M11" s="41"/>
      <c r="N11" s="43"/>
      <c r="O11" s="43"/>
      <c r="P11" s="44"/>
    </row>
    <row r="12" spans="1:16" ht="15.75">
      <c r="A12" s="3" t="s">
        <v>146</v>
      </c>
      <c r="B12" s="2"/>
      <c r="C12" s="18"/>
      <c r="D12" s="32"/>
      <c r="E12" s="18">
        <v>178.15</v>
      </c>
      <c r="F12" s="10">
        <v>136</v>
      </c>
      <c r="G12" s="13">
        <f>+F12*E12</f>
        <v>24228.4</v>
      </c>
      <c r="H12" s="12">
        <v>164</v>
      </c>
      <c r="I12" s="13">
        <f>+H12*E12</f>
        <v>29216.600000000002</v>
      </c>
      <c r="J12" s="19">
        <f>+I12-G12</f>
        <v>4988.200000000001</v>
      </c>
      <c r="L12" s="41"/>
      <c r="M12" s="41"/>
      <c r="N12" s="43"/>
      <c r="O12" s="43"/>
      <c r="P12" s="44"/>
    </row>
    <row r="13" spans="1:16" ht="17.25">
      <c r="A13" s="3" t="s">
        <v>145</v>
      </c>
      <c r="B13" s="2"/>
      <c r="C13" s="18"/>
      <c r="D13" s="32"/>
      <c r="E13" s="24">
        <v>44.01</v>
      </c>
      <c r="F13" s="10">
        <v>170</v>
      </c>
      <c r="G13" s="14">
        <f>+F13*E13</f>
        <v>7481.7</v>
      </c>
      <c r="H13" s="12">
        <v>170.6</v>
      </c>
      <c r="I13" s="14">
        <f>+H13*E13</f>
        <v>7508.106</v>
      </c>
      <c r="J13" s="20">
        <f>+I13-G13</f>
        <v>26.40599999999995</v>
      </c>
      <c r="L13" s="41"/>
      <c r="M13" s="41"/>
      <c r="N13" s="43"/>
      <c r="O13" s="43"/>
      <c r="P13" s="44"/>
    </row>
    <row r="14" spans="1:16" ht="20.25">
      <c r="A14" s="2"/>
      <c r="B14" s="2"/>
      <c r="C14" s="21"/>
      <c r="D14" s="21"/>
      <c r="E14" s="21">
        <f>SUM(E11:E13)</f>
        <v>416.9</v>
      </c>
      <c r="F14" s="10"/>
      <c r="G14" s="16">
        <f>SUM(G11:G13)</f>
        <v>52936.759999999995</v>
      </c>
      <c r="H14" s="16"/>
      <c r="I14" s="16">
        <f>SUM(I11:I13)</f>
        <v>65351.486000000004</v>
      </c>
      <c r="J14" s="16">
        <f>SUM(J11:J13)</f>
        <v>12414.726000000002</v>
      </c>
      <c r="L14" s="16"/>
      <c r="M14" s="16"/>
      <c r="N14" s="16"/>
      <c r="O14" s="16"/>
      <c r="P14" s="16"/>
    </row>
    <row r="15" spans="1:16" ht="15.75">
      <c r="A15" s="2"/>
      <c r="B15" s="2"/>
      <c r="C15" s="22"/>
      <c r="D15" s="22"/>
      <c r="E15" s="22"/>
      <c r="F15" s="10"/>
      <c r="G15" s="11"/>
      <c r="H15" s="11"/>
      <c r="I15" s="11"/>
      <c r="J15" s="11"/>
      <c r="L15" s="42"/>
      <c r="M15" s="42"/>
      <c r="N15" s="42"/>
      <c r="O15" s="42"/>
      <c r="P15" s="42"/>
    </row>
    <row r="16" spans="1:16" ht="18">
      <c r="A16" s="2"/>
      <c r="B16" s="2"/>
      <c r="C16" s="23"/>
      <c r="D16" s="23"/>
      <c r="E16" s="23">
        <f>+E14+E9</f>
        <v>4223.65</v>
      </c>
      <c r="F16" s="10"/>
      <c r="G16" s="17">
        <f>+G14+G9</f>
        <v>467872.51</v>
      </c>
      <c r="H16" s="17"/>
      <c r="I16" s="17">
        <f>+I14+N9</f>
        <v>65351.486000000004</v>
      </c>
      <c r="J16" s="17">
        <f>+J14+J9</f>
        <v>157071.22599999994</v>
      </c>
      <c r="K16" s="17"/>
      <c r="L16" s="17"/>
      <c r="M16" s="17"/>
      <c r="N16" s="17"/>
      <c r="O16" s="17"/>
      <c r="P16" s="17"/>
    </row>
    <row r="17" spans="1:15" ht="17.25">
      <c r="A17" s="2"/>
      <c r="B17" s="2"/>
      <c r="C17" s="24"/>
      <c r="D17" s="24"/>
      <c r="E17" s="24"/>
      <c r="F17" s="10"/>
      <c r="G17" s="14"/>
      <c r="H17" s="11"/>
      <c r="I17" s="11"/>
      <c r="J17" s="11"/>
      <c r="K17" s="2"/>
      <c r="L17" s="2"/>
      <c r="N17" s="2"/>
      <c r="O17" s="2"/>
    </row>
    <row r="18" spans="1:15" ht="15.75">
      <c r="A18" s="2"/>
      <c r="B18" s="2"/>
      <c r="C18" s="18"/>
      <c r="D18" s="11"/>
      <c r="E18" s="11"/>
      <c r="F18" s="10"/>
      <c r="G18" s="15"/>
      <c r="H18" s="11"/>
      <c r="I18" s="11"/>
      <c r="J18" s="11"/>
      <c r="K18" s="2"/>
      <c r="L18" s="2"/>
      <c r="N18" s="2"/>
      <c r="O18" s="2"/>
    </row>
    <row r="19" spans="1:15" ht="15.75">
      <c r="A19" s="2"/>
      <c r="B19" s="2"/>
      <c r="C19" s="18"/>
      <c r="D19" s="18"/>
      <c r="E19" s="18"/>
      <c r="F19" s="25"/>
      <c r="G19" s="11"/>
      <c r="H19" s="25"/>
      <c r="I19" s="25"/>
      <c r="J19" s="25"/>
      <c r="K19" s="2"/>
      <c r="L19" s="2"/>
      <c r="N19" s="2"/>
      <c r="O19" s="2"/>
    </row>
    <row r="20" spans="3:10" ht="15">
      <c r="C20" s="1"/>
      <c r="D20" s="1"/>
      <c r="E20" s="1"/>
      <c r="F20" s="1"/>
      <c r="G20" s="36"/>
      <c r="H20" s="1"/>
      <c r="I20" s="1"/>
      <c r="J20" s="1"/>
    </row>
    <row r="21" spans="1:15" ht="15.75">
      <c r="A21" s="2"/>
      <c r="B21" s="2"/>
      <c r="C21" s="25"/>
      <c r="D21" s="25"/>
      <c r="E21" s="25"/>
      <c r="F21" s="25"/>
      <c r="G21" s="26"/>
      <c r="H21" s="25"/>
      <c r="I21" s="25"/>
      <c r="J21" s="25"/>
      <c r="K21" s="2"/>
      <c r="L21" s="2"/>
      <c r="N21" s="2"/>
      <c r="O21" s="2"/>
    </row>
    <row r="22" spans="3:10" ht="15">
      <c r="C22" s="1"/>
      <c r="D22" s="1"/>
      <c r="E22" s="1"/>
      <c r="F22" s="1"/>
      <c r="G22" s="1"/>
      <c r="H22" s="1"/>
      <c r="I22" s="1"/>
      <c r="J22" s="1"/>
    </row>
    <row r="23" spans="3:10" ht="15">
      <c r="C23" s="1"/>
      <c r="D23" s="1"/>
      <c r="E23" s="1"/>
      <c r="F23" s="1"/>
      <c r="G23" s="1"/>
      <c r="H23" s="1"/>
      <c r="I23" s="1"/>
      <c r="J23" s="1"/>
    </row>
  </sheetData>
  <sheetProtection/>
  <printOptions/>
  <pageMargins left="0.45" right="0.2" top="0.75" bottom="0.75" header="0.3" footer="0.3"/>
  <pageSetup fitToHeight="1" fitToWidth="1" horizontalDpi="600" verticalDpi="600" orientation="landscape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Waste Management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 LaRue</dc:creator>
  <cp:keywords/>
  <dc:description/>
  <cp:lastModifiedBy>Weinstein, Mike</cp:lastModifiedBy>
  <cp:lastPrinted>2019-06-05T19:11:46Z</cp:lastPrinted>
  <dcterms:created xsi:type="dcterms:W3CDTF">2013-04-10T21:01:30Z</dcterms:created>
  <dcterms:modified xsi:type="dcterms:W3CDTF">2020-06-01T15:49:33Z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fidentiality">
    <vt:lpwstr>None</vt:lpwstr>
  </property>
  <property fmtid="{D5CDD505-2E9C-101B-9397-08002B2CF9AE}" pid="5" name="DocumentDescription">
    <vt:lpwstr>Accounting workpapers</vt:lpwstr>
  </property>
  <property fmtid="{D5CDD505-2E9C-101B-9397-08002B2CF9AE}" pid="6" name="EFilingId">
    <vt:lpwstr>18337.0000000000</vt:lpwstr>
  </property>
  <property fmtid="{D5CDD505-2E9C-101B-9397-08002B2CF9AE}" pid="7" name="DocumentSetType">
    <vt:lpwstr>Workpapers</vt:lpwstr>
  </property>
  <property fmtid="{D5CDD505-2E9C-101B-9397-08002B2CF9AE}" pid="8" name="IsDocumentOrder">
    <vt:lpwstr>0</vt:lpwstr>
  </property>
  <property fmtid="{D5CDD505-2E9C-101B-9397-08002B2CF9AE}" pid="9" name="IsHighlyConfidential">
    <vt:lpwstr>0</vt:lpwstr>
  </property>
  <property fmtid="{D5CDD505-2E9C-101B-9397-08002B2CF9AE}" pid="10" name="CaseCompanyNames">
    <vt:lpwstr>Waste Management of Washington, Inc.</vt:lpwstr>
  </property>
  <property fmtid="{D5CDD505-2E9C-101B-9397-08002B2CF9AE}" pid="11" name="IsConfidential">
    <vt:lpwstr>0</vt:lpwstr>
  </property>
  <property fmtid="{D5CDD505-2E9C-101B-9397-08002B2CF9AE}" pid="12" name="IsEFSEC">
    <vt:lpwstr>0</vt:lpwstr>
  </property>
  <property fmtid="{D5CDD505-2E9C-101B-9397-08002B2CF9AE}" pid="13" name="DocketNumber">
    <vt:lpwstr>200508</vt:lpwstr>
  </property>
  <property fmtid="{D5CDD505-2E9C-101B-9397-08002B2CF9AE}" pid="14" name="Date1">
    <vt:lpwstr>2020-06-01T00:00:00Z</vt:lpwstr>
  </property>
  <property fmtid="{D5CDD505-2E9C-101B-9397-08002B2CF9AE}" pid="15" name="Nickname">
    <vt:lpwstr/>
  </property>
  <property fmtid="{D5CDD505-2E9C-101B-9397-08002B2CF9AE}" pid="16" name="CaseType">
    <vt:lpwstr>Tariff Revision</vt:lpwstr>
  </property>
  <property fmtid="{D5CDD505-2E9C-101B-9397-08002B2CF9AE}" pid="17" name="OpenedDate">
    <vt:lpwstr>2020-06-01T00:00:00Z</vt:lpwstr>
  </property>
  <property fmtid="{D5CDD505-2E9C-101B-9397-08002B2CF9AE}" pid="18" name="Prefix">
    <vt:lpwstr>TG</vt:lpwstr>
  </property>
  <property fmtid="{D5CDD505-2E9C-101B-9397-08002B2CF9AE}" pid="19" name="IndustryCode">
    <vt:lpwstr>227</vt:lpwstr>
  </property>
  <property fmtid="{D5CDD505-2E9C-101B-9397-08002B2CF9AE}" pid="20" name="CaseStatus">
    <vt:lpwstr>Closed</vt:lpwstr>
  </property>
  <property fmtid="{D5CDD505-2E9C-101B-9397-08002B2CF9AE}" pid="21" name="_docset_NoMedatataSyncRequired">
    <vt:lpwstr>False</vt:lpwstr>
  </property>
</Properties>
</file>