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5.xml" ContentType="application/vnd.openxmlformats-officedocument.drawing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embeddings/oleObject5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8.bin" ContentType="application/vnd.openxmlformats-officedocument.oleObject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3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20.xml" ContentType="application/vnd.openxmlformats-officedocument.spreadsheetml.worksheet+xml"/>
  <Override PartName="/xl/worksheets/sheet8.xml" ContentType="application/vnd.openxmlformats-officedocument.spreadsheetml.worksheet+xml"/>
  <Override PartName="/xl/worksheets/sheet15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worksheets/sheet19.xml" ContentType="application/vnd.openxmlformats-officedocument.spreadsheetml.worksheet+xml"/>
  <Override PartName="/xl/drawings/drawing2.xml" ContentType="application/vnd.openxmlformats-officedocument.drawing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xl/activeX/activeX1.xml" ContentType="application/vnd.ms-office.activeX+xml"/>
  <Override PartName="/xl/activeX/activeX1.bin" ContentType="application/vnd.ms-office.activeX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ijohnso215\OneDrive - Washington State Executive Branch Agencies\Timesheet\2020\April\4-21-20\TG-200366\"/>
    </mc:Choice>
  </mc:AlternateContent>
  <bookViews>
    <workbookView xWindow="-28140" yWindow="2220" windowWidth="26850" windowHeight="13065" tabRatio="944" activeTab="4"/>
  </bookViews>
  <sheets>
    <sheet name="12 Month P&amp;L " sheetId="4" r:id="rId1"/>
    <sheet name="Results" sheetId="5" r:id="rId2"/>
    <sheet name="Restating Adj" sheetId="6" r:id="rId3"/>
    <sheet name="Pro Forma Adj" sheetId="7" r:id="rId4"/>
    <sheet name="LG Nonpublic 2018 V5.2a" sheetId="1" r:id="rId5"/>
    <sheet name="Disposal " sheetId="8" r:id="rId6"/>
    <sheet name="Recycling Processing Costs" sheetId="17" r:id="rId7"/>
    <sheet name="Recycle Rate Notice" sheetId="22" r:id="rId8"/>
    <sheet name="Regulatory Depreciation Sch" sheetId="15" r:id="rId9"/>
    <sheet name="Container Conversion Worksheet" sheetId="10" r:id="rId10"/>
    <sheet name="Truck Purchase" sheetId="23" r:id="rId11"/>
    <sheet name="Carts - Bear Carts" sheetId="24" r:id="rId12"/>
    <sheet name="Payroll" sheetId="11" r:id="rId13"/>
    <sheet name="Customer Count Test Year" sheetId="18" r:id="rId14"/>
    <sheet name="Price Out - Rate Year" sheetId="19" r:id="rId15"/>
    <sheet name="Revenue Taxes" sheetId="13" r:id="rId16"/>
    <sheet name="Medical Insurance" sheetId="16" r:id="rId17"/>
    <sheet name="Truck Mileage" sheetId="20" r:id="rId18"/>
    <sheet name="Fuel Cost" sheetId="21" r:id="rId19"/>
    <sheet name="Real Estate Appraisal" sheetId="25" r:id="rId20"/>
  </sheets>
  <externalReferences>
    <externalReference r:id="rId21"/>
    <externalReference r:id="rId22"/>
  </externalReferences>
  <definedNames>
    <definedName name="Debt_Rate" localSheetId="4">'LG Nonpublic 2018 V5.2a'!$K$27</definedName>
    <definedName name="debtP" localSheetId="4">'LG Nonpublic 2018 V5.2a'!$I$27</definedName>
    <definedName name="Equity_percent" localSheetId="4">'LG Nonpublic 2018 V5.2a'!$S$58</definedName>
    <definedName name="equityP" localSheetId="4">'LG Nonpublic 2018 V5.2a'!$I$26</definedName>
    <definedName name="expenses" localSheetId="4">'LG Nonpublic 2018 V5.2a'!$I$8</definedName>
    <definedName name="INPUT" localSheetId="4">'LG Nonpublic 2018 V5.2a'!#REF!</definedName>
    <definedName name="INPUT">#REF!</definedName>
    <definedName name="INPUTc">#REF!</definedName>
    <definedName name="Investment" localSheetId="4">'LG Nonpublic 2018 V5.2a'!$J$28</definedName>
    <definedName name="Pfd_weighted" localSheetId="4">'LG Nonpublic 2018 V5.2a'!$U$57</definedName>
    <definedName name="_xlnm.Print_Area" localSheetId="0">'12 Month P&amp;L '!$A$6:$N$150</definedName>
    <definedName name="_xlnm.Print_Area" localSheetId="4">'LG Nonpublic 2018 V5.2a'!$F$2:$N$49</definedName>
    <definedName name="_xlnm.Print_Area" localSheetId="14">'Price Out - Rate Year'!$A$4:$U$66</definedName>
    <definedName name="_xlnm.Print_Area" localSheetId="1">Results!$A$1:$F$58</definedName>
    <definedName name="Print_Area_MI">#REF!</definedName>
    <definedName name="Print_Area_MIc">#REF!</definedName>
    <definedName name="_xlnm.Print_Titles" localSheetId="0">'12 Month P&amp;L '!$1:$5</definedName>
    <definedName name="_xlnm.Print_Titles" localSheetId="14">'Price Out - Rate Year'!$1:$3</definedName>
    <definedName name="_xlnm.Print_Titles" localSheetId="1">Results!$1:$5</definedName>
    <definedName name="regDebt_weighted" localSheetId="4">'LG Nonpublic 2018 V5.2a'!$U$56</definedName>
    <definedName name="Revenue" localSheetId="4">'LG Nonpublic 2018 V5.2a'!$I$7</definedName>
    <definedName name="slope">'LG Nonpublic 2018 V5.2a'!$Y$58</definedName>
    <definedName name="taxrate" localSheetId="4">'LG Nonpublic 2018 V5.2a'!$J$38</definedName>
    <definedName name="y_inter1">'LG Nonpublic 2018 V5.2a'!$X$55</definedName>
    <definedName name="y_inter2">'LG Nonpublic 2018 V5.2a'!$X$56</definedName>
    <definedName name="y_inter3">'LG Nonpublic 2018 V5.2a'!$Z$55</definedName>
    <definedName name="y_inter4">'LG Nonpublic 2018 V5.2a'!$Z$56</definedName>
  </definedNames>
  <calcPr calcId="152511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" i="23" l="1"/>
  <c r="J42" i="5" l="1"/>
  <c r="K42" i="5"/>
  <c r="B50" i="5"/>
  <c r="K47" i="5"/>
  <c r="K46" i="5"/>
  <c r="K45" i="5"/>
  <c r="K44" i="5"/>
  <c r="K43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J41" i="5"/>
  <c r="K11" i="5"/>
  <c r="K10" i="5"/>
  <c r="K9" i="5"/>
  <c r="K8" i="5"/>
  <c r="K7" i="5"/>
  <c r="J11" i="5"/>
  <c r="J9" i="5"/>
  <c r="J8" i="5"/>
  <c r="J7" i="5"/>
  <c r="U62" i="19"/>
  <c r="N63" i="19"/>
  <c r="N62" i="19"/>
  <c r="O45" i="19"/>
  <c r="Q57" i="19"/>
  <c r="Q56" i="19"/>
  <c r="Q55" i="19"/>
  <c r="Q54" i="19"/>
  <c r="R54" i="19" s="1"/>
  <c r="U54" i="19" s="1"/>
  <c r="Q52" i="19"/>
  <c r="R52" i="19" s="1"/>
  <c r="U52" i="19" s="1"/>
  <c r="Q51" i="19"/>
  <c r="R51" i="19" s="1"/>
  <c r="U51" i="19" s="1"/>
  <c r="U36" i="19"/>
  <c r="U35" i="19"/>
  <c r="U41" i="19"/>
  <c r="T41" i="19"/>
  <c r="U40" i="19"/>
  <c r="T40" i="19"/>
  <c r="U39" i="19"/>
  <c r="T39" i="19"/>
  <c r="U38" i="19"/>
  <c r="T38" i="19"/>
  <c r="U37" i="19"/>
  <c r="T37" i="19"/>
  <c r="T36" i="19"/>
  <c r="T35" i="19"/>
  <c r="U34" i="19"/>
  <c r="T34" i="19"/>
  <c r="Q50" i="19"/>
  <c r="R50" i="19" s="1"/>
  <c r="U50" i="19" s="1"/>
  <c r="T56" i="19"/>
  <c r="T58" i="19" s="1"/>
  <c r="S55" i="19"/>
  <c r="U55" i="19" s="1"/>
  <c r="S53" i="19"/>
  <c r="U33" i="19"/>
  <c r="T33" i="19"/>
  <c r="Q41" i="19"/>
  <c r="R41" i="19" s="1"/>
  <c r="Q40" i="19"/>
  <c r="R40" i="19" s="1"/>
  <c r="Q39" i="19"/>
  <c r="S39" i="19" s="1"/>
  <c r="Q38" i="19"/>
  <c r="S38" i="19" s="1"/>
  <c r="Q37" i="19"/>
  <c r="S37" i="19" s="1"/>
  <c r="Q36" i="19"/>
  <c r="S36" i="19" s="1"/>
  <c r="Q35" i="19"/>
  <c r="R35" i="19" s="1"/>
  <c r="Q34" i="19"/>
  <c r="S34" i="19" s="1"/>
  <c r="Q33" i="19"/>
  <c r="R33" i="19" s="1"/>
  <c r="Q26" i="19"/>
  <c r="R26" i="19" s="1"/>
  <c r="Q25" i="19"/>
  <c r="R25" i="19" s="1"/>
  <c r="Q24" i="19"/>
  <c r="R24" i="19" s="1"/>
  <c r="Q23" i="19"/>
  <c r="R23" i="19" s="1"/>
  <c r="Q22" i="19"/>
  <c r="R22" i="19" s="1"/>
  <c r="Q21" i="19"/>
  <c r="R21" i="19" s="1"/>
  <c r="R16" i="19"/>
  <c r="R17" i="19"/>
  <c r="P17" i="19"/>
  <c r="Q13" i="19"/>
  <c r="S13" i="19" s="1"/>
  <c r="Q12" i="19"/>
  <c r="S12" i="19" s="1"/>
  <c r="Q11" i="19"/>
  <c r="S11" i="19" s="1"/>
  <c r="Q10" i="19"/>
  <c r="S10" i="19" s="1"/>
  <c r="Q9" i="19"/>
  <c r="S9" i="19" s="1"/>
  <c r="Q8" i="19"/>
  <c r="S8" i="19" s="1"/>
  <c r="Q7" i="19"/>
  <c r="S7" i="19" s="1"/>
  <c r="Q6" i="19"/>
  <c r="S23" i="19" s="1"/>
  <c r="H57" i="19"/>
  <c r="M56" i="19"/>
  <c r="M58" i="19" s="1"/>
  <c r="H56" i="19"/>
  <c r="H55" i="19"/>
  <c r="L55" i="19" s="1"/>
  <c r="N55" i="19" s="1"/>
  <c r="K54" i="19"/>
  <c r="N54" i="19" s="1"/>
  <c r="H54" i="19"/>
  <c r="H53" i="19"/>
  <c r="L53" i="19" s="1"/>
  <c r="K52" i="19"/>
  <c r="N52" i="19" s="1"/>
  <c r="H52" i="19"/>
  <c r="H51" i="19"/>
  <c r="K51" i="19" s="1"/>
  <c r="N51" i="19" s="1"/>
  <c r="K50" i="19"/>
  <c r="N50" i="19" s="1"/>
  <c r="H50" i="19"/>
  <c r="D43" i="19"/>
  <c r="C43" i="19"/>
  <c r="L42" i="19"/>
  <c r="K42" i="19"/>
  <c r="L41" i="19"/>
  <c r="K41" i="19"/>
  <c r="L40" i="19"/>
  <c r="K40" i="19"/>
  <c r="L39" i="19"/>
  <c r="K39" i="19"/>
  <c r="N38" i="19"/>
  <c r="M38" i="19"/>
  <c r="L38" i="19"/>
  <c r="K38" i="19"/>
  <c r="N37" i="19"/>
  <c r="M37" i="19"/>
  <c r="L37" i="19"/>
  <c r="K37" i="19"/>
  <c r="N36" i="19"/>
  <c r="M36" i="19"/>
  <c r="L36" i="19"/>
  <c r="K36" i="19"/>
  <c r="N35" i="19"/>
  <c r="M35" i="19"/>
  <c r="L35" i="19"/>
  <c r="K35" i="19"/>
  <c r="N34" i="19"/>
  <c r="M34" i="19"/>
  <c r="M42" i="19" s="1"/>
  <c r="L34" i="19"/>
  <c r="K34" i="19"/>
  <c r="N33" i="19"/>
  <c r="N42" i="19" s="1"/>
  <c r="N45" i="19" s="1"/>
  <c r="M33" i="19"/>
  <c r="L33" i="19"/>
  <c r="K33" i="19"/>
  <c r="D27" i="19"/>
  <c r="C27" i="19"/>
  <c r="L26" i="19"/>
  <c r="K26" i="19"/>
  <c r="M26" i="19" s="1"/>
  <c r="L25" i="19"/>
  <c r="L27" i="19" s="1"/>
  <c r="L45" i="19" s="1"/>
  <c r="K25" i="19"/>
  <c r="M24" i="19"/>
  <c r="L24" i="19"/>
  <c r="K24" i="19"/>
  <c r="L23" i="19"/>
  <c r="K23" i="19"/>
  <c r="M23" i="19" s="1"/>
  <c r="M22" i="19"/>
  <c r="L22" i="19"/>
  <c r="K22" i="19"/>
  <c r="L21" i="19"/>
  <c r="K21" i="19"/>
  <c r="M21" i="19" s="1"/>
  <c r="M17" i="19"/>
  <c r="K17" i="19"/>
  <c r="D14" i="19"/>
  <c r="C14" i="19"/>
  <c r="L13" i="19"/>
  <c r="K13" i="19"/>
  <c r="M13" i="19" s="1"/>
  <c r="L12" i="19"/>
  <c r="K12" i="19"/>
  <c r="M12" i="19" s="1"/>
  <c r="L11" i="19"/>
  <c r="K11" i="19"/>
  <c r="M11" i="19" s="1"/>
  <c r="L10" i="19"/>
  <c r="K10" i="19"/>
  <c r="M10" i="19" s="1"/>
  <c r="L9" i="19"/>
  <c r="M9" i="19" s="1"/>
  <c r="K9" i="19"/>
  <c r="L8" i="19"/>
  <c r="K8" i="19"/>
  <c r="M8" i="19" s="1"/>
  <c r="L7" i="19"/>
  <c r="M7" i="19" s="1"/>
  <c r="K7" i="19"/>
  <c r="M6" i="19"/>
  <c r="L6" i="19"/>
  <c r="L14" i="19" s="1"/>
  <c r="K6" i="19"/>
  <c r="R34" i="19" l="1"/>
  <c r="R9" i="19"/>
  <c r="T9" i="19" s="1"/>
  <c r="S25" i="19"/>
  <c r="S24" i="19"/>
  <c r="T24" i="19" s="1"/>
  <c r="S41" i="19"/>
  <c r="R10" i="19"/>
  <c r="T10" i="19" s="1"/>
  <c r="S26" i="19"/>
  <c r="T26" i="19" s="1"/>
  <c r="S33" i="19"/>
  <c r="R36" i="19"/>
  <c r="R39" i="19"/>
  <c r="S40" i="19"/>
  <c r="R11" i="19"/>
  <c r="T11" i="19" s="1"/>
  <c r="S35" i="19"/>
  <c r="R12" i="19"/>
  <c r="T12" i="19" s="1"/>
  <c r="R37" i="19"/>
  <c r="R13" i="19"/>
  <c r="T13" i="19" s="1"/>
  <c r="R6" i="19"/>
  <c r="S6" i="19"/>
  <c r="S21" i="19"/>
  <c r="T21" i="19" s="1"/>
  <c r="R7" i="19"/>
  <c r="S22" i="19"/>
  <c r="T22" i="19" s="1"/>
  <c r="R38" i="19"/>
  <c r="R8" i="19"/>
  <c r="T8" i="19" s="1"/>
  <c r="N60" i="19"/>
  <c r="T7" i="19"/>
  <c r="U42" i="19"/>
  <c r="U45" i="19" s="1"/>
  <c r="S16" i="19"/>
  <c r="T16" i="19" s="1"/>
  <c r="V16" i="19" s="1"/>
  <c r="S17" i="19"/>
  <c r="T17" i="19" s="1"/>
  <c r="V17" i="19" s="1"/>
  <c r="T23" i="19"/>
  <c r="S58" i="19"/>
  <c r="R58" i="19"/>
  <c r="T42" i="19"/>
  <c r="U56" i="19"/>
  <c r="U53" i="19"/>
  <c r="L58" i="19"/>
  <c r="N53" i="19"/>
  <c r="M14" i="19"/>
  <c r="K14" i="19"/>
  <c r="K27" i="19"/>
  <c r="K45" i="19" s="1"/>
  <c r="N56" i="19"/>
  <c r="N58" i="19" s="1"/>
  <c r="M25" i="19"/>
  <c r="M27" i="19" s="1"/>
  <c r="M45" i="19" s="1"/>
  <c r="K58" i="19"/>
  <c r="S42" i="19" l="1"/>
  <c r="R42" i="19"/>
  <c r="S14" i="19"/>
  <c r="T25" i="19"/>
  <c r="T27" i="19" s="1"/>
  <c r="T45" i="19" s="1"/>
  <c r="U58" i="19"/>
  <c r="V58" i="19" s="1"/>
  <c r="R27" i="19"/>
  <c r="S27" i="19"/>
  <c r="R14" i="19"/>
  <c r="T6" i="19"/>
  <c r="T14" i="19" s="1"/>
  <c r="S45" i="19" l="1"/>
  <c r="R45" i="19"/>
  <c r="V14" i="19"/>
  <c r="V45" i="19" l="1"/>
  <c r="U60" i="19" s="1"/>
  <c r="U63" i="19" s="1"/>
  <c r="V60" i="19"/>
  <c r="K49" i="7" l="1"/>
  <c r="K47" i="7"/>
  <c r="K46" i="7"/>
  <c r="K45" i="7"/>
  <c r="K44" i="7"/>
  <c r="K43" i="7"/>
  <c r="K42" i="7"/>
  <c r="K41" i="7"/>
  <c r="K40" i="7"/>
  <c r="K39" i="7"/>
  <c r="K38" i="7"/>
  <c r="K36" i="7"/>
  <c r="K35" i="7"/>
  <c r="K34" i="7"/>
  <c r="K33" i="7"/>
  <c r="K32" i="7"/>
  <c r="K31" i="7"/>
  <c r="K30" i="7"/>
  <c r="K29" i="7"/>
  <c r="K28" i="7"/>
  <c r="K27" i="7"/>
  <c r="K25" i="7"/>
  <c r="K24" i="7"/>
  <c r="K22" i="7"/>
  <c r="K21" i="7"/>
  <c r="K20" i="7"/>
  <c r="K19" i="7"/>
  <c r="K18" i="7"/>
  <c r="F48" i="7"/>
  <c r="E48" i="7"/>
  <c r="I24" i="21"/>
  <c r="H24" i="21"/>
  <c r="D24" i="21"/>
  <c r="C24" i="21"/>
  <c r="C26" i="21" s="1"/>
  <c r="K22" i="21"/>
  <c r="I22" i="21"/>
  <c r="H22" i="21"/>
  <c r="F22" i="21"/>
  <c r="D22" i="21"/>
  <c r="D26" i="21" s="1"/>
  <c r="C22" i="21"/>
  <c r="P20" i="21"/>
  <c r="L20" i="21"/>
  <c r="J20" i="21"/>
  <c r="G20" i="21"/>
  <c r="E20" i="21"/>
  <c r="P19" i="21"/>
  <c r="L19" i="21"/>
  <c r="J19" i="21"/>
  <c r="G19" i="21"/>
  <c r="E19" i="21"/>
  <c r="P18" i="21"/>
  <c r="L18" i="21"/>
  <c r="J18" i="21"/>
  <c r="G18" i="21"/>
  <c r="E18" i="21"/>
  <c r="P17" i="21"/>
  <c r="L17" i="21"/>
  <c r="J17" i="21"/>
  <c r="G17" i="21"/>
  <c r="E17" i="21"/>
  <c r="P16" i="21"/>
  <c r="L16" i="21"/>
  <c r="J16" i="21"/>
  <c r="G16" i="21"/>
  <c r="E16" i="21"/>
  <c r="P15" i="21"/>
  <c r="L15" i="21"/>
  <c r="J15" i="21"/>
  <c r="G15" i="21"/>
  <c r="E15" i="21"/>
  <c r="P14" i="21"/>
  <c r="L14" i="21"/>
  <c r="J14" i="21"/>
  <c r="G14" i="21"/>
  <c r="E14" i="21"/>
  <c r="P13" i="21"/>
  <c r="L13" i="21"/>
  <c r="J13" i="21"/>
  <c r="G13" i="21"/>
  <c r="E13" i="21"/>
  <c r="P12" i="21"/>
  <c r="L12" i="21"/>
  <c r="J12" i="21"/>
  <c r="G12" i="21"/>
  <c r="E12" i="21"/>
  <c r="P11" i="21"/>
  <c r="L11" i="21"/>
  <c r="J11" i="21"/>
  <c r="G11" i="21"/>
  <c r="E11" i="21"/>
  <c r="P10" i="21"/>
  <c r="L10" i="21"/>
  <c r="J10" i="21"/>
  <c r="G10" i="21"/>
  <c r="E10" i="21"/>
  <c r="P9" i="21"/>
  <c r="L9" i="21"/>
  <c r="J9" i="21"/>
  <c r="G9" i="21"/>
  <c r="E9" i="21"/>
  <c r="P8" i="21"/>
  <c r="L8" i="21"/>
  <c r="J8" i="21"/>
  <c r="G8" i="21"/>
  <c r="E8" i="21"/>
  <c r="P7" i="21"/>
  <c r="L7" i="21"/>
  <c r="J7" i="21"/>
  <c r="G7" i="21"/>
  <c r="E7" i="21"/>
  <c r="E22" i="21" s="1"/>
  <c r="P6" i="21"/>
  <c r="L6" i="21"/>
  <c r="J6" i="21"/>
  <c r="G6" i="21"/>
  <c r="E6" i="21"/>
  <c r="K48" i="5"/>
  <c r="K50" i="5" s="1"/>
  <c r="J48" i="5"/>
  <c r="E24" i="21" l="1"/>
  <c r="E26" i="21" s="1"/>
  <c r="J24" i="21"/>
  <c r="J26" i="21" s="1"/>
  <c r="J22" i="21"/>
  <c r="L22" i="21" s="1"/>
  <c r="P24" i="21"/>
  <c r="H26" i="21"/>
  <c r="P22" i="21"/>
  <c r="I26" i="21"/>
  <c r="H9" i="20"/>
  <c r="H8" i="20"/>
  <c r="H7" i="20"/>
  <c r="F71" i="18"/>
  <c r="F70" i="18"/>
  <c r="F68" i="18"/>
  <c r="K15" i="5"/>
  <c r="K49" i="5" s="1"/>
  <c r="J15" i="5"/>
  <c r="J49" i="5" s="1"/>
  <c r="P26" i="21" l="1"/>
  <c r="D23" i="7" s="1"/>
  <c r="D48" i="7" l="1"/>
  <c r="K23" i="7"/>
  <c r="E23" i="5" s="1"/>
  <c r="R58" i="18" l="1"/>
  <c r="H57" i="18"/>
  <c r="H56" i="18"/>
  <c r="M56" i="18" s="1"/>
  <c r="H55" i="18"/>
  <c r="L55" i="18" s="1"/>
  <c r="L58" i="18" s="1"/>
  <c r="H54" i="18"/>
  <c r="K54" i="18" s="1"/>
  <c r="N54" i="18" s="1"/>
  <c r="L53" i="18"/>
  <c r="N53" i="18" s="1"/>
  <c r="H53" i="18"/>
  <c r="H52" i="18"/>
  <c r="K52" i="18" s="1"/>
  <c r="N52" i="18" s="1"/>
  <c r="H51" i="18"/>
  <c r="K51" i="18" s="1"/>
  <c r="N51" i="18" s="1"/>
  <c r="H50" i="18"/>
  <c r="K50" i="18" s="1"/>
  <c r="R45" i="18"/>
  <c r="D43" i="18"/>
  <c r="E67" i="18" s="1"/>
  <c r="C43" i="18"/>
  <c r="D67" i="18" s="1"/>
  <c r="L41" i="18"/>
  <c r="K41" i="18"/>
  <c r="L40" i="18"/>
  <c r="K40" i="18"/>
  <c r="L39" i="18"/>
  <c r="K39" i="18"/>
  <c r="N38" i="18"/>
  <c r="M38" i="18"/>
  <c r="L38" i="18"/>
  <c r="K38" i="18"/>
  <c r="N37" i="18"/>
  <c r="M37" i="18"/>
  <c r="L37" i="18"/>
  <c r="K37" i="18"/>
  <c r="N36" i="18"/>
  <c r="M36" i="18"/>
  <c r="L36" i="18"/>
  <c r="K36" i="18"/>
  <c r="N35" i="18"/>
  <c r="M35" i="18"/>
  <c r="L35" i="18"/>
  <c r="K35" i="18"/>
  <c r="N34" i="18"/>
  <c r="M34" i="18"/>
  <c r="L34" i="18"/>
  <c r="K34" i="18"/>
  <c r="N33" i="18"/>
  <c r="M33" i="18"/>
  <c r="M42" i="18" s="1"/>
  <c r="L33" i="18"/>
  <c r="K33" i="18"/>
  <c r="D27" i="18"/>
  <c r="E66" i="18" s="1"/>
  <c r="F66" i="18" s="1"/>
  <c r="C27" i="18"/>
  <c r="D66" i="18" s="1"/>
  <c r="L26" i="18"/>
  <c r="K26" i="18"/>
  <c r="M26" i="18" s="1"/>
  <c r="L25" i="18"/>
  <c r="K25" i="18"/>
  <c r="M25" i="18" s="1"/>
  <c r="L24" i="18"/>
  <c r="K24" i="18"/>
  <c r="M24" i="18" s="1"/>
  <c r="L23" i="18"/>
  <c r="K23" i="18"/>
  <c r="L22" i="18"/>
  <c r="K22" i="18"/>
  <c r="L21" i="18"/>
  <c r="K21" i="18"/>
  <c r="M21" i="18" s="1"/>
  <c r="R17" i="18"/>
  <c r="S17" i="18" s="1"/>
  <c r="M17" i="18"/>
  <c r="K17" i="18"/>
  <c r="R14" i="18"/>
  <c r="D14" i="18"/>
  <c r="E65" i="18" s="1"/>
  <c r="C14" i="18"/>
  <c r="D65" i="18" s="1"/>
  <c r="L13" i="18"/>
  <c r="K13" i="18"/>
  <c r="M13" i="18" s="1"/>
  <c r="M12" i="18"/>
  <c r="L12" i="18"/>
  <c r="K12" i="18"/>
  <c r="L11" i="18"/>
  <c r="K11" i="18"/>
  <c r="M11" i="18" s="1"/>
  <c r="L10" i="18"/>
  <c r="K10" i="18"/>
  <c r="M10" i="18" s="1"/>
  <c r="L9" i="18"/>
  <c r="K9" i="18"/>
  <c r="M9" i="18" s="1"/>
  <c r="L8" i="18"/>
  <c r="M8" i="18" s="1"/>
  <c r="K8" i="18"/>
  <c r="L7" i="18"/>
  <c r="K7" i="18"/>
  <c r="L6" i="18"/>
  <c r="K6" i="18"/>
  <c r="M6" i="18" s="1"/>
  <c r="K42" i="18" l="1"/>
  <c r="L42" i="18"/>
  <c r="L45" i="18" s="1"/>
  <c r="L27" i="18"/>
  <c r="E69" i="18"/>
  <c r="E72" i="18" s="1"/>
  <c r="N42" i="18"/>
  <c r="N45" i="18" s="1"/>
  <c r="M7" i="18"/>
  <c r="M14" i="18" s="1"/>
  <c r="S14" i="18" s="1"/>
  <c r="R60" i="18"/>
  <c r="L14" i="18"/>
  <c r="M22" i="18"/>
  <c r="M27" i="18" s="1"/>
  <c r="M45" i="18" s="1"/>
  <c r="K14" i="18"/>
  <c r="K27" i="18"/>
  <c r="D69" i="18"/>
  <c r="D72" i="18" s="1"/>
  <c r="F65" i="18"/>
  <c r="M23" i="18"/>
  <c r="F67" i="18"/>
  <c r="K58" i="18"/>
  <c r="N50" i="18"/>
  <c r="N56" i="18"/>
  <c r="M58" i="18"/>
  <c r="N55" i="18"/>
  <c r="F14" i="11"/>
  <c r="E14" i="11"/>
  <c r="D14" i="11"/>
  <c r="C14" i="11"/>
  <c r="G13" i="11"/>
  <c r="O13" i="11" s="1"/>
  <c r="G12" i="11"/>
  <c r="M12" i="11" s="1"/>
  <c r="G11" i="11"/>
  <c r="O11" i="11" s="1"/>
  <c r="O10" i="11"/>
  <c r="N10" i="11"/>
  <c r="G10" i="11"/>
  <c r="M10" i="11" s="1"/>
  <c r="G9" i="11"/>
  <c r="O9" i="11" s="1"/>
  <c r="G8" i="11"/>
  <c r="M8" i="11" s="1"/>
  <c r="B23" i="17"/>
  <c r="C21" i="17" s="1"/>
  <c r="C17" i="17"/>
  <c r="D17" i="17" s="1"/>
  <c r="B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K45" i="18" l="1"/>
  <c r="O45" i="18" s="1"/>
  <c r="S45" i="18" s="1"/>
  <c r="N8" i="11"/>
  <c r="N12" i="11"/>
  <c r="O8" i="11"/>
  <c r="O12" i="11"/>
  <c r="F69" i="18"/>
  <c r="F72" i="18" s="1"/>
  <c r="D29" i="17"/>
  <c r="D34" i="17" s="1"/>
  <c r="O14" i="11"/>
  <c r="N58" i="18"/>
  <c r="G14" i="11"/>
  <c r="M11" i="11"/>
  <c r="N9" i="11"/>
  <c r="N11" i="11"/>
  <c r="N13" i="11"/>
  <c r="M13" i="11"/>
  <c r="M9" i="11"/>
  <c r="C22" i="17"/>
  <c r="H9" i="16"/>
  <c r="B37" i="7" s="1"/>
  <c r="K37" i="7" l="1"/>
  <c r="E37" i="5"/>
  <c r="B48" i="7"/>
  <c r="H69" i="18"/>
  <c r="H72" i="18"/>
  <c r="H70" i="18"/>
  <c r="H71" i="18"/>
  <c r="D35" i="17"/>
  <c r="D31" i="17"/>
  <c r="C26" i="7" s="1"/>
  <c r="N14" i="11"/>
  <c r="N16" i="11" s="1"/>
  <c r="M14" i="11"/>
  <c r="M16" i="11" s="1"/>
  <c r="O16" i="11"/>
  <c r="N60" i="18"/>
  <c r="S60" i="18" s="1"/>
  <c r="S58" i="18"/>
  <c r="C23" i="17"/>
  <c r="K26" i="7" l="1"/>
  <c r="C48" i="7"/>
  <c r="K48" i="7" s="1"/>
  <c r="E26" i="5"/>
  <c r="E15" i="5"/>
  <c r="F55" i="5"/>
  <c r="E55" i="5"/>
  <c r="D55" i="5"/>
  <c r="C54" i="5"/>
  <c r="C53" i="5"/>
  <c r="C52" i="5"/>
  <c r="C55" i="5" s="1"/>
  <c r="E48" i="5"/>
  <c r="E49" i="5" s="1"/>
  <c r="C47" i="5"/>
  <c r="C45" i="5"/>
  <c r="C39" i="5"/>
  <c r="D39" i="5" s="1"/>
  <c r="F39" i="5" s="1"/>
  <c r="C38" i="5"/>
  <c r="C32" i="5"/>
  <c r="C31" i="5"/>
  <c r="C30" i="5"/>
  <c r="C29" i="5"/>
  <c r="C23" i="5"/>
  <c r="C22" i="5"/>
  <c r="D22" i="5" s="1"/>
  <c r="F22" i="5" s="1"/>
  <c r="C21" i="5"/>
  <c r="C12" i="5"/>
  <c r="C11" i="5"/>
  <c r="K46" i="6"/>
  <c r="C46" i="5" s="1"/>
  <c r="K45" i="6"/>
  <c r="K44" i="6"/>
  <c r="C44" i="5" s="1"/>
  <c r="D44" i="5" s="1"/>
  <c r="F44" i="5" s="1"/>
  <c r="K43" i="6"/>
  <c r="C43" i="5" s="1"/>
  <c r="K42" i="6"/>
  <c r="C42" i="5" s="1"/>
  <c r="K39" i="6"/>
  <c r="K38" i="6"/>
  <c r="K37" i="6"/>
  <c r="C37" i="5" s="1"/>
  <c r="K36" i="6"/>
  <c r="C36" i="5" s="1"/>
  <c r="K35" i="6"/>
  <c r="C35" i="5" s="1"/>
  <c r="K34" i="6"/>
  <c r="C34" i="5" s="1"/>
  <c r="K33" i="6"/>
  <c r="C33" i="5" s="1"/>
  <c r="K32" i="6"/>
  <c r="K31" i="6"/>
  <c r="K30" i="6"/>
  <c r="K29" i="6"/>
  <c r="K28" i="6"/>
  <c r="C28" i="5" s="1"/>
  <c r="K27" i="6"/>
  <c r="C27" i="5" s="1"/>
  <c r="K26" i="6"/>
  <c r="C26" i="5" s="1"/>
  <c r="K23" i="6"/>
  <c r="K22" i="6"/>
  <c r="K21" i="6"/>
  <c r="K20" i="6"/>
  <c r="C20" i="5" s="1"/>
  <c r="K19" i="6"/>
  <c r="C19" i="5" s="1"/>
  <c r="K18" i="6"/>
  <c r="C18" i="5" s="1"/>
  <c r="K13" i="6"/>
  <c r="C13" i="5" s="1"/>
  <c r="K12" i="6"/>
  <c r="K11" i="6"/>
  <c r="J48" i="6"/>
  <c r="I48" i="6"/>
  <c r="H48" i="6"/>
  <c r="H49" i="6" s="1"/>
  <c r="E48" i="6"/>
  <c r="J15" i="6"/>
  <c r="J49" i="6" s="1"/>
  <c r="I15" i="6"/>
  <c r="H15" i="6"/>
  <c r="G15" i="6"/>
  <c r="B15" i="6"/>
  <c r="V10" i="15"/>
  <c r="AH70" i="15"/>
  <c r="AG70" i="15"/>
  <c r="AE70" i="15"/>
  <c r="AD70" i="15"/>
  <c r="AB70" i="15"/>
  <c r="AA70" i="15"/>
  <c r="P70" i="15"/>
  <c r="M70" i="15"/>
  <c r="N70" i="15" s="1"/>
  <c r="H70" i="15"/>
  <c r="AF70" i="15" s="1"/>
  <c r="AH69" i="15"/>
  <c r="AG69" i="15"/>
  <c r="AE69" i="15"/>
  <c r="AD69" i="15"/>
  <c r="AB69" i="15"/>
  <c r="AA69" i="15"/>
  <c r="U69" i="15" s="1"/>
  <c r="V69" i="15" s="1"/>
  <c r="X69" i="15" s="1"/>
  <c r="P69" i="15"/>
  <c r="M69" i="15"/>
  <c r="H69" i="15"/>
  <c r="AC69" i="15" s="1"/>
  <c r="K119" i="15"/>
  <c r="M119" i="15" s="1"/>
  <c r="N119" i="15" s="1"/>
  <c r="AH119" i="15"/>
  <c r="AG119" i="15"/>
  <c r="AE119" i="15"/>
  <c r="AD119" i="15"/>
  <c r="AB119" i="15"/>
  <c r="AA119" i="15"/>
  <c r="P119" i="15"/>
  <c r="H119" i="15"/>
  <c r="AF119" i="15" s="1"/>
  <c r="K117" i="15"/>
  <c r="M117" i="15" s="1"/>
  <c r="N117" i="15" s="1"/>
  <c r="AH117" i="15"/>
  <c r="AG117" i="15"/>
  <c r="AE117" i="15"/>
  <c r="AD117" i="15"/>
  <c r="AB117" i="15"/>
  <c r="AA117" i="15"/>
  <c r="P117" i="15"/>
  <c r="H117" i="15"/>
  <c r="AF117" i="15" s="1"/>
  <c r="K115" i="15"/>
  <c r="M115" i="15" s="1"/>
  <c r="N115" i="15" s="1"/>
  <c r="AH115" i="15"/>
  <c r="AG115" i="15"/>
  <c r="AE115" i="15"/>
  <c r="AD115" i="15"/>
  <c r="AB115" i="15"/>
  <c r="AA115" i="15"/>
  <c r="P115" i="15"/>
  <c r="H115" i="15"/>
  <c r="AF115" i="15" s="1"/>
  <c r="K113" i="15"/>
  <c r="M113" i="15" s="1"/>
  <c r="N113" i="15" s="1"/>
  <c r="AH113" i="15"/>
  <c r="AG113" i="15"/>
  <c r="AE113" i="15"/>
  <c r="AD113" i="15"/>
  <c r="AB113" i="15"/>
  <c r="AA113" i="15"/>
  <c r="P113" i="15"/>
  <c r="H113" i="15"/>
  <c r="AF113" i="15" s="1"/>
  <c r="K111" i="15"/>
  <c r="M111" i="15" s="1"/>
  <c r="N111" i="15" s="1"/>
  <c r="AH111" i="15"/>
  <c r="AG111" i="15"/>
  <c r="AE111" i="15"/>
  <c r="AD111" i="15"/>
  <c r="AB111" i="15"/>
  <c r="AA111" i="15"/>
  <c r="P111" i="15"/>
  <c r="H111" i="15"/>
  <c r="AF111" i="15" s="1"/>
  <c r="K109" i="15"/>
  <c r="M109" i="15" s="1"/>
  <c r="N109" i="15" s="1"/>
  <c r="AH109" i="15"/>
  <c r="AG109" i="15"/>
  <c r="AE109" i="15"/>
  <c r="AD109" i="15"/>
  <c r="AB109" i="15"/>
  <c r="AA109" i="15"/>
  <c r="P109" i="15"/>
  <c r="H109" i="15"/>
  <c r="AF109" i="15" s="1"/>
  <c r="I49" i="6" l="1"/>
  <c r="D42" i="5"/>
  <c r="F42" i="5" s="1"/>
  <c r="I42" i="5" s="1"/>
  <c r="E56" i="5"/>
  <c r="S70" i="15"/>
  <c r="AC70" i="15"/>
  <c r="S69" i="15"/>
  <c r="Y69" i="15" s="1"/>
  <c r="Z69" i="15" s="1"/>
  <c r="Q69" i="15"/>
  <c r="Q70" i="15"/>
  <c r="N69" i="15"/>
  <c r="U70" i="15"/>
  <c r="V70" i="15" s="1"/>
  <c r="X70" i="15" s="1"/>
  <c r="AF69" i="15"/>
  <c r="AC111" i="15"/>
  <c r="O111" i="15" s="1"/>
  <c r="S111" i="15" s="1"/>
  <c r="AC119" i="15"/>
  <c r="O119" i="15" s="1"/>
  <c r="S119" i="15" s="1"/>
  <c r="AC117" i="15"/>
  <c r="O117" i="15" s="1"/>
  <c r="S117" i="15" s="1"/>
  <c r="AC115" i="15"/>
  <c r="O115" i="15" s="1"/>
  <c r="S115" i="15" s="1"/>
  <c r="AC113" i="15"/>
  <c r="U113" i="15" s="1"/>
  <c r="V113" i="15" s="1"/>
  <c r="X113" i="15" s="1"/>
  <c r="AC109" i="15"/>
  <c r="O109" i="15" s="1"/>
  <c r="S109" i="15" s="1"/>
  <c r="Y70" i="15" l="1"/>
  <c r="Z70" i="15" s="1"/>
  <c r="U111" i="15"/>
  <c r="V111" i="15" s="1"/>
  <c r="X111" i="15" s="1"/>
  <c r="Y111" i="15" s="1"/>
  <c r="Z111" i="15" s="1"/>
  <c r="Q111" i="15"/>
  <c r="U119" i="15"/>
  <c r="V119" i="15" s="1"/>
  <c r="X119" i="15" s="1"/>
  <c r="Y119" i="15" s="1"/>
  <c r="Z119" i="15" s="1"/>
  <c r="Q119" i="15"/>
  <c r="Q117" i="15"/>
  <c r="U117" i="15"/>
  <c r="V117" i="15" s="1"/>
  <c r="X117" i="15" s="1"/>
  <c r="Y117" i="15" s="1"/>
  <c r="Z117" i="15" s="1"/>
  <c r="Q115" i="15"/>
  <c r="U115" i="15"/>
  <c r="V115" i="15" s="1"/>
  <c r="X115" i="15" s="1"/>
  <c r="Y115" i="15" s="1"/>
  <c r="Z115" i="15" s="1"/>
  <c r="O113" i="15"/>
  <c r="S113" i="15" s="1"/>
  <c r="Y113" i="15" s="1"/>
  <c r="Z113" i="15" s="1"/>
  <c r="Q109" i="15"/>
  <c r="U109" i="15"/>
  <c r="V109" i="15" s="1"/>
  <c r="X109" i="15" s="1"/>
  <c r="Q113" i="15" l="1"/>
  <c r="Y109" i="15"/>
  <c r="Z109" i="15" s="1"/>
  <c r="K81" i="15" l="1"/>
  <c r="K80" i="15"/>
  <c r="AH110" i="15"/>
  <c r="AG110" i="15"/>
  <c r="AE110" i="15"/>
  <c r="AD110" i="15"/>
  <c r="AB110" i="15"/>
  <c r="AA110" i="15"/>
  <c r="P110" i="15"/>
  <c r="M110" i="15"/>
  <c r="N110" i="15" s="1"/>
  <c r="H110" i="15"/>
  <c r="AF110" i="15" s="1"/>
  <c r="W125" i="15"/>
  <c r="T125" i="15"/>
  <c r="R125" i="15"/>
  <c r="K125" i="15"/>
  <c r="AH124" i="15"/>
  <c r="AG124" i="15"/>
  <c r="AE124" i="15"/>
  <c r="AD124" i="15"/>
  <c r="AB124" i="15"/>
  <c r="AA124" i="15"/>
  <c r="P124" i="15"/>
  <c r="M124" i="15"/>
  <c r="N124" i="15" s="1"/>
  <c r="H124" i="15"/>
  <c r="AF124" i="15" s="1"/>
  <c r="AH118" i="15"/>
  <c r="AG118" i="15"/>
  <c r="AE118" i="15"/>
  <c r="AD118" i="15"/>
  <c r="AB118" i="15"/>
  <c r="AA118" i="15"/>
  <c r="P118" i="15"/>
  <c r="M118" i="15"/>
  <c r="N118" i="15" s="1"/>
  <c r="H118" i="15"/>
  <c r="AC118" i="15" s="1"/>
  <c r="AH116" i="15"/>
  <c r="AG116" i="15"/>
  <c r="AE116" i="15"/>
  <c r="AD116" i="15"/>
  <c r="AB116" i="15"/>
  <c r="AA116" i="15"/>
  <c r="P116" i="15"/>
  <c r="M116" i="15"/>
  <c r="N116" i="15" s="1"/>
  <c r="H116" i="15"/>
  <c r="AF116" i="15" s="1"/>
  <c r="AH114" i="15"/>
  <c r="AG114" i="15"/>
  <c r="AE114" i="15"/>
  <c r="AD114" i="15"/>
  <c r="AB114" i="15"/>
  <c r="AA114" i="15"/>
  <c r="P114" i="15"/>
  <c r="M114" i="15"/>
  <c r="N114" i="15" s="1"/>
  <c r="H114" i="15"/>
  <c r="AC114" i="15" s="1"/>
  <c r="AH112" i="15"/>
  <c r="AG112" i="15"/>
  <c r="AE112" i="15"/>
  <c r="AD112" i="15"/>
  <c r="AB112" i="15"/>
  <c r="AA112" i="15"/>
  <c r="P112" i="15"/>
  <c r="M112" i="15"/>
  <c r="N112" i="15" s="1"/>
  <c r="H112" i="15"/>
  <c r="AF112" i="15" s="1"/>
  <c r="AH108" i="15"/>
  <c r="AG108" i="15"/>
  <c r="AE108" i="15"/>
  <c r="AD108" i="15"/>
  <c r="AB108" i="15"/>
  <c r="AA108" i="15"/>
  <c r="P108" i="15"/>
  <c r="M108" i="15"/>
  <c r="N108" i="15" s="1"/>
  <c r="H108" i="15"/>
  <c r="AC108" i="15" s="1"/>
  <c r="W104" i="15"/>
  <c r="T104" i="15"/>
  <c r="R104" i="15"/>
  <c r="K104" i="15"/>
  <c r="AH103" i="15"/>
  <c r="AG103" i="15"/>
  <c r="AE103" i="15"/>
  <c r="AD103" i="15"/>
  <c r="AB103" i="15"/>
  <c r="AA103" i="15"/>
  <c r="P103" i="15"/>
  <c r="M103" i="15"/>
  <c r="N103" i="15" s="1"/>
  <c r="H103" i="15"/>
  <c r="AC103" i="15" s="1"/>
  <c r="AH102" i="15"/>
  <c r="AG102" i="15"/>
  <c r="AE102" i="15"/>
  <c r="AD102" i="15"/>
  <c r="AB102" i="15"/>
  <c r="AA102" i="15"/>
  <c r="P102" i="15"/>
  <c r="M102" i="15"/>
  <c r="N102" i="15" s="1"/>
  <c r="H102" i="15"/>
  <c r="AF102" i="15" s="1"/>
  <c r="AH101" i="15"/>
  <c r="AG101" i="15"/>
  <c r="AE101" i="15"/>
  <c r="AD101" i="15"/>
  <c r="AB101" i="15"/>
  <c r="AA101" i="15"/>
  <c r="P101" i="15"/>
  <c r="M101" i="15"/>
  <c r="N101" i="15" s="1"/>
  <c r="H101" i="15"/>
  <c r="AC101" i="15" s="1"/>
  <c r="AH100" i="15"/>
  <c r="AG100" i="15"/>
  <c r="AE100" i="15"/>
  <c r="AD100" i="15"/>
  <c r="AB100" i="15"/>
  <c r="AA100" i="15"/>
  <c r="P100" i="15"/>
  <c r="M100" i="15"/>
  <c r="N100" i="15" s="1"/>
  <c r="H100" i="15"/>
  <c r="AF100" i="15" s="1"/>
  <c r="AH99" i="15"/>
  <c r="AG99" i="15"/>
  <c r="AE99" i="15"/>
  <c r="AD99" i="15"/>
  <c r="AB99" i="15"/>
  <c r="AA99" i="15"/>
  <c r="P99" i="15"/>
  <c r="M99" i="15"/>
  <c r="N99" i="15" s="1"/>
  <c r="H99" i="15"/>
  <c r="AC99" i="15" s="1"/>
  <c r="AH98" i="15"/>
  <c r="AG98" i="15"/>
  <c r="AE98" i="15"/>
  <c r="AD98" i="15"/>
  <c r="AB98" i="15"/>
  <c r="AA98" i="15"/>
  <c r="P98" i="15"/>
  <c r="M98" i="15"/>
  <c r="N98" i="15" s="1"/>
  <c r="H98" i="15"/>
  <c r="AF98" i="15" s="1"/>
  <c r="AH97" i="15"/>
  <c r="AG97" i="15"/>
  <c r="AE97" i="15"/>
  <c r="AD97" i="15"/>
  <c r="AB97" i="15"/>
  <c r="AA97" i="15"/>
  <c r="P97" i="15"/>
  <c r="M97" i="15"/>
  <c r="N97" i="15" s="1"/>
  <c r="H97" i="15"/>
  <c r="AC97" i="15" s="1"/>
  <c r="AH96" i="15"/>
  <c r="AG96" i="15"/>
  <c r="AE96" i="15"/>
  <c r="AD96" i="15"/>
  <c r="AB96" i="15"/>
  <c r="AA96" i="15"/>
  <c r="P96" i="15"/>
  <c r="M96" i="15"/>
  <c r="N96" i="15" s="1"/>
  <c r="H96" i="15"/>
  <c r="AF96" i="15" s="1"/>
  <c r="AH95" i="15"/>
  <c r="AG95" i="15"/>
  <c r="AE95" i="15"/>
  <c r="AD95" i="15"/>
  <c r="AB95" i="15"/>
  <c r="AA95" i="15"/>
  <c r="P95" i="15"/>
  <c r="M95" i="15"/>
  <c r="N95" i="15" s="1"/>
  <c r="H95" i="15"/>
  <c r="AC95" i="15" s="1"/>
  <c r="AH94" i="15"/>
  <c r="AG94" i="15"/>
  <c r="AE94" i="15"/>
  <c r="AD94" i="15"/>
  <c r="AB94" i="15"/>
  <c r="AA94" i="15"/>
  <c r="P94" i="15"/>
  <c r="M94" i="15"/>
  <c r="N94" i="15" s="1"/>
  <c r="H94" i="15"/>
  <c r="AF94" i="15" s="1"/>
  <c r="AH93" i="15"/>
  <c r="AG93" i="15"/>
  <c r="AE93" i="15"/>
  <c r="AD93" i="15"/>
  <c r="AB93" i="15"/>
  <c r="AA93" i="15"/>
  <c r="P93" i="15"/>
  <c r="M93" i="15"/>
  <c r="H93" i="15"/>
  <c r="AC93" i="15" s="1"/>
  <c r="W89" i="15"/>
  <c r="T89" i="15"/>
  <c r="R89" i="15"/>
  <c r="AH88" i="15"/>
  <c r="AG88" i="15"/>
  <c r="AE88" i="15"/>
  <c r="AD88" i="15"/>
  <c r="AB88" i="15"/>
  <c r="AA88" i="15"/>
  <c r="P88" i="15"/>
  <c r="K88" i="15"/>
  <c r="M88" i="15" s="1"/>
  <c r="N88" i="15" s="1"/>
  <c r="H88" i="15"/>
  <c r="AF88" i="15" s="1"/>
  <c r="AH87" i="15"/>
  <c r="AG87" i="15"/>
  <c r="AE87" i="15"/>
  <c r="AD87" i="15"/>
  <c r="AB87" i="15"/>
  <c r="AA87" i="15"/>
  <c r="P87" i="15"/>
  <c r="K87" i="15"/>
  <c r="M87" i="15" s="1"/>
  <c r="H87" i="15"/>
  <c r="AC87" i="15" s="1"/>
  <c r="AH86" i="15"/>
  <c r="AG86" i="15"/>
  <c r="AE86" i="15"/>
  <c r="AD86" i="15"/>
  <c r="AB86" i="15"/>
  <c r="AA86" i="15"/>
  <c r="P86" i="15"/>
  <c r="K86" i="15"/>
  <c r="M86" i="15" s="1"/>
  <c r="H86" i="15"/>
  <c r="AF86" i="15" s="1"/>
  <c r="AH85" i="15"/>
  <c r="AG85" i="15"/>
  <c r="AE85" i="15"/>
  <c r="AD85" i="15"/>
  <c r="AB85" i="15"/>
  <c r="AA85" i="15"/>
  <c r="P85" i="15"/>
  <c r="M85" i="15"/>
  <c r="N85" i="15" s="1"/>
  <c r="H85" i="15"/>
  <c r="AF85" i="15" s="1"/>
  <c r="AH84" i="15"/>
  <c r="AG84" i="15"/>
  <c r="AE84" i="15"/>
  <c r="AD84" i="15"/>
  <c r="AB84" i="15"/>
  <c r="AA84" i="15"/>
  <c r="P84" i="15"/>
  <c r="K84" i="15"/>
  <c r="M84" i="15" s="1"/>
  <c r="N84" i="15" s="1"/>
  <c r="H84" i="15"/>
  <c r="AF84" i="15" s="1"/>
  <c r="AH83" i="15"/>
  <c r="AG83" i="15"/>
  <c r="AE83" i="15"/>
  <c r="AD83" i="15"/>
  <c r="AB83" i="15"/>
  <c r="AA83" i="15"/>
  <c r="P83" i="15"/>
  <c r="K83" i="15"/>
  <c r="M83" i="15" s="1"/>
  <c r="N83" i="15" s="1"/>
  <c r="H83" i="15"/>
  <c r="AF83" i="15" s="1"/>
  <c r="AH82" i="15"/>
  <c r="AG82" i="15"/>
  <c r="AE82" i="15"/>
  <c r="AD82" i="15"/>
  <c r="AB82" i="15"/>
  <c r="AA82" i="15"/>
  <c r="P82" i="15"/>
  <c r="M82" i="15"/>
  <c r="N82" i="15" s="1"/>
  <c r="H82" i="15"/>
  <c r="AH81" i="15"/>
  <c r="AG81" i="15"/>
  <c r="AE81" i="15"/>
  <c r="AD81" i="15"/>
  <c r="AB81" i="15"/>
  <c r="AA81" i="15"/>
  <c r="P81" i="15"/>
  <c r="M81" i="15"/>
  <c r="N81" i="15" s="1"/>
  <c r="H81" i="15"/>
  <c r="AF81" i="15" s="1"/>
  <c r="AH80" i="15"/>
  <c r="AG80" i="15"/>
  <c r="AE80" i="15"/>
  <c r="AD80" i="15"/>
  <c r="AB80" i="15"/>
  <c r="AA80" i="15"/>
  <c r="P80" i="15"/>
  <c r="H80" i="15"/>
  <c r="AC80" i="15" s="1"/>
  <c r="AH79" i="15"/>
  <c r="AG79" i="15"/>
  <c r="AE79" i="15"/>
  <c r="AD79" i="15"/>
  <c r="AB79" i="15"/>
  <c r="AA79" i="15"/>
  <c r="P79" i="15"/>
  <c r="K79" i="15"/>
  <c r="M79" i="15" s="1"/>
  <c r="H79" i="15"/>
  <c r="AF79" i="15" s="1"/>
  <c r="AH78" i="15"/>
  <c r="AG78" i="15"/>
  <c r="AE78" i="15"/>
  <c r="AD78" i="15"/>
  <c r="AB78" i="15"/>
  <c r="AA78" i="15"/>
  <c r="P78" i="15"/>
  <c r="K78" i="15"/>
  <c r="M78" i="15" s="1"/>
  <c r="N78" i="15" s="1"/>
  <c r="H78" i="15"/>
  <c r="AF78" i="15" s="1"/>
  <c r="AH77" i="15"/>
  <c r="AG77" i="15"/>
  <c r="AE77" i="15"/>
  <c r="AD77" i="15"/>
  <c r="AB77" i="15"/>
  <c r="AA77" i="15"/>
  <c r="P77" i="15"/>
  <c r="K77" i="15"/>
  <c r="M77" i="15" s="1"/>
  <c r="H77" i="15"/>
  <c r="AH76" i="15"/>
  <c r="AG76" i="15"/>
  <c r="AE76" i="15"/>
  <c r="AD76" i="15"/>
  <c r="AB76" i="15"/>
  <c r="AA76" i="15"/>
  <c r="P76" i="15"/>
  <c r="M76" i="15"/>
  <c r="N76" i="15" s="1"/>
  <c r="H76" i="15"/>
  <c r="AF76" i="15" s="1"/>
  <c r="AH75" i="15"/>
  <c r="AG75" i="15"/>
  <c r="AE75" i="15"/>
  <c r="AD75" i="15"/>
  <c r="AB75" i="15"/>
  <c r="AA75" i="15"/>
  <c r="P75" i="15"/>
  <c r="M75" i="15"/>
  <c r="N75" i="15" s="1"/>
  <c r="H75" i="15"/>
  <c r="AH74" i="15"/>
  <c r="AG74" i="15"/>
  <c r="AE74" i="15"/>
  <c r="AD74" i="15"/>
  <c r="AB74" i="15"/>
  <c r="AA74" i="15"/>
  <c r="P74" i="15"/>
  <c r="M74" i="15"/>
  <c r="N74" i="15" s="1"/>
  <c r="H74" i="15"/>
  <c r="AF74" i="15" s="1"/>
  <c r="W72" i="15"/>
  <c r="T72" i="15"/>
  <c r="R72" i="15"/>
  <c r="K72" i="15"/>
  <c r="AH71" i="15"/>
  <c r="AG71" i="15"/>
  <c r="AE71" i="15"/>
  <c r="AD71" i="15"/>
  <c r="AB71" i="15"/>
  <c r="AA71" i="15"/>
  <c r="P71" i="15"/>
  <c r="M71" i="15"/>
  <c r="N71" i="15" s="1"/>
  <c r="H71" i="15"/>
  <c r="AH68" i="15"/>
  <c r="AG68" i="15"/>
  <c r="AE68" i="15"/>
  <c r="AD68" i="15"/>
  <c r="AB68" i="15"/>
  <c r="AA68" i="15"/>
  <c r="P68" i="15"/>
  <c r="M68" i="15"/>
  <c r="N68" i="15" s="1"/>
  <c r="O68" i="15" s="1"/>
  <c r="H68" i="15"/>
  <c r="AF68" i="15" s="1"/>
  <c r="AH123" i="15"/>
  <c r="AG123" i="15"/>
  <c r="AE123" i="15"/>
  <c r="AD123" i="15"/>
  <c r="AB123" i="15"/>
  <c r="AA123" i="15"/>
  <c r="P123" i="15"/>
  <c r="M123" i="15"/>
  <c r="N123" i="15" s="1"/>
  <c r="H123" i="15"/>
  <c r="AH122" i="15"/>
  <c r="AG122" i="15"/>
  <c r="AE122" i="15"/>
  <c r="AD122" i="15"/>
  <c r="AB122" i="15"/>
  <c r="AA122" i="15"/>
  <c r="P122" i="15"/>
  <c r="M122" i="15"/>
  <c r="N122" i="15" s="1"/>
  <c r="H122" i="15"/>
  <c r="AF122" i="15" s="1"/>
  <c r="AH67" i="15"/>
  <c r="AG67" i="15"/>
  <c r="AE67" i="15"/>
  <c r="AD67" i="15"/>
  <c r="AB67" i="15"/>
  <c r="AA67" i="15"/>
  <c r="P67" i="15"/>
  <c r="M67" i="15"/>
  <c r="N67" i="15" s="1"/>
  <c r="H67" i="15"/>
  <c r="AH66" i="15"/>
  <c r="AG66" i="15"/>
  <c r="AE66" i="15"/>
  <c r="AD66" i="15"/>
  <c r="AB66" i="15"/>
  <c r="AA66" i="15"/>
  <c r="P66" i="15"/>
  <c r="M66" i="15"/>
  <c r="N66" i="15" s="1"/>
  <c r="H66" i="15"/>
  <c r="AF66" i="15" s="1"/>
  <c r="AH65" i="15"/>
  <c r="AG65" i="15"/>
  <c r="AE65" i="15"/>
  <c r="AD65" i="15"/>
  <c r="AB65" i="15"/>
  <c r="AA65" i="15"/>
  <c r="P65" i="15"/>
  <c r="M65" i="15"/>
  <c r="N65" i="15" s="1"/>
  <c r="H65" i="15"/>
  <c r="AF65" i="15" s="1"/>
  <c r="AH64" i="15"/>
  <c r="AG64" i="15"/>
  <c r="AE64" i="15"/>
  <c r="AD64" i="15"/>
  <c r="AB64" i="15"/>
  <c r="AA64" i="15"/>
  <c r="P64" i="15"/>
  <c r="M64" i="15"/>
  <c r="N64" i="15" s="1"/>
  <c r="H64" i="15"/>
  <c r="AF64" i="15" s="1"/>
  <c r="AH63" i="15"/>
  <c r="AG63" i="15"/>
  <c r="AE63" i="15"/>
  <c r="AD63" i="15"/>
  <c r="AB63" i="15"/>
  <c r="AA63" i="15"/>
  <c r="P63" i="15"/>
  <c r="M63" i="15"/>
  <c r="N63" i="15" s="1"/>
  <c r="H63" i="15"/>
  <c r="AF63" i="15" s="1"/>
  <c r="AH62" i="15"/>
  <c r="AG62" i="15"/>
  <c r="AE62" i="15"/>
  <c r="AD62" i="15"/>
  <c r="AB62" i="15"/>
  <c r="AA62" i="15"/>
  <c r="P62" i="15"/>
  <c r="M62" i="15"/>
  <c r="N62" i="15" s="1"/>
  <c r="H62" i="15"/>
  <c r="AF62" i="15" s="1"/>
  <c r="AH61" i="15"/>
  <c r="AG61" i="15"/>
  <c r="AE61" i="15"/>
  <c r="AD61" i="15"/>
  <c r="AB61" i="15"/>
  <c r="AA61" i="15"/>
  <c r="P61" i="15"/>
  <c r="M61" i="15"/>
  <c r="N61" i="15" s="1"/>
  <c r="H61" i="15"/>
  <c r="AF61" i="15" s="1"/>
  <c r="AH60" i="15"/>
  <c r="AG60" i="15"/>
  <c r="AE60" i="15"/>
  <c r="AD60" i="15"/>
  <c r="AB60" i="15"/>
  <c r="AA60" i="15"/>
  <c r="P60" i="15"/>
  <c r="M60" i="15"/>
  <c r="N60" i="15" s="1"/>
  <c r="H60" i="15"/>
  <c r="AF60" i="15" s="1"/>
  <c r="AH59" i="15"/>
  <c r="AG59" i="15"/>
  <c r="AE59" i="15"/>
  <c r="AD59" i="15"/>
  <c r="AB59" i="15"/>
  <c r="AA59" i="15"/>
  <c r="P59" i="15"/>
  <c r="M59" i="15"/>
  <c r="N59" i="15" s="1"/>
  <c r="H59" i="15"/>
  <c r="AF59" i="15" s="1"/>
  <c r="AH121" i="15"/>
  <c r="AG121" i="15"/>
  <c r="AE121" i="15"/>
  <c r="AD121" i="15"/>
  <c r="AB121" i="15"/>
  <c r="AA121" i="15"/>
  <c r="P121" i="15"/>
  <c r="M121" i="15"/>
  <c r="N121" i="15" s="1"/>
  <c r="H121" i="15"/>
  <c r="AF121" i="15" s="1"/>
  <c r="AH58" i="15"/>
  <c r="AG58" i="15"/>
  <c r="AE58" i="15"/>
  <c r="AD58" i="15"/>
  <c r="AB58" i="15"/>
  <c r="AA58" i="15"/>
  <c r="P58" i="15"/>
  <c r="M58" i="15"/>
  <c r="N58" i="15" s="1"/>
  <c r="H58" i="15"/>
  <c r="AF58" i="15" s="1"/>
  <c r="AH57" i="15"/>
  <c r="AG57" i="15"/>
  <c r="AE57" i="15"/>
  <c r="AD57" i="15"/>
  <c r="AB57" i="15"/>
  <c r="AA57" i="15"/>
  <c r="P57" i="15"/>
  <c r="M57" i="15"/>
  <c r="N57" i="15" s="1"/>
  <c r="H57" i="15"/>
  <c r="AF57" i="15" s="1"/>
  <c r="AH120" i="15"/>
  <c r="AG120" i="15"/>
  <c r="AE120" i="15"/>
  <c r="AD120" i="15"/>
  <c r="AB120" i="15"/>
  <c r="AA120" i="15"/>
  <c r="P120" i="15"/>
  <c r="M120" i="15"/>
  <c r="N120" i="15" s="1"/>
  <c r="H120" i="15"/>
  <c r="AF120" i="15" s="1"/>
  <c r="AH56" i="15"/>
  <c r="AG56" i="15"/>
  <c r="AE56" i="15"/>
  <c r="AD56" i="15"/>
  <c r="AB56" i="15"/>
  <c r="AA56" i="15"/>
  <c r="P56" i="15"/>
  <c r="M56" i="15"/>
  <c r="N56" i="15" s="1"/>
  <c r="H56" i="15"/>
  <c r="AC56" i="15" s="1"/>
  <c r="AH55" i="15"/>
  <c r="AG55" i="15"/>
  <c r="AE55" i="15"/>
  <c r="AD55" i="15"/>
  <c r="AB55" i="15"/>
  <c r="AA55" i="15"/>
  <c r="P55" i="15"/>
  <c r="M55" i="15"/>
  <c r="N55" i="15" s="1"/>
  <c r="H55" i="15"/>
  <c r="AF55" i="15" s="1"/>
  <c r="AH54" i="15"/>
  <c r="AG54" i="15"/>
  <c r="AE54" i="15"/>
  <c r="AD54" i="15"/>
  <c r="AB54" i="15"/>
  <c r="AA54" i="15"/>
  <c r="P54" i="15"/>
  <c r="M54" i="15"/>
  <c r="N54" i="15" s="1"/>
  <c r="H54" i="15"/>
  <c r="AC54" i="15" s="1"/>
  <c r="AH53" i="15"/>
  <c r="AG53" i="15"/>
  <c r="AE53" i="15"/>
  <c r="AD53" i="15"/>
  <c r="AB53" i="15"/>
  <c r="AA53" i="15"/>
  <c r="P53" i="15"/>
  <c r="M53" i="15"/>
  <c r="N53" i="15" s="1"/>
  <c r="H53" i="15"/>
  <c r="AF53" i="15" s="1"/>
  <c r="AH52" i="15"/>
  <c r="AG52" i="15"/>
  <c r="AE52" i="15"/>
  <c r="AD52" i="15"/>
  <c r="AB52" i="15"/>
  <c r="AA52" i="15"/>
  <c r="P52" i="15"/>
  <c r="M52" i="15"/>
  <c r="N52" i="15" s="1"/>
  <c r="H52" i="15"/>
  <c r="AF52" i="15" s="1"/>
  <c r="AH51" i="15"/>
  <c r="AG51" i="15"/>
  <c r="AE51" i="15"/>
  <c r="AD51" i="15"/>
  <c r="AB51" i="15"/>
  <c r="AA51" i="15"/>
  <c r="P51" i="15"/>
  <c r="M51" i="15"/>
  <c r="N51" i="15" s="1"/>
  <c r="H51" i="15"/>
  <c r="AF51" i="15" s="1"/>
  <c r="AH50" i="15"/>
  <c r="AG50" i="15"/>
  <c r="AE50" i="15"/>
  <c r="AD50" i="15"/>
  <c r="AB50" i="15"/>
  <c r="AA50" i="15"/>
  <c r="P50" i="15"/>
  <c r="M50" i="15"/>
  <c r="N50" i="15" s="1"/>
  <c r="H50" i="15"/>
  <c r="AF50" i="15" s="1"/>
  <c r="AH49" i="15"/>
  <c r="AG49" i="15"/>
  <c r="AE49" i="15"/>
  <c r="AD49" i="15"/>
  <c r="AB49" i="15"/>
  <c r="AA49" i="15"/>
  <c r="P49" i="15"/>
  <c r="M49" i="15"/>
  <c r="N49" i="15" s="1"/>
  <c r="H49" i="15"/>
  <c r="AF49" i="15" s="1"/>
  <c r="AH48" i="15"/>
  <c r="AG48" i="15"/>
  <c r="AE48" i="15"/>
  <c r="AD48" i="15"/>
  <c r="AB48" i="15"/>
  <c r="AA48" i="15"/>
  <c r="P48" i="15"/>
  <c r="M48" i="15"/>
  <c r="N48" i="15" s="1"/>
  <c r="H48" i="15"/>
  <c r="AF48" i="15" s="1"/>
  <c r="AH47" i="15"/>
  <c r="AG47" i="15"/>
  <c r="AE47" i="15"/>
  <c r="AD47" i="15"/>
  <c r="AB47" i="15"/>
  <c r="AA47" i="15"/>
  <c r="P47" i="15"/>
  <c r="M47" i="15"/>
  <c r="N47" i="15" s="1"/>
  <c r="H47" i="15"/>
  <c r="AC47" i="15" s="1"/>
  <c r="AH46" i="15"/>
  <c r="AG46" i="15"/>
  <c r="AE46" i="15"/>
  <c r="AD46" i="15"/>
  <c r="AB46" i="15"/>
  <c r="AA46" i="15"/>
  <c r="P46" i="15"/>
  <c r="M46" i="15"/>
  <c r="N46" i="15" s="1"/>
  <c r="H46" i="15"/>
  <c r="AF46" i="15" s="1"/>
  <c r="AH45" i="15"/>
  <c r="AG45" i="15"/>
  <c r="AE45" i="15"/>
  <c r="AD45" i="15"/>
  <c r="AB45" i="15"/>
  <c r="AA45" i="15"/>
  <c r="P45" i="15"/>
  <c r="M45" i="15"/>
  <c r="N45" i="15" s="1"/>
  <c r="H45" i="15"/>
  <c r="AC45" i="15" s="1"/>
  <c r="AH44" i="15"/>
  <c r="AG44" i="15"/>
  <c r="AE44" i="15"/>
  <c r="AD44" i="15"/>
  <c r="AB44" i="15"/>
  <c r="AA44" i="15"/>
  <c r="P44" i="15"/>
  <c r="M44" i="15"/>
  <c r="N44" i="15" s="1"/>
  <c r="H44" i="15"/>
  <c r="AF44" i="15" s="1"/>
  <c r="AH43" i="15"/>
  <c r="AG43" i="15"/>
  <c r="AE43" i="15"/>
  <c r="AD43" i="15"/>
  <c r="AB43" i="15"/>
  <c r="AA43" i="15"/>
  <c r="P43" i="15"/>
  <c r="M43" i="15"/>
  <c r="N43" i="15" s="1"/>
  <c r="H43" i="15"/>
  <c r="AC43" i="15" s="1"/>
  <c r="AH42" i="15"/>
  <c r="AG42" i="15"/>
  <c r="AE42" i="15"/>
  <c r="AD42" i="15"/>
  <c r="AB42" i="15"/>
  <c r="AA42" i="15"/>
  <c r="P42" i="15"/>
  <c r="M42" i="15"/>
  <c r="N42" i="15" s="1"/>
  <c r="H42" i="15"/>
  <c r="AF42" i="15" s="1"/>
  <c r="AH41" i="15"/>
  <c r="AG41" i="15"/>
  <c r="AE41" i="15"/>
  <c r="AD41" i="15"/>
  <c r="AB41" i="15"/>
  <c r="AA41" i="15"/>
  <c r="P41" i="15"/>
  <c r="M41" i="15"/>
  <c r="N41" i="15" s="1"/>
  <c r="H41" i="15"/>
  <c r="AC41" i="15" s="1"/>
  <c r="AH40" i="15"/>
  <c r="AG40" i="15"/>
  <c r="AE40" i="15"/>
  <c r="AD40" i="15"/>
  <c r="AB40" i="15"/>
  <c r="AA40" i="15"/>
  <c r="P40" i="15"/>
  <c r="M40" i="15"/>
  <c r="N40" i="15" s="1"/>
  <c r="H40" i="15"/>
  <c r="AC40" i="15" s="1"/>
  <c r="AH39" i="15"/>
  <c r="AG39" i="15"/>
  <c r="AE39" i="15"/>
  <c r="AD39" i="15"/>
  <c r="AB39" i="15"/>
  <c r="AA39" i="15"/>
  <c r="P39" i="15"/>
  <c r="M39" i="15"/>
  <c r="N39" i="15" s="1"/>
  <c r="H39" i="15"/>
  <c r="AF39" i="15" s="1"/>
  <c r="AH38" i="15"/>
  <c r="AG38" i="15"/>
  <c r="AE38" i="15"/>
  <c r="AD38" i="15"/>
  <c r="AB38" i="15"/>
  <c r="AA38" i="15"/>
  <c r="P38" i="15"/>
  <c r="M38" i="15"/>
  <c r="N38" i="15" s="1"/>
  <c r="H38" i="15"/>
  <c r="AF38" i="15" s="1"/>
  <c r="AH37" i="15"/>
  <c r="AG37" i="15"/>
  <c r="AE37" i="15"/>
  <c r="AD37" i="15"/>
  <c r="AB37" i="15"/>
  <c r="AA37" i="15"/>
  <c r="P37" i="15"/>
  <c r="M37" i="15"/>
  <c r="N37" i="15" s="1"/>
  <c r="H37" i="15"/>
  <c r="AC37" i="15" s="1"/>
  <c r="AH36" i="15"/>
  <c r="AG36" i="15"/>
  <c r="AE36" i="15"/>
  <c r="AD36" i="15"/>
  <c r="AB36" i="15"/>
  <c r="AA36" i="15"/>
  <c r="P36" i="15"/>
  <c r="M36" i="15"/>
  <c r="N36" i="15" s="1"/>
  <c r="H36" i="15"/>
  <c r="AF36" i="15" s="1"/>
  <c r="AH35" i="15"/>
  <c r="AG35" i="15"/>
  <c r="AE35" i="15"/>
  <c r="AD35" i="15"/>
  <c r="AB35" i="15"/>
  <c r="AA35" i="15"/>
  <c r="P35" i="15"/>
  <c r="M35" i="15"/>
  <c r="N35" i="15" s="1"/>
  <c r="H35" i="15"/>
  <c r="AF35" i="15" s="1"/>
  <c r="AH34" i="15"/>
  <c r="AG34" i="15"/>
  <c r="AE34" i="15"/>
  <c r="AD34" i="15"/>
  <c r="AB34" i="15"/>
  <c r="AA34" i="15"/>
  <c r="P34" i="15"/>
  <c r="M34" i="15"/>
  <c r="N34" i="15" s="1"/>
  <c r="H34" i="15"/>
  <c r="AC34" i="15" s="1"/>
  <c r="AH33" i="15"/>
  <c r="AG33" i="15"/>
  <c r="AE33" i="15"/>
  <c r="AD33" i="15"/>
  <c r="AB33" i="15"/>
  <c r="AA33" i="15"/>
  <c r="P33" i="15"/>
  <c r="M33" i="15"/>
  <c r="N33" i="15" s="1"/>
  <c r="H33" i="15"/>
  <c r="AF33" i="15" s="1"/>
  <c r="AH32" i="15"/>
  <c r="AG32" i="15"/>
  <c r="AE32" i="15"/>
  <c r="AD32" i="15"/>
  <c r="AB32" i="15"/>
  <c r="AA32" i="15"/>
  <c r="P32" i="15"/>
  <c r="M32" i="15"/>
  <c r="N32" i="15" s="1"/>
  <c r="H32" i="15"/>
  <c r="AF32" i="15" s="1"/>
  <c r="AH31" i="15"/>
  <c r="AG31" i="15"/>
  <c r="AE31" i="15"/>
  <c r="AD31" i="15"/>
  <c r="AB31" i="15"/>
  <c r="AA31" i="15"/>
  <c r="P31" i="15"/>
  <c r="M31" i="15"/>
  <c r="N31" i="15" s="1"/>
  <c r="H31" i="15"/>
  <c r="AF31" i="15" s="1"/>
  <c r="AH30" i="15"/>
  <c r="AG30" i="15"/>
  <c r="AE30" i="15"/>
  <c r="AD30" i="15"/>
  <c r="AB30" i="15"/>
  <c r="AA30" i="15"/>
  <c r="P30" i="15"/>
  <c r="M30" i="15"/>
  <c r="N30" i="15" s="1"/>
  <c r="H30" i="15"/>
  <c r="AC30" i="15" s="1"/>
  <c r="AH29" i="15"/>
  <c r="AG29" i="15"/>
  <c r="AE29" i="15"/>
  <c r="AD29" i="15"/>
  <c r="AB29" i="15"/>
  <c r="AA29" i="15"/>
  <c r="P29" i="15"/>
  <c r="M29" i="15"/>
  <c r="N29" i="15" s="1"/>
  <c r="H29" i="15"/>
  <c r="AF29" i="15" s="1"/>
  <c r="AH28" i="15"/>
  <c r="AG28" i="15"/>
  <c r="AE28" i="15"/>
  <c r="AD28" i="15"/>
  <c r="AB28" i="15"/>
  <c r="AA28" i="15"/>
  <c r="P28" i="15"/>
  <c r="M28" i="15"/>
  <c r="N28" i="15" s="1"/>
  <c r="H28" i="15"/>
  <c r="AC28" i="15" s="1"/>
  <c r="AH27" i="15"/>
  <c r="AG27" i="15"/>
  <c r="AE27" i="15"/>
  <c r="AD27" i="15"/>
  <c r="AB27" i="15"/>
  <c r="AA27" i="15"/>
  <c r="P27" i="15"/>
  <c r="M27" i="15"/>
  <c r="N27" i="15" s="1"/>
  <c r="H27" i="15"/>
  <c r="AF27" i="15" s="1"/>
  <c r="AH26" i="15"/>
  <c r="AG26" i="15"/>
  <c r="AE26" i="15"/>
  <c r="AD26" i="15"/>
  <c r="AB26" i="15"/>
  <c r="AA26" i="15"/>
  <c r="P26" i="15"/>
  <c r="M26" i="15"/>
  <c r="N26" i="15" s="1"/>
  <c r="H26" i="15"/>
  <c r="AF26" i="15" s="1"/>
  <c r="AH25" i="15"/>
  <c r="AG25" i="15"/>
  <c r="AE25" i="15"/>
  <c r="AD25" i="15"/>
  <c r="AB25" i="15"/>
  <c r="AA25" i="15"/>
  <c r="P25" i="15"/>
  <c r="M25" i="15"/>
  <c r="N25" i="15" s="1"/>
  <c r="H25" i="15"/>
  <c r="AF25" i="15" s="1"/>
  <c r="AH24" i="15"/>
  <c r="AG24" i="15"/>
  <c r="AE24" i="15"/>
  <c r="AD24" i="15"/>
  <c r="AB24" i="15"/>
  <c r="AA24" i="15"/>
  <c r="P24" i="15"/>
  <c r="M24" i="15"/>
  <c r="N24" i="15" s="1"/>
  <c r="H24" i="15"/>
  <c r="AF24" i="15" s="1"/>
  <c r="AH23" i="15"/>
  <c r="AG23" i="15"/>
  <c r="AE23" i="15"/>
  <c r="AD23" i="15"/>
  <c r="AB23" i="15"/>
  <c r="AA23" i="15"/>
  <c r="P23" i="15"/>
  <c r="M23" i="15"/>
  <c r="N23" i="15" s="1"/>
  <c r="H23" i="15"/>
  <c r="AC23" i="15" s="1"/>
  <c r="AH22" i="15"/>
  <c r="AG22" i="15"/>
  <c r="AE22" i="15"/>
  <c r="AD22" i="15"/>
  <c r="AB22" i="15"/>
  <c r="AA22" i="15"/>
  <c r="P22" i="15"/>
  <c r="M22" i="15"/>
  <c r="N22" i="15" s="1"/>
  <c r="H22" i="15"/>
  <c r="AF22" i="15" s="1"/>
  <c r="AH21" i="15"/>
  <c r="AG21" i="15"/>
  <c r="AE21" i="15"/>
  <c r="AD21" i="15"/>
  <c r="AB21" i="15"/>
  <c r="AA21" i="15"/>
  <c r="P21" i="15"/>
  <c r="M21" i="15"/>
  <c r="N21" i="15" s="1"/>
  <c r="H21" i="15"/>
  <c r="AF21" i="15" s="1"/>
  <c r="AH20" i="15"/>
  <c r="AG20" i="15"/>
  <c r="AE20" i="15"/>
  <c r="AD20" i="15"/>
  <c r="AB20" i="15"/>
  <c r="AA20" i="15"/>
  <c r="P20" i="15"/>
  <c r="M20" i="15"/>
  <c r="N20" i="15" s="1"/>
  <c r="H20" i="15"/>
  <c r="AF20" i="15" s="1"/>
  <c r="AH19" i="15"/>
  <c r="AG19" i="15"/>
  <c r="AE19" i="15"/>
  <c r="AD19" i="15"/>
  <c r="AB19" i="15"/>
  <c r="AA19" i="15"/>
  <c r="P19" i="15"/>
  <c r="M19" i="15"/>
  <c r="N19" i="15" s="1"/>
  <c r="H19" i="15"/>
  <c r="AF19" i="15" s="1"/>
  <c r="AH18" i="15"/>
  <c r="AG18" i="15"/>
  <c r="AE18" i="15"/>
  <c r="AD18" i="15"/>
  <c r="AB18" i="15"/>
  <c r="AA18" i="15"/>
  <c r="P18" i="15"/>
  <c r="M18" i="15"/>
  <c r="N18" i="15" s="1"/>
  <c r="H18" i="15"/>
  <c r="AF18" i="15" s="1"/>
  <c r="AH17" i="15"/>
  <c r="AG17" i="15"/>
  <c r="AE17" i="15"/>
  <c r="AD17" i="15"/>
  <c r="AB17" i="15"/>
  <c r="AA17" i="15"/>
  <c r="P17" i="15"/>
  <c r="M17" i="15"/>
  <c r="N17" i="15" s="1"/>
  <c r="H17" i="15"/>
  <c r="AC17" i="15" s="1"/>
  <c r="AH16" i="15"/>
  <c r="AG16" i="15"/>
  <c r="AE16" i="15"/>
  <c r="AD16" i="15"/>
  <c r="AB16" i="15"/>
  <c r="AA16" i="15"/>
  <c r="P16" i="15"/>
  <c r="M16" i="15"/>
  <c r="N16" i="15" s="1"/>
  <c r="H16" i="15"/>
  <c r="AF16" i="15" s="1"/>
  <c r="AH15" i="15"/>
  <c r="AG15" i="15"/>
  <c r="AE15" i="15"/>
  <c r="AD15" i="15"/>
  <c r="AB15" i="15"/>
  <c r="AA15" i="15"/>
  <c r="P15" i="15"/>
  <c r="M15" i="15"/>
  <c r="N15" i="15" s="1"/>
  <c r="H15" i="15"/>
  <c r="AC15" i="15" s="1"/>
  <c r="AH14" i="15"/>
  <c r="AG14" i="15"/>
  <c r="AE14" i="15"/>
  <c r="AD14" i="15"/>
  <c r="AB14" i="15"/>
  <c r="AA14" i="15"/>
  <c r="P14" i="15"/>
  <c r="M14" i="15"/>
  <c r="N14" i="15" s="1"/>
  <c r="H14" i="15"/>
  <c r="AF14" i="15" s="1"/>
  <c r="AH13" i="15"/>
  <c r="AG13" i="15"/>
  <c r="AE13" i="15"/>
  <c r="AD13" i="15"/>
  <c r="AB13" i="15"/>
  <c r="AA13" i="15"/>
  <c r="P13" i="15"/>
  <c r="M13" i="15"/>
  <c r="N13" i="15" s="1"/>
  <c r="H13" i="15"/>
  <c r="AF13" i="15" s="1"/>
  <c r="T105" i="15" l="1"/>
  <c r="T127" i="15" s="1"/>
  <c r="AC63" i="15"/>
  <c r="AF80" i="15"/>
  <c r="O37" i="15"/>
  <c r="AC36" i="15"/>
  <c r="AC18" i="15"/>
  <c r="O18" i="15" s="1"/>
  <c r="Q18" i="15" s="1"/>
  <c r="AC52" i="15"/>
  <c r="O52" i="15" s="1"/>
  <c r="U87" i="15"/>
  <c r="V87" i="15" s="1"/>
  <c r="X87" i="15" s="1"/>
  <c r="AF37" i="15"/>
  <c r="AC38" i="15"/>
  <c r="O38" i="15" s="1"/>
  <c r="U40" i="15"/>
  <c r="V40" i="15" s="1"/>
  <c r="X40" i="15" s="1"/>
  <c r="S68" i="15"/>
  <c r="AC19" i="15"/>
  <c r="U19" i="15" s="1"/>
  <c r="V19" i="15" s="1"/>
  <c r="X19" i="15" s="1"/>
  <c r="AC25" i="15"/>
  <c r="U25" i="15" s="1"/>
  <c r="V25" i="15" s="1"/>
  <c r="X25" i="15" s="1"/>
  <c r="U63" i="15"/>
  <c r="V63" i="15" s="1"/>
  <c r="X63" i="15" s="1"/>
  <c r="AC65" i="15"/>
  <c r="O65" i="15" s="1"/>
  <c r="S65" i="15" s="1"/>
  <c r="AC16" i="15"/>
  <c r="O16" i="15" s="1"/>
  <c r="AC32" i="15"/>
  <c r="U32" i="15" s="1"/>
  <c r="V32" i="15" s="1"/>
  <c r="X32" i="15" s="1"/>
  <c r="U37" i="15"/>
  <c r="V37" i="15" s="1"/>
  <c r="X37" i="15" s="1"/>
  <c r="AC26" i="15"/>
  <c r="AF40" i="15"/>
  <c r="O43" i="15"/>
  <c r="S43" i="15" s="1"/>
  <c r="AC49" i="15"/>
  <c r="U49" i="15" s="1"/>
  <c r="V49" i="15" s="1"/>
  <c r="X49" i="15" s="1"/>
  <c r="U118" i="15"/>
  <c r="V118" i="15" s="1"/>
  <c r="X118" i="15" s="1"/>
  <c r="AC13" i="15"/>
  <c r="O13" i="15" s="1"/>
  <c r="AF17" i="15"/>
  <c r="U54" i="15"/>
  <c r="V54" i="15" s="1"/>
  <c r="X54" i="15" s="1"/>
  <c r="AF95" i="15"/>
  <c r="AC122" i="15"/>
  <c r="U122" i="15" s="1"/>
  <c r="V122" i="15" s="1"/>
  <c r="X122" i="15" s="1"/>
  <c r="U18" i="15"/>
  <c r="V18" i="15" s="1"/>
  <c r="X18" i="15" s="1"/>
  <c r="O23" i="15"/>
  <c r="S23" i="15" s="1"/>
  <c r="AF23" i="15"/>
  <c r="AC24" i="15"/>
  <c r="O24" i="15" s="1"/>
  <c r="AC60" i="15"/>
  <c r="U60" i="15" s="1"/>
  <c r="V60" i="15" s="1"/>
  <c r="X60" i="15" s="1"/>
  <c r="AC79" i="15"/>
  <c r="O118" i="15"/>
  <c r="S118" i="15" s="1"/>
  <c r="U36" i="15"/>
  <c r="V36" i="15" s="1"/>
  <c r="X36" i="15" s="1"/>
  <c r="AC21" i="15"/>
  <c r="O21" i="15" s="1"/>
  <c r="AC33" i="15"/>
  <c r="O33" i="15" s="1"/>
  <c r="AC39" i="15"/>
  <c r="O39" i="15" s="1"/>
  <c r="Q39" i="15" s="1"/>
  <c r="AC50" i="15"/>
  <c r="O50" i="15" s="1"/>
  <c r="AC53" i="15"/>
  <c r="O53" i="15" s="1"/>
  <c r="AF56" i="15"/>
  <c r="U114" i="15"/>
  <c r="V114" i="15" s="1"/>
  <c r="X114" i="15" s="1"/>
  <c r="AF15" i="15"/>
  <c r="AC22" i="15"/>
  <c r="U22" i="15" s="1"/>
  <c r="V22" i="15" s="1"/>
  <c r="X22" i="15" s="1"/>
  <c r="Q23" i="15"/>
  <c r="AC116" i="15"/>
  <c r="O116" i="15" s="1"/>
  <c r="S116" i="15" s="1"/>
  <c r="O15" i="15"/>
  <c r="S15" i="15" s="1"/>
  <c r="O47" i="15"/>
  <c r="R105" i="15"/>
  <c r="R127" i="15" s="1"/>
  <c r="AC51" i="15"/>
  <c r="O51" i="15" s="1"/>
  <c r="AF103" i="15"/>
  <c r="AC14" i="15"/>
  <c r="U14" i="15" s="1"/>
  <c r="V14" i="15" s="1"/>
  <c r="X14" i="15" s="1"/>
  <c r="AC20" i="15"/>
  <c r="AC35" i="15"/>
  <c r="U35" i="15" s="1"/>
  <c r="V35" i="15" s="1"/>
  <c r="X35" i="15" s="1"/>
  <c r="AF54" i="15"/>
  <c r="AC55" i="15"/>
  <c r="O55" i="15" s="1"/>
  <c r="O41" i="15"/>
  <c r="U56" i="15"/>
  <c r="V56" i="15" s="1"/>
  <c r="X56" i="15" s="1"/>
  <c r="O45" i="15"/>
  <c r="S45" i="15" s="1"/>
  <c r="U34" i="15"/>
  <c r="V34" i="15" s="1"/>
  <c r="X34" i="15" s="1"/>
  <c r="AF41" i="15"/>
  <c r="AC42" i="15"/>
  <c r="U42" i="15" s="1"/>
  <c r="V42" i="15" s="1"/>
  <c r="X42" i="15" s="1"/>
  <c r="AF43" i="15"/>
  <c r="AC44" i="15"/>
  <c r="U44" i="15" s="1"/>
  <c r="V44" i="15" s="1"/>
  <c r="X44" i="15" s="1"/>
  <c r="AF45" i="15"/>
  <c r="W105" i="15"/>
  <c r="W127" i="15" s="1"/>
  <c r="AC85" i="15"/>
  <c r="U85" i="15" s="1"/>
  <c r="V85" i="15" s="1"/>
  <c r="X85" i="15" s="1"/>
  <c r="AF97" i="15"/>
  <c r="O108" i="15"/>
  <c r="Q108" i="15" s="1"/>
  <c r="AC112" i="15"/>
  <c r="O112" i="15" s="1"/>
  <c r="AF30" i="15"/>
  <c r="AF34" i="15"/>
  <c r="AC46" i="15"/>
  <c r="U46" i="15" s="1"/>
  <c r="V46" i="15" s="1"/>
  <c r="X46" i="15" s="1"/>
  <c r="AF47" i="15"/>
  <c r="AC120" i="15"/>
  <c r="O120" i="15" s="1"/>
  <c r="AC121" i="15"/>
  <c r="O121" i="15" s="1"/>
  <c r="S121" i="15" s="1"/>
  <c r="U95" i="15"/>
  <c r="V95" i="15" s="1"/>
  <c r="X95" i="15" s="1"/>
  <c r="O97" i="15"/>
  <c r="S97" i="15" s="1"/>
  <c r="U16" i="15"/>
  <c r="V16" i="15" s="1"/>
  <c r="X16" i="15" s="1"/>
  <c r="AF28" i="15"/>
  <c r="U13" i="15"/>
  <c r="AC27" i="15"/>
  <c r="U27" i="15" s="1"/>
  <c r="V27" i="15" s="1"/>
  <c r="X27" i="15" s="1"/>
  <c r="AC29" i="15"/>
  <c r="O29" i="15" s="1"/>
  <c r="AC48" i="15"/>
  <c r="U48" i="15" s="1"/>
  <c r="V48" i="15" s="1"/>
  <c r="X48" i="15" s="1"/>
  <c r="O54" i="15"/>
  <c r="AC66" i="15"/>
  <c r="O66" i="15" s="1"/>
  <c r="S66" i="15" s="1"/>
  <c r="Q68" i="15"/>
  <c r="AC81" i="15"/>
  <c r="U81" i="15" s="1"/>
  <c r="V81" i="15" s="1"/>
  <c r="X81" i="15" s="1"/>
  <c r="AF93" i="15"/>
  <c r="U55" i="15"/>
  <c r="V55" i="15" s="1"/>
  <c r="X55" i="15" s="1"/>
  <c r="AC64" i="15"/>
  <c r="O64" i="15" s="1"/>
  <c r="S64" i="15" s="1"/>
  <c r="AC84" i="15"/>
  <c r="U84" i="15" s="1"/>
  <c r="V84" i="15" s="1"/>
  <c r="X84" i="15" s="1"/>
  <c r="AC86" i="15"/>
  <c r="U86" i="15" s="1"/>
  <c r="V86" i="15" s="1"/>
  <c r="X86" i="15" s="1"/>
  <c r="AF87" i="15"/>
  <c r="AC88" i="15"/>
  <c r="U88" i="15" s="1"/>
  <c r="V88" i="15" s="1"/>
  <c r="X88" i="15" s="1"/>
  <c r="AF99" i="15"/>
  <c r="U15" i="15"/>
  <c r="V15" i="15" s="1"/>
  <c r="X15" i="15" s="1"/>
  <c r="U41" i="15"/>
  <c r="V41" i="15" s="1"/>
  <c r="X41" i="15" s="1"/>
  <c r="U43" i="15"/>
  <c r="V43" i="15" s="1"/>
  <c r="X43" i="15" s="1"/>
  <c r="U45" i="15"/>
  <c r="V45" i="15" s="1"/>
  <c r="X45" i="15" s="1"/>
  <c r="AC59" i="15"/>
  <c r="U59" i="15" s="1"/>
  <c r="V59" i="15" s="1"/>
  <c r="X59" i="15" s="1"/>
  <c r="U68" i="15"/>
  <c r="V68" i="15" s="1"/>
  <c r="X68" i="15" s="1"/>
  <c r="AC31" i="15"/>
  <c r="O31" i="15" s="1"/>
  <c r="S31" i="15" s="1"/>
  <c r="U47" i="15"/>
  <c r="V47" i="15" s="1"/>
  <c r="X47" i="15" s="1"/>
  <c r="P104" i="15"/>
  <c r="O114" i="15"/>
  <c r="S114" i="15" s="1"/>
  <c r="P72" i="15"/>
  <c r="U17" i="15"/>
  <c r="V17" i="15" s="1"/>
  <c r="X17" i="15" s="1"/>
  <c r="U23" i="15"/>
  <c r="V23" i="15" s="1"/>
  <c r="X23" i="15" s="1"/>
  <c r="Y23" i="15" s="1"/>
  <c r="Z23" i="15" s="1"/>
  <c r="U28" i="15"/>
  <c r="V28" i="15" s="1"/>
  <c r="X28" i="15" s="1"/>
  <c r="U30" i="15"/>
  <c r="V30" i="15" s="1"/>
  <c r="X30" i="15" s="1"/>
  <c r="AC68" i="15"/>
  <c r="O95" i="15"/>
  <c r="S95" i="15" s="1"/>
  <c r="AF101" i="15"/>
  <c r="AC124" i="15"/>
  <c r="O124" i="15" s="1"/>
  <c r="U108" i="15"/>
  <c r="V108" i="15" s="1"/>
  <c r="AC110" i="15"/>
  <c r="U110" i="15" s="1"/>
  <c r="V110" i="15" s="1"/>
  <c r="X110" i="15" s="1"/>
  <c r="M125" i="15"/>
  <c r="N125" i="15"/>
  <c r="O26" i="15"/>
  <c r="S47" i="15"/>
  <c r="Q47" i="15"/>
  <c r="O56" i="15"/>
  <c r="Q54" i="15"/>
  <c r="S54" i="15"/>
  <c r="Y54" i="15" s="1"/>
  <c r="Z54" i="15" s="1"/>
  <c r="U20" i="15"/>
  <c r="V20" i="15" s="1"/>
  <c r="X20" i="15" s="1"/>
  <c r="O36" i="15"/>
  <c r="O40" i="15"/>
  <c r="O17" i="15"/>
  <c r="O25" i="15"/>
  <c r="Q37" i="15"/>
  <c r="S37" i="15"/>
  <c r="Q41" i="15"/>
  <c r="S41" i="15"/>
  <c r="U26" i="15"/>
  <c r="V26" i="15" s="1"/>
  <c r="X26" i="15" s="1"/>
  <c r="O30" i="15"/>
  <c r="V13" i="15"/>
  <c r="Q43" i="15"/>
  <c r="N72" i="15"/>
  <c r="O20" i="15"/>
  <c r="O28" i="15"/>
  <c r="O34" i="15"/>
  <c r="AC71" i="15"/>
  <c r="AF71" i="15"/>
  <c r="AC75" i="15"/>
  <c r="AF75" i="15"/>
  <c r="P89" i="15"/>
  <c r="M104" i="15"/>
  <c r="N93" i="15"/>
  <c r="N104" i="15" s="1"/>
  <c r="N86" i="15"/>
  <c r="AC61" i="15"/>
  <c r="U61" i="15" s="1"/>
  <c r="V61" i="15" s="1"/>
  <c r="X61" i="15" s="1"/>
  <c r="AC62" i="15"/>
  <c r="U62" i="15" s="1"/>
  <c r="V62" i="15" s="1"/>
  <c r="X62" i="15" s="1"/>
  <c r="Y68" i="15"/>
  <c r="Z68" i="15" s="1"/>
  <c r="AC77" i="15"/>
  <c r="AF77" i="15"/>
  <c r="O80" i="15"/>
  <c r="S80" i="15" s="1"/>
  <c r="U99" i="15"/>
  <c r="V99" i="15" s="1"/>
  <c r="X99" i="15" s="1"/>
  <c r="AC67" i="15"/>
  <c r="U67" i="15" s="1"/>
  <c r="V67" i="15" s="1"/>
  <c r="X67" i="15" s="1"/>
  <c r="AF67" i="15"/>
  <c r="AC82" i="15"/>
  <c r="AF82" i="15"/>
  <c r="K89" i="15"/>
  <c r="K105" i="15" s="1"/>
  <c r="K127" i="15" s="1"/>
  <c r="N77" i="15"/>
  <c r="M80" i="15"/>
  <c r="N80" i="15" s="1"/>
  <c r="O88" i="15"/>
  <c r="S88" i="15" s="1"/>
  <c r="U97" i="15"/>
  <c r="V97" i="15" s="1"/>
  <c r="X97" i="15" s="1"/>
  <c r="AC57" i="15"/>
  <c r="U57" i="15" s="1"/>
  <c r="V57" i="15" s="1"/>
  <c r="X57" i="15" s="1"/>
  <c r="AC123" i="15"/>
  <c r="U123" i="15" s="1"/>
  <c r="V123" i="15" s="1"/>
  <c r="X123" i="15" s="1"/>
  <c r="AF123" i="15"/>
  <c r="N79" i="15"/>
  <c r="O79" i="15" s="1"/>
  <c r="O87" i="15"/>
  <c r="S87" i="15" s="1"/>
  <c r="N87" i="15"/>
  <c r="Q118" i="15"/>
  <c r="M72" i="15"/>
  <c r="AC58" i="15"/>
  <c r="U58" i="15" s="1"/>
  <c r="V58" i="15" s="1"/>
  <c r="X58" i="15" s="1"/>
  <c r="O63" i="15"/>
  <c r="S63" i="15" s="1"/>
  <c r="Y63" i="15" s="1"/>
  <c r="Z63" i="15" s="1"/>
  <c r="U64" i="15"/>
  <c r="V64" i="15" s="1"/>
  <c r="X64" i="15" s="1"/>
  <c r="Y64" i="15" s="1"/>
  <c r="U93" i="15"/>
  <c r="O93" i="15"/>
  <c r="Q93" i="15" s="1"/>
  <c r="AC74" i="15"/>
  <c r="U74" i="15" s="1"/>
  <c r="AC76" i="15"/>
  <c r="U76" i="15" s="1"/>
  <c r="V76" i="15" s="1"/>
  <c r="X76" i="15" s="1"/>
  <c r="U79" i="15"/>
  <c r="V79" i="15" s="1"/>
  <c r="X79" i="15" s="1"/>
  <c r="AC94" i="15"/>
  <c r="O94" i="15" s="1"/>
  <c r="AC96" i="15"/>
  <c r="O96" i="15" s="1"/>
  <c r="AC98" i="15"/>
  <c r="O98" i="15" s="1"/>
  <c r="AC100" i="15"/>
  <c r="O100" i="15" s="1"/>
  <c r="AC102" i="15"/>
  <c r="O102" i="15" s="1"/>
  <c r="O99" i="15"/>
  <c r="S99" i="15" s="1"/>
  <c r="O101" i="15"/>
  <c r="S101" i="15" s="1"/>
  <c r="O103" i="15"/>
  <c r="S103" i="15" s="1"/>
  <c r="AF108" i="15"/>
  <c r="AF114" i="15"/>
  <c r="AF118" i="15"/>
  <c r="AC78" i="15"/>
  <c r="O78" i="15" s="1"/>
  <c r="AC83" i="15"/>
  <c r="O83" i="15" s="1"/>
  <c r="P125" i="15"/>
  <c r="A10" i="13"/>
  <c r="A9" i="13"/>
  <c r="A8" i="13"/>
  <c r="A1" i="13"/>
  <c r="E8" i="6"/>
  <c r="E7" i="6"/>
  <c r="Y95" i="15" l="1"/>
  <c r="Z95" i="15" s="1"/>
  <c r="U65" i="15"/>
  <c r="V65" i="15" s="1"/>
  <c r="X65" i="15" s="1"/>
  <c r="E15" i="6"/>
  <c r="E49" i="6" s="1"/>
  <c r="O122" i="15"/>
  <c r="S122" i="15" s="1"/>
  <c r="Y122" i="15" s="1"/>
  <c r="Z122" i="15" s="1"/>
  <c r="Q64" i="15"/>
  <c r="U116" i="15"/>
  <c r="V116" i="15" s="1"/>
  <c r="X116" i="15" s="1"/>
  <c r="Y116" i="15" s="1"/>
  <c r="Z116" i="15" s="1"/>
  <c r="O42" i="15"/>
  <c r="O48" i="15"/>
  <c r="Q116" i="15"/>
  <c r="Y87" i="15"/>
  <c r="Z87" i="15" s="1"/>
  <c r="Y43" i="15"/>
  <c r="Z43" i="15" s="1"/>
  <c r="U112" i="15"/>
  <c r="V112" i="15" s="1"/>
  <c r="X112" i="15" s="1"/>
  <c r="Y47" i="15"/>
  <c r="Z47" i="15" s="1"/>
  <c r="Q55" i="15"/>
  <c r="S55" i="15"/>
  <c r="Y55" i="15" s="1"/>
  <c r="Z55" i="15" s="1"/>
  <c r="U38" i="15"/>
  <c r="V38" i="15" s="1"/>
  <c r="X38" i="15" s="1"/>
  <c r="O86" i="15"/>
  <c r="O32" i="15"/>
  <c r="Q32" i="15" s="1"/>
  <c r="U21" i="15"/>
  <c r="V21" i="15" s="1"/>
  <c r="X21" i="15" s="1"/>
  <c r="O27" i="15"/>
  <c r="Q27" i="15" s="1"/>
  <c r="S108" i="15"/>
  <c r="O49" i="15"/>
  <c r="O46" i="15"/>
  <c r="Y118" i="15"/>
  <c r="Z118" i="15" s="1"/>
  <c r="Q95" i="15"/>
  <c r="Q80" i="15"/>
  <c r="Q45" i="15"/>
  <c r="U39" i="15"/>
  <c r="V39" i="15" s="1"/>
  <c r="X39" i="15" s="1"/>
  <c r="U33" i="15"/>
  <c r="V33" i="15" s="1"/>
  <c r="X33" i="15" s="1"/>
  <c r="O22" i="15"/>
  <c r="Q22" i="15" s="1"/>
  <c r="Y15" i="15"/>
  <c r="Z15" i="15" s="1"/>
  <c r="O19" i="15"/>
  <c r="O81" i="15"/>
  <c r="O60" i="15"/>
  <c r="S60" i="15" s="1"/>
  <c r="Y60" i="15" s="1"/>
  <c r="Z60" i="15" s="1"/>
  <c r="Q97" i="15"/>
  <c r="Y97" i="15"/>
  <c r="Z97" i="15" s="1"/>
  <c r="S13" i="15"/>
  <c r="Q13" i="15"/>
  <c r="Q16" i="15"/>
  <c r="S16" i="15"/>
  <c r="O14" i="15"/>
  <c r="Q15" i="15"/>
  <c r="Y41" i="15"/>
  <c r="Z41" i="15" s="1"/>
  <c r="U50" i="15"/>
  <c r="V50" i="15" s="1"/>
  <c r="X50" i="15" s="1"/>
  <c r="Y37" i="15"/>
  <c r="Z37" i="15" s="1"/>
  <c r="S53" i="15"/>
  <c r="Q53" i="15"/>
  <c r="U53" i="15" s="1"/>
  <c r="V53" i="15" s="1"/>
  <c r="X53" i="15" s="1"/>
  <c r="Q51" i="15"/>
  <c r="U51" i="15" s="1"/>
  <c r="V51" i="15" s="1"/>
  <c r="X51" i="15" s="1"/>
  <c r="S51" i="15"/>
  <c r="Q33" i="15"/>
  <c r="S33" i="15"/>
  <c r="S21" i="15"/>
  <c r="Q21" i="15"/>
  <c r="O123" i="15"/>
  <c r="S123" i="15" s="1"/>
  <c r="Y123" i="15" s="1"/>
  <c r="Z123" i="15" s="1"/>
  <c r="U24" i="15"/>
  <c r="V24" i="15" s="1"/>
  <c r="X24" i="15" s="1"/>
  <c r="O110" i="15"/>
  <c r="Q110" i="15" s="1"/>
  <c r="O85" i="15"/>
  <c r="O84" i="15"/>
  <c r="Q84" i="15" s="1"/>
  <c r="Y65" i="15"/>
  <c r="Z65" i="15" s="1"/>
  <c r="U121" i="15"/>
  <c r="V121" i="15" s="1"/>
  <c r="X121" i="15" s="1"/>
  <c r="Y121" i="15" s="1"/>
  <c r="Y45" i="15"/>
  <c r="Z45" i="15" s="1"/>
  <c r="Y114" i="15"/>
  <c r="Z114" i="15" s="1"/>
  <c r="N89" i="15"/>
  <c r="S39" i="15"/>
  <c r="O35" i="15"/>
  <c r="O44" i="15"/>
  <c r="Q44" i="15" s="1"/>
  <c r="Q87" i="15"/>
  <c r="Q122" i="15"/>
  <c r="P105" i="15"/>
  <c r="P127" i="15" s="1"/>
  <c r="O59" i="15"/>
  <c r="S59" i="15" s="1"/>
  <c r="Y59" i="15" s="1"/>
  <c r="Z59" i="15" s="1"/>
  <c r="S18" i="15"/>
  <c r="Y18" i="15" s="1"/>
  <c r="Z18" i="15" s="1"/>
  <c r="U124" i="15"/>
  <c r="V124" i="15" s="1"/>
  <c r="X124" i="15" s="1"/>
  <c r="Q114" i="15"/>
  <c r="S29" i="15"/>
  <c r="Q29" i="15"/>
  <c r="S124" i="15"/>
  <c r="Q124" i="15"/>
  <c r="S120" i="15"/>
  <c r="Q120" i="15"/>
  <c r="S112" i="15"/>
  <c r="Q112" i="15"/>
  <c r="O57" i="15"/>
  <c r="S57" i="15" s="1"/>
  <c r="Y57" i="15" s="1"/>
  <c r="Z57" i="15" s="1"/>
  <c r="U66" i="15"/>
  <c r="V66" i="15" s="1"/>
  <c r="X66" i="15" s="1"/>
  <c r="Y66" i="15" s="1"/>
  <c r="Z66" i="15" s="1"/>
  <c r="Q66" i="15"/>
  <c r="U120" i="15"/>
  <c r="V120" i="15" s="1"/>
  <c r="X120" i="15" s="1"/>
  <c r="Q103" i="15"/>
  <c r="U103" i="15" s="1"/>
  <c r="V103" i="15" s="1"/>
  <c r="X103" i="15" s="1"/>
  <c r="Y103" i="15" s="1"/>
  <c r="O62" i="15"/>
  <c r="S62" i="15" s="1"/>
  <c r="Y62" i="15" s="1"/>
  <c r="Z62" i="15" s="1"/>
  <c r="U31" i="15"/>
  <c r="V31" i="15" s="1"/>
  <c r="X31" i="15" s="1"/>
  <c r="Y31" i="15" s="1"/>
  <c r="Z31" i="15" s="1"/>
  <c r="Y16" i="15"/>
  <c r="Z16" i="15" s="1"/>
  <c r="Q121" i="15"/>
  <c r="Q31" i="15"/>
  <c r="U29" i="15"/>
  <c r="V29" i="15" s="1"/>
  <c r="X29" i="15" s="1"/>
  <c r="S110" i="15"/>
  <c r="Y110" i="15" s="1"/>
  <c r="Z110" i="15" s="1"/>
  <c r="Y51" i="15"/>
  <c r="Z51" i="15" s="1"/>
  <c r="S102" i="15"/>
  <c r="Q102" i="15"/>
  <c r="S98" i="15"/>
  <c r="Q98" i="15"/>
  <c r="S100" i="15"/>
  <c r="Q100" i="15"/>
  <c r="V74" i="15"/>
  <c r="S96" i="15"/>
  <c r="Q96" i="15"/>
  <c r="S94" i="15"/>
  <c r="Q94" i="15"/>
  <c r="Q86" i="15"/>
  <c r="S86" i="15"/>
  <c r="Y86" i="15" s="1"/>
  <c r="Z86" i="15" s="1"/>
  <c r="S78" i="15"/>
  <c r="Q78" i="15"/>
  <c r="Q20" i="15"/>
  <c r="S20" i="15"/>
  <c r="Y20" i="15" s="1"/>
  <c r="Z20" i="15" s="1"/>
  <c r="U96" i="15"/>
  <c r="V96" i="15" s="1"/>
  <c r="X96" i="15" s="1"/>
  <c r="M89" i="15"/>
  <c r="M105" i="15" s="1"/>
  <c r="M127" i="15" s="1"/>
  <c r="O76" i="15"/>
  <c r="O77" i="15"/>
  <c r="U77" i="15"/>
  <c r="V77" i="15" s="1"/>
  <c r="X77" i="15" s="1"/>
  <c r="O61" i="15"/>
  <c r="Q99" i="15"/>
  <c r="X13" i="15"/>
  <c r="Q30" i="15"/>
  <c r="S30" i="15"/>
  <c r="Y30" i="15" s="1"/>
  <c r="Z30" i="15" s="1"/>
  <c r="S17" i="15"/>
  <c r="Y17" i="15" s="1"/>
  <c r="Z17" i="15" s="1"/>
  <c r="Q17" i="15"/>
  <c r="Q40" i="15"/>
  <c r="S40" i="15"/>
  <c r="Y40" i="15" s="1"/>
  <c r="Z40" i="15" s="1"/>
  <c r="N105" i="15"/>
  <c r="N127" i="15" s="1"/>
  <c r="Q26" i="15"/>
  <c r="S26" i="15"/>
  <c r="Y26" i="15" s="1"/>
  <c r="Z26" i="15" s="1"/>
  <c r="Y88" i="15"/>
  <c r="Z88" i="15" s="1"/>
  <c r="U102" i="15"/>
  <c r="V102" i="15" s="1"/>
  <c r="X102" i="15" s="1"/>
  <c r="Y99" i="15"/>
  <c r="Z99" i="15" s="1"/>
  <c r="Q38" i="15"/>
  <c r="S38" i="15"/>
  <c r="Y38" i="15" s="1"/>
  <c r="Z38" i="15" s="1"/>
  <c r="Q14" i="15"/>
  <c r="S14" i="15"/>
  <c r="Y14" i="15" s="1"/>
  <c r="Z14" i="15" s="1"/>
  <c r="Q36" i="15"/>
  <c r="S36" i="15"/>
  <c r="Y36" i="15" s="1"/>
  <c r="Z36" i="15" s="1"/>
  <c r="S19" i="15"/>
  <c r="Y19" i="15" s="1"/>
  <c r="Z19" i="15" s="1"/>
  <c r="Q19" i="15"/>
  <c r="Q48" i="15"/>
  <c r="S48" i="15"/>
  <c r="Y48" i="15" s="1"/>
  <c r="Z48" i="15" s="1"/>
  <c r="Q101" i="15"/>
  <c r="U101" i="15" s="1"/>
  <c r="V101" i="15" s="1"/>
  <c r="X101" i="15" s="1"/>
  <c r="O67" i="15"/>
  <c r="Q34" i="15"/>
  <c r="S34" i="15"/>
  <c r="Y34" i="15" s="1"/>
  <c r="Z34" i="15" s="1"/>
  <c r="O82" i="15"/>
  <c r="U82" i="15"/>
  <c r="V82" i="15" s="1"/>
  <c r="X82" i="15" s="1"/>
  <c r="S25" i="15"/>
  <c r="Y25" i="15" s="1"/>
  <c r="Z25" i="15" s="1"/>
  <c r="Q25" i="15"/>
  <c r="U94" i="15"/>
  <c r="V94" i="15" s="1"/>
  <c r="X94" i="15" s="1"/>
  <c r="U100" i="15"/>
  <c r="V100" i="15" s="1"/>
  <c r="X100" i="15" s="1"/>
  <c r="O74" i="15"/>
  <c r="U98" i="15"/>
  <c r="V98" i="15" s="1"/>
  <c r="X98" i="15" s="1"/>
  <c r="Q50" i="15"/>
  <c r="S50" i="15"/>
  <c r="Q46" i="15"/>
  <c r="S46" i="15"/>
  <c r="Y46" i="15" s="1"/>
  <c r="Z46" i="15" s="1"/>
  <c r="O71" i="15"/>
  <c r="Q52" i="15"/>
  <c r="U52" i="15" s="1"/>
  <c r="V52" i="15" s="1"/>
  <c r="X52" i="15" s="1"/>
  <c r="S52" i="15"/>
  <c r="O104" i="15"/>
  <c r="S93" i="15"/>
  <c r="Q63" i="15"/>
  <c r="U83" i="15"/>
  <c r="V83" i="15" s="1"/>
  <c r="X83" i="15" s="1"/>
  <c r="U75" i="15"/>
  <c r="V75" i="15" s="1"/>
  <c r="X75" i="15" s="1"/>
  <c r="O75" i="15"/>
  <c r="Q28" i="15"/>
  <c r="S28" i="15"/>
  <c r="Y28" i="15" s="1"/>
  <c r="Z28" i="15" s="1"/>
  <c r="O58" i="15"/>
  <c r="Y53" i="15"/>
  <c r="Z53" i="15" s="1"/>
  <c r="Z64" i="15"/>
  <c r="Q24" i="15"/>
  <c r="S24" i="15"/>
  <c r="Y24" i="15" s="1"/>
  <c r="Z24" i="15" s="1"/>
  <c r="X108" i="15"/>
  <c r="Q79" i="15"/>
  <c r="S79" i="15"/>
  <c r="Y79" i="15" s="1"/>
  <c r="Z79" i="15" s="1"/>
  <c r="Q56" i="15"/>
  <c r="S56" i="15"/>
  <c r="Y56" i="15" s="1"/>
  <c r="Z56" i="15" s="1"/>
  <c r="Q42" i="15"/>
  <c r="S42" i="15"/>
  <c r="Y42" i="15" s="1"/>
  <c r="Z42" i="15" s="1"/>
  <c r="S83" i="15"/>
  <c r="Q83" i="15"/>
  <c r="V93" i="15"/>
  <c r="Q88" i="15"/>
  <c r="U80" i="15"/>
  <c r="V80" i="15" s="1"/>
  <c r="X80" i="15" s="1"/>
  <c r="U78" i="15"/>
  <c r="V78" i="15" s="1"/>
  <c r="X78" i="15" s="1"/>
  <c r="Q65" i="15"/>
  <c r="S22" i="15" l="1"/>
  <c r="Y22" i="15" s="1"/>
  <c r="Z22" i="15" s="1"/>
  <c r="Y112" i="15"/>
  <c r="Z112" i="15" s="1"/>
  <c r="Q59" i="15"/>
  <c r="Y21" i="15"/>
  <c r="Z21" i="15" s="1"/>
  <c r="S32" i="15"/>
  <c r="Y32" i="15" s="1"/>
  <c r="Z32" i="15" s="1"/>
  <c r="Y33" i="15"/>
  <c r="Z33" i="15" s="1"/>
  <c r="Q60" i="15"/>
  <c r="S27" i="15"/>
  <c r="Y27" i="15" s="1"/>
  <c r="Z27" i="15" s="1"/>
  <c r="Y39" i="15"/>
  <c r="Z39" i="15" s="1"/>
  <c r="Q49" i="15"/>
  <c r="S49" i="15"/>
  <c r="Y49" i="15" s="1"/>
  <c r="Z49" i="15" s="1"/>
  <c r="Q57" i="15"/>
  <c r="Y29" i="15"/>
  <c r="Z29" i="15" s="1"/>
  <c r="O125" i="15"/>
  <c r="S81" i="15"/>
  <c r="Y81" i="15" s="1"/>
  <c r="Z81" i="15" s="1"/>
  <c r="Q81" i="15"/>
  <c r="Q123" i="15"/>
  <c r="Q125" i="15" s="1"/>
  <c r="H40" i="5" s="1"/>
  <c r="Y50" i="15"/>
  <c r="Z50" i="15" s="1"/>
  <c r="Z121" i="15"/>
  <c r="V125" i="15"/>
  <c r="Q35" i="15"/>
  <c r="S35" i="15"/>
  <c r="Y35" i="15" s="1"/>
  <c r="Z35" i="15" s="1"/>
  <c r="S85" i="15"/>
  <c r="Y85" i="15" s="1"/>
  <c r="Z85" i="15" s="1"/>
  <c r="Q85" i="15"/>
  <c r="Q104" i="15"/>
  <c r="Y124" i="15"/>
  <c r="Z124" i="15" s="1"/>
  <c r="S84" i="15"/>
  <c r="Y84" i="15" s="1"/>
  <c r="Z103" i="15"/>
  <c r="S44" i="15"/>
  <c r="Y44" i="15" s="1"/>
  <c r="Z44" i="15" s="1"/>
  <c r="U125" i="15"/>
  <c r="Y120" i="15"/>
  <c r="Z120" i="15" s="1"/>
  <c r="Q62" i="15"/>
  <c r="S125" i="15"/>
  <c r="S71" i="15"/>
  <c r="Q71" i="15"/>
  <c r="U71" i="15" s="1"/>
  <c r="V71" i="15" s="1"/>
  <c r="X71" i="15" s="1"/>
  <c r="X72" i="15" s="1"/>
  <c r="S104" i="15"/>
  <c r="U89" i="15"/>
  <c r="Y52" i="15"/>
  <c r="Z52" i="15" s="1"/>
  <c r="U104" i="15"/>
  <c r="V104" i="15"/>
  <c r="X93" i="15"/>
  <c r="S58" i="15"/>
  <c r="Y58" i="15" s="1"/>
  <c r="Z58" i="15" s="1"/>
  <c r="Q58" i="15"/>
  <c r="Y98" i="15"/>
  <c r="Z98" i="15" s="1"/>
  <c r="X74" i="15"/>
  <c r="V89" i="15"/>
  <c r="Y83" i="15"/>
  <c r="Z83" i="15" s="1"/>
  <c r="O89" i="15"/>
  <c r="S74" i="15"/>
  <c r="Q74" i="15"/>
  <c r="S82" i="15"/>
  <c r="Y82" i="15" s="1"/>
  <c r="Z82" i="15" s="1"/>
  <c r="Q82" i="15"/>
  <c r="S67" i="15"/>
  <c r="Y67" i="15" s="1"/>
  <c r="Z67" i="15" s="1"/>
  <c r="Q67" i="15"/>
  <c r="S61" i="15"/>
  <c r="Y61" i="15" s="1"/>
  <c r="Z61" i="15" s="1"/>
  <c r="Q61" i="15"/>
  <c r="Y96" i="15"/>
  <c r="Z96" i="15" s="1"/>
  <c r="Y78" i="15"/>
  <c r="Z78" i="15" s="1"/>
  <c r="O72" i="15"/>
  <c r="Y101" i="15"/>
  <c r="Z101" i="15" s="1"/>
  <c r="Y102" i="15"/>
  <c r="Z102" i="15" s="1"/>
  <c r="Y94" i="15"/>
  <c r="Z94" i="15" s="1"/>
  <c r="Y100" i="15"/>
  <c r="Z100" i="15" s="1"/>
  <c r="Y13" i="15"/>
  <c r="Z13" i="15" s="1"/>
  <c r="S77" i="15"/>
  <c r="Y77" i="15" s="1"/>
  <c r="Z77" i="15" s="1"/>
  <c r="Q77" i="15"/>
  <c r="X125" i="15"/>
  <c r="Y108" i="15"/>
  <c r="Y80" i="15"/>
  <c r="Z80" i="15" s="1"/>
  <c r="S75" i="15"/>
  <c r="Y75" i="15" s="1"/>
  <c r="Z75" i="15" s="1"/>
  <c r="Q75" i="15"/>
  <c r="S76" i="15"/>
  <c r="Y76" i="15" s="1"/>
  <c r="Z76" i="15" s="1"/>
  <c r="Q76" i="15"/>
  <c r="Y125" i="15" l="1"/>
  <c r="V72" i="15"/>
  <c r="V105" i="15" s="1"/>
  <c r="V127" i="15" s="1"/>
  <c r="Q72" i="15"/>
  <c r="S89" i="15"/>
  <c r="Z108" i="15"/>
  <c r="Z125" i="15" s="1"/>
  <c r="U72" i="15"/>
  <c r="U105" i="15" s="1"/>
  <c r="U127" i="15" s="1"/>
  <c r="X104" i="15"/>
  <c r="Y93" i="15"/>
  <c r="Y104" i="15" s="1"/>
  <c r="Y71" i="15"/>
  <c r="Y72" i="15" s="1"/>
  <c r="Z71" i="15"/>
  <c r="Z72" i="15" s="1"/>
  <c r="O105" i="15"/>
  <c r="O127" i="15" s="1"/>
  <c r="Y74" i="15"/>
  <c r="Y89" i="15" s="1"/>
  <c r="X89" i="15"/>
  <c r="Z74" i="15"/>
  <c r="Z89" i="15" s="1"/>
  <c r="Q89" i="15"/>
  <c r="S72" i="15"/>
  <c r="S105" i="15" s="1"/>
  <c r="S127" i="15" s="1"/>
  <c r="Q105" i="15" l="1"/>
  <c r="Q127" i="15" s="1"/>
  <c r="X105" i="15"/>
  <c r="X127" i="15" s="1"/>
  <c r="Z93" i="15"/>
  <c r="Z104" i="15" s="1"/>
  <c r="Z105" i="15" s="1"/>
  <c r="Z127" i="15" s="1"/>
  <c r="C7" i="1" s="1"/>
  <c r="Y105" i="15"/>
  <c r="Y127" i="15" s="1"/>
  <c r="B40" i="6"/>
  <c r="A58" i="7"/>
  <c r="A57" i="7"/>
  <c r="A56" i="7"/>
  <c r="A55" i="7"/>
  <c r="A54" i="7"/>
  <c r="A53" i="7"/>
  <c r="A52" i="7"/>
  <c r="A51" i="7"/>
  <c r="A49" i="7"/>
  <c r="A48" i="7"/>
  <c r="A47" i="7"/>
  <c r="A46" i="7"/>
  <c r="A45" i="7"/>
  <c r="A44" i="7"/>
  <c r="A43" i="7"/>
  <c r="A41" i="7"/>
  <c r="A40" i="7"/>
  <c r="A39" i="7"/>
  <c r="A38" i="7"/>
  <c r="A37" i="7"/>
  <c r="A36" i="7"/>
  <c r="A35" i="7"/>
  <c r="A34" i="7"/>
  <c r="A31" i="7"/>
  <c r="A30" i="7"/>
  <c r="A29" i="7"/>
  <c r="A28" i="7"/>
  <c r="A27" i="7"/>
  <c r="A24" i="7"/>
  <c r="A23" i="7"/>
  <c r="A21" i="7"/>
  <c r="A20" i="7"/>
  <c r="A19" i="7"/>
  <c r="A18" i="7"/>
  <c r="A58" i="6"/>
  <c r="A57" i="6"/>
  <c r="A56" i="6"/>
  <c r="A55" i="6"/>
  <c r="A54" i="6"/>
  <c r="A53" i="6"/>
  <c r="A52" i="6"/>
  <c r="A51" i="6"/>
  <c r="A49" i="6"/>
  <c r="A48" i="6"/>
  <c r="A47" i="6"/>
  <c r="A46" i="6"/>
  <c r="A45" i="6"/>
  <c r="A44" i="6"/>
  <c r="A43" i="6"/>
  <c r="A41" i="6"/>
  <c r="A40" i="6"/>
  <c r="A39" i="6"/>
  <c r="A38" i="6"/>
  <c r="A37" i="6"/>
  <c r="A36" i="6"/>
  <c r="A35" i="6"/>
  <c r="A34" i="6"/>
  <c r="A31" i="6"/>
  <c r="A30" i="6"/>
  <c r="A29" i="6"/>
  <c r="A28" i="6"/>
  <c r="A27" i="6"/>
  <c r="A24" i="6"/>
  <c r="A23" i="6"/>
  <c r="A21" i="6"/>
  <c r="A20" i="6"/>
  <c r="A19" i="6"/>
  <c r="A18" i="6"/>
  <c r="G19" i="8"/>
  <c r="D19" i="8"/>
  <c r="F27" i="10"/>
  <c r="I21" i="10"/>
  <c r="N11" i="10"/>
  <c r="N21" i="10" s="1"/>
  <c r="M11" i="10"/>
  <c r="M21" i="10" s="1"/>
  <c r="L11" i="10"/>
  <c r="L22" i="10" s="1"/>
  <c r="K11" i="10"/>
  <c r="K21" i="10" s="1"/>
  <c r="J11" i="10"/>
  <c r="J22" i="10" s="1"/>
  <c r="I11" i="10"/>
  <c r="I27" i="10" s="1"/>
  <c r="H11" i="10"/>
  <c r="H21" i="10" s="1"/>
  <c r="G11" i="10"/>
  <c r="G22" i="10" s="1"/>
  <c r="F11" i="10"/>
  <c r="F21" i="10" s="1"/>
  <c r="E11" i="10"/>
  <c r="D11" i="10"/>
  <c r="D27" i="10" s="1"/>
  <c r="C11" i="10"/>
  <c r="C22" i="10" s="1"/>
  <c r="B11" i="10"/>
  <c r="B21" i="10" s="1"/>
  <c r="O10" i="10"/>
  <c r="O8" i="10"/>
  <c r="O7" i="10"/>
  <c r="I30" i="10" l="1"/>
  <c r="H27" i="10"/>
  <c r="K40" i="6"/>
  <c r="C40" i="5" s="1"/>
  <c r="D40" i="5" s="1"/>
  <c r="F40" i="5" s="1"/>
  <c r="I40" i="5" s="1"/>
  <c r="B48" i="6"/>
  <c r="B49" i="6" s="1"/>
  <c r="B13" i="10"/>
  <c r="K27" i="10"/>
  <c r="K30" i="10" s="1"/>
  <c r="F30" i="10"/>
  <c r="O12" i="10"/>
  <c r="G40" i="6"/>
  <c r="G48" i="6" s="1"/>
  <c r="G49" i="6" s="1"/>
  <c r="H30" i="10"/>
  <c r="E22" i="10"/>
  <c r="O22" i="10" s="1"/>
  <c r="B12" i="10"/>
  <c r="B14" i="10" s="1"/>
  <c r="D21" i="10"/>
  <c r="O21" i="10" s="1"/>
  <c r="M27" i="10"/>
  <c r="M30" i="10" s="1"/>
  <c r="N27" i="10"/>
  <c r="N30" i="10" s="1"/>
  <c r="B27" i="10"/>
  <c r="B30" i="10" l="1"/>
  <c r="O27" i="10"/>
  <c r="O30" i="10" s="1"/>
  <c r="D30" i="10"/>
  <c r="H17" i="8" l="1"/>
  <c r="E17" i="8"/>
  <c r="B17" i="8"/>
  <c r="J16" i="8"/>
  <c r="G16" i="8"/>
  <c r="D16" i="8"/>
  <c r="J15" i="8"/>
  <c r="G15" i="8"/>
  <c r="D15" i="8"/>
  <c r="I15" i="8" s="1"/>
  <c r="J14" i="8"/>
  <c r="G14" i="8"/>
  <c r="D14" i="8"/>
  <c r="I14" i="8" s="1"/>
  <c r="J13" i="8"/>
  <c r="G13" i="8"/>
  <c r="D13" i="8"/>
  <c r="I13" i="8" s="1"/>
  <c r="J12" i="8"/>
  <c r="G12" i="8"/>
  <c r="D12" i="8"/>
  <c r="J11" i="8"/>
  <c r="G11" i="8"/>
  <c r="D11" i="8"/>
  <c r="I11" i="8" s="1"/>
  <c r="J10" i="8"/>
  <c r="G10" i="8"/>
  <c r="D10" i="8"/>
  <c r="J9" i="8"/>
  <c r="G9" i="8"/>
  <c r="D9" i="8"/>
  <c r="J8" i="8"/>
  <c r="G8" i="8"/>
  <c r="D8" i="8"/>
  <c r="J7" i="8"/>
  <c r="G7" i="8"/>
  <c r="D7" i="8"/>
  <c r="I7" i="8" s="1"/>
  <c r="J6" i="8"/>
  <c r="G6" i="8"/>
  <c r="D6" i="8"/>
  <c r="I6" i="8" s="1"/>
  <c r="J5" i="8"/>
  <c r="G5" i="8"/>
  <c r="D5" i="8"/>
  <c r="A58" i="5"/>
  <c r="A57" i="5"/>
  <c r="A56" i="5"/>
  <c r="A55" i="5"/>
  <c r="A54" i="5"/>
  <c r="A53" i="5"/>
  <c r="A52" i="5"/>
  <c r="A51" i="5"/>
  <c r="A49" i="5"/>
  <c r="A48" i="5"/>
  <c r="A47" i="5"/>
  <c r="A46" i="5"/>
  <c r="A45" i="5"/>
  <c r="A44" i="5"/>
  <c r="A43" i="5"/>
  <c r="A41" i="5"/>
  <c r="A40" i="5"/>
  <c r="A39" i="5"/>
  <c r="A38" i="5"/>
  <c r="A37" i="5"/>
  <c r="A36" i="5"/>
  <c r="A35" i="5"/>
  <c r="A34" i="5"/>
  <c r="A31" i="5"/>
  <c r="A30" i="5"/>
  <c r="A29" i="5"/>
  <c r="A28" i="5"/>
  <c r="A27" i="5"/>
  <c r="A24" i="5"/>
  <c r="A23" i="5"/>
  <c r="A21" i="5"/>
  <c r="A20" i="5"/>
  <c r="A19" i="5"/>
  <c r="A18" i="5"/>
  <c r="I5" i="8" l="1"/>
  <c r="D18" i="8"/>
  <c r="D24" i="6" s="1"/>
  <c r="G17" i="8"/>
  <c r="G18" i="8"/>
  <c r="I8" i="8"/>
  <c r="I16" i="8"/>
  <c r="I9" i="8"/>
  <c r="I12" i="8"/>
  <c r="I10" i="8"/>
  <c r="D17" i="8"/>
  <c r="D20" i="8" s="1"/>
  <c r="D22" i="8" s="1"/>
  <c r="D24" i="8" s="1"/>
  <c r="C148" i="4"/>
  <c r="L147" i="4"/>
  <c r="L148" i="4" s="1"/>
  <c r="K147" i="4"/>
  <c r="K148" i="4" s="1"/>
  <c r="J147" i="4"/>
  <c r="J148" i="4" s="1"/>
  <c r="I147" i="4"/>
  <c r="I148" i="4" s="1"/>
  <c r="H147" i="4"/>
  <c r="H148" i="4" s="1"/>
  <c r="F147" i="4"/>
  <c r="E147" i="4"/>
  <c r="E148" i="4" s="1"/>
  <c r="D147" i="4"/>
  <c r="D148" i="4" s="1"/>
  <c r="C147" i="4"/>
  <c r="B147" i="4"/>
  <c r="B148" i="4" s="1"/>
  <c r="M146" i="4"/>
  <c r="M147" i="4" s="1"/>
  <c r="M148" i="4" s="1"/>
  <c r="G146" i="4"/>
  <c r="G147" i="4" s="1"/>
  <c r="G148" i="4" s="1"/>
  <c r="M141" i="4"/>
  <c r="L141" i="4"/>
  <c r="K141" i="4"/>
  <c r="J141" i="4"/>
  <c r="I141" i="4"/>
  <c r="H141" i="4"/>
  <c r="G141" i="4"/>
  <c r="F141" i="4"/>
  <c r="E141" i="4"/>
  <c r="D141" i="4"/>
  <c r="C141" i="4"/>
  <c r="K140" i="4"/>
  <c r="K142" i="4" s="1"/>
  <c r="B140" i="4"/>
  <c r="B142" i="4" s="1"/>
  <c r="M139" i="4"/>
  <c r="L139" i="4"/>
  <c r="K139" i="4"/>
  <c r="J139" i="4"/>
  <c r="H139" i="4"/>
  <c r="G139" i="4"/>
  <c r="F139" i="4"/>
  <c r="D139" i="4"/>
  <c r="N138" i="4"/>
  <c r="D138" i="4"/>
  <c r="L137" i="4"/>
  <c r="J137" i="4"/>
  <c r="H137" i="4"/>
  <c r="F137" i="4"/>
  <c r="E137" i="4"/>
  <c r="C137" i="4"/>
  <c r="N136" i="4"/>
  <c r="G136" i="4"/>
  <c r="M135" i="4"/>
  <c r="M140" i="4" s="1"/>
  <c r="M142" i="4" s="1"/>
  <c r="L135" i="4"/>
  <c r="L140" i="4" s="1"/>
  <c r="L142" i="4" s="1"/>
  <c r="K135" i="4"/>
  <c r="J135" i="4"/>
  <c r="I135" i="4"/>
  <c r="I140" i="4" s="1"/>
  <c r="I142" i="4" s="1"/>
  <c r="H135" i="4"/>
  <c r="H140" i="4" s="1"/>
  <c r="H142" i="4" s="1"/>
  <c r="G135" i="4"/>
  <c r="F135" i="4"/>
  <c r="E135" i="4"/>
  <c r="E140" i="4" s="1"/>
  <c r="E142" i="4" s="1"/>
  <c r="D135" i="4"/>
  <c r="D140" i="4" s="1"/>
  <c r="D142" i="4" s="1"/>
  <c r="C135" i="4"/>
  <c r="N134" i="4"/>
  <c r="M132" i="4"/>
  <c r="L132" i="4"/>
  <c r="K132" i="4"/>
  <c r="J132" i="4"/>
  <c r="I132" i="4"/>
  <c r="I133" i="4" s="1"/>
  <c r="H132" i="4"/>
  <c r="G132" i="4"/>
  <c r="F132" i="4"/>
  <c r="E132" i="4"/>
  <c r="D132" i="4"/>
  <c r="C132" i="4"/>
  <c r="N132" i="4" s="1"/>
  <c r="B132" i="4"/>
  <c r="M131" i="4"/>
  <c r="L131" i="4"/>
  <c r="K131" i="4"/>
  <c r="I131" i="4"/>
  <c r="H131" i="4"/>
  <c r="G131" i="4"/>
  <c r="F131" i="4"/>
  <c r="E131" i="4"/>
  <c r="D131" i="4"/>
  <c r="C131" i="4"/>
  <c r="B131" i="4"/>
  <c r="M130" i="4"/>
  <c r="L130" i="4"/>
  <c r="K130" i="4"/>
  <c r="J130" i="4"/>
  <c r="J133" i="4" s="1"/>
  <c r="I130" i="4"/>
  <c r="G130" i="4"/>
  <c r="G133" i="4" s="1"/>
  <c r="F130" i="4"/>
  <c r="E130" i="4"/>
  <c r="E133" i="4" s="1"/>
  <c r="D130" i="4"/>
  <c r="C130" i="4"/>
  <c r="B130" i="4"/>
  <c r="N129" i="4"/>
  <c r="K128" i="4"/>
  <c r="H128" i="4"/>
  <c r="G128" i="4"/>
  <c r="E128" i="4"/>
  <c r="D128" i="4"/>
  <c r="C128" i="4"/>
  <c r="N126" i="4"/>
  <c r="E126" i="4"/>
  <c r="M125" i="4"/>
  <c r="L125" i="4"/>
  <c r="K125" i="4"/>
  <c r="J125" i="4"/>
  <c r="I125" i="4"/>
  <c r="I127" i="4" s="1"/>
  <c r="H125" i="4"/>
  <c r="G125" i="4"/>
  <c r="F125" i="4"/>
  <c r="E125" i="4"/>
  <c r="D125" i="4"/>
  <c r="C125" i="4"/>
  <c r="M124" i="4"/>
  <c r="L124" i="4"/>
  <c r="K124" i="4"/>
  <c r="K127" i="4" s="1"/>
  <c r="J124" i="4"/>
  <c r="I124" i="4"/>
  <c r="H124" i="4"/>
  <c r="G124" i="4"/>
  <c r="F124" i="4"/>
  <c r="E124" i="4"/>
  <c r="D124" i="4"/>
  <c r="C124" i="4"/>
  <c r="N124" i="4" s="1"/>
  <c r="C16" i="13" s="1"/>
  <c r="M123" i="4"/>
  <c r="L123" i="4"/>
  <c r="K123" i="4"/>
  <c r="J123" i="4"/>
  <c r="I123" i="4"/>
  <c r="H123" i="4"/>
  <c r="G123" i="4"/>
  <c r="F123" i="4"/>
  <c r="E123" i="4"/>
  <c r="D123" i="4"/>
  <c r="C123" i="4"/>
  <c r="B123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M121" i="4"/>
  <c r="L121" i="4"/>
  <c r="K121" i="4"/>
  <c r="J121" i="4"/>
  <c r="I121" i="4"/>
  <c r="H121" i="4"/>
  <c r="G121" i="4"/>
  <c r="F121" i="4"/>
  <c r="F127" i="4" s="1"/>
  <c r="E121" i="4"/>
  <c r="D121" i="4"/>
  <c r="C121" i="4"/>
  <c r="C127" i="4" s="1"/>
  <c r="B121" i="4"/>
  <c r="E120" i="4"/>
  <c r="N120" i="4" s="1"/>
  <c r="E119" i="4"/>
  <c r="H118" i="4"/>
  <c r="N117" i="4"/>
  <c r="M115" i="4"/>
  <c r="E115" i="4"/>
  <c r="D115" i="4"/>
  <c r="B115" i="4"/>
  <c r="M114" i="4"/>
  <c r="L114" i="4"/>
  <c r="K114" i="4"/>
  <c r="J114" i="4"/>
  <c r="I114" i="4"/>
  <c r="H114" i="4"/>
  <c r="G114" i="4"/>
  <c r="F114" i="4"/>
  <c r="E114" i="4"/>
  <c r="D114" i="4"/>
  <c r="C114" i="4"/>
  <c r="B113" i="4"/>
  <c r="M112" i="4"/>
  <c r="L112" i="4"/>
  <c r="K112" i="4"/>
  <c r="J112" i="4"/>
  <c r="I112" i="4"/>
  <c r="H112" i="4"/>
  <c r="F112" i="4"/>
  <c r="D112" i="4"/>
  <c r="C112" i="4"/>
  <c r="L111" i="4"/>
  <c r="J111" i="4"/>
  <c r="I111" i="4"/>
  <c r="H111" i="4"/>
  <c r="G111" i="4"/>
  <c r="F111" i="4"/>
  <c r="E111" i="4"/>
  <c r="D111" i="4"/>
  <c r="C111" i="4"/>
  <c r="D110" i="4"/>
  <c r="N110" i="4" s="1"/>
  <c r="M109" i="4"/>
  <c r="K109" i="4"/>
  <c r="J109" i="4"/>
  <c r="H109" i="4"/>
  <c r="F109" i="4"/>
  <c r="M108" i="4"/>
  <c r="L108" i="4"/>
  <c r="K108" i="4"/>
  <c r="J108" i="4"/>
  <c r="I108" i="4"/>
  <c r="H108" i="4"/>
  <c r="G108" i="4"/>
  <c r="E108" i="4"/>
  <c r="D108" i="4"/>
  <c r="C108" i="4"/>
  <c r="M107" i="4"/>
  <c r="N107" i="4" s="1"/>
  <c r="E107" i="4"/>
  <c r="M106" i="4"/>
  <c r="L106" i="4"/>
  <c r="K106" i="4"/>
  <c r="J106" i="4"/>
  <c r="I106" i="4"/>
  <c r="H106" i="4"/>
  <c r="G106" i="4"/>
  <c r="F106" i="4"/>
  <c r="E106" i="4"/>
  <c r="E113" i="4" s="1"/>
  <c r="E116" i="4" s="1"/>
  <c r="D106" i="4"/>
  <c r="C106" i="4"/>
  <c r="C113" i="4" s="1"/>
  <c r="N105" i="4"/>
  <c r="M104" i="4"/>
  <c r="K104" i="4"/>
  <c r="I104" i="4"/>
  <c r="H104" i="4"/>
  <c r="G104" i="4"/>
  <c r="F104" i="4"/>
  <c r="D104" i="4"/>
  <c r="C104" i="4"/>
  <c r="G103" i="4"/>
  <c r="N103" i="4" s="1"/>
  <c r="D102" i="4"/>
  <c r="N101" i="4"/>
  <c r="M99" i="4"/>
  <c r="M100" i="4" s="1"/>
  <c r="L99" i="4"/>
  <c r="L100" i="4" s="1"/>
  <c r="K99" i="4"/>
  <c r="K100" i="4" s="1"/>
  <c r="J99" i="4"/>
  <c r="J100" i="4" s="1"/>
  <c r="I99" i="4"/>
  <c r="I100" i="4" s="1"/>
  <c r="H99" i="4"/>
  <c r="H100" i="4" s="1"/>
  <c r="G99" i="4"/>
  <c r="G100" i="4" s="1"/>
  <c r="F99" i="4"/>
  <c r="F100" i="4" s="1"/>
  <c r="E99" i="4"/>
  <c r="E100" i="4" s="1"/>
  <c r="D99" i="4"/>
  <c r="D100" i="4" s="1"/>
  <c r="C99" i="4"/>
  <c r="C100" i="4" s="1"/>
  <c r="B99" i="4"/>
  <c r="B100" i="4" s="1"/>
  <c r="N98" i="4"/>
  <c r="M97" i="4"/>
  <c r="L97" i="4"/>
  <c r="J97" i="4"/>
  <c r="H97" i="4"/>
  <c r="G97" i="4"/>
  <c r="D97" i="4"/>
  <c r="N96" i="4"/>
  <c r="E96" i="4"/>
  <c r="F95" i="4"/>
  <c r="F97" i="4" s="1"/>
  <c r="C95" i="4"/>
  <c r="N95" i="4" s="1"/>
  <c r="K94" i="4"/>
  <c r="I94" i="4"/>
  <c r="I97" i="4" s="1"/>
  <c r="E94" i="4"/>
  <c r="D94" i="4"/>
  <c r="C94" i="4"/>
  <c r="C97" i="4" s="1"/>
  <c r="B94" i="4"/>
  <c r="B97" i="4" s="1"/>
  <c r="N93" i="4"/>
  <c r="K91" i="4"/>
  <c r="M90" i="4"/>
  <c r="L90" i="4"/>
  <c r="K90" i="4"/>
  <c r="J90" i="4"/>
  <c r="I90" i="4"/>
  <c r="H90" i="4"/>
  <c r="G90" i="4"/>
  <c r="F90" i="4"/>
  <c r="E90" i="4"/>
  <c r="D90" i="4"/>
  <c r="C90" i="4"/>
  <c r="B90" i="4"/>
  <c r="N90" i="4" s="1"/>
  <c r="B29" i="5" s="1"/>
  <c r="D29" i="5" s="1"/>
  <c r="F29" i="5" s="1"/>
  <c r="H29" i="5" s="1"/>
  <c r="I29" i="5" s="1"/>
  <c r="M89" i="4"/>
  <c r="L89" i="4"/>
  <c r="K89" i="4"/>
  <c r="J89" i="4"/>
  <c r="I89" i="4"/>
  <c r="H89" i="4"/>
  <c r="G89" i="4"/>
  <c r="F89" i="4"/>
  <c r="F91" i="4" s="1"/>
  <c r="E89" i="4"/>
  <c r="D89" i="4"/>
  <c r="C89" i="4"/>
  <c r="B89" i="4"/>
  <c r="M88" i="4"/>
  <c r="M91" i="4" s="1"/>
  <c r="L88" i="4"/>
  <c r="K88" i="4"/>
  <c r="J88" i="4"/>
  <c r="J91" i="4" s="1"/>
  <c r="I88" i="4"/>
  <c r="I91" i="4" s="1"/>
  <c r="H88" i="4"/>
  <c r="G88" i="4"/>
  <c r="F88" i="4"/>
  <c r="E88" i="4"/>
  <c r="E91" i="4" s="1"/>
  <c r="D88" i="4"/>
  <c r="C88" i="4"/>
  <c r="C91" i="4" s="1"/>
  <c r="B88" i="4"/>
  <c r="N88" i="4" s="1"/>
  <c r="F87" i="4"/>
  <c r="M86" i="4"/>
  <c r="L86" i="4"/>
  <c r="K86" i="4"/>
  <c r="J86" i="4"/>
  <c r="I86" i="4"/>
  <c r="H86" i="4"/>
  <c r="G86" i="4"/>
  <c r="F86" i="4"/>
  <c r="E86" i="4"/>
  <c r="D86" i="4"/>
  <c r="C86" i="4"/>
  <c r="B86" i="4"/>
  <c r="M85" i="4"/>
  <c r="L85" i="4"/>
  <c r="K85" i="4"/>
  <c r="J85" i="4"/>
  <c r="I85" i="4"/>
  <c r="H85" i="4"/>
  <c r="G85" i="4"/>
  <c r="F85" i="4"/>
  <c r="E85" i="4"/>
  <c r="D85" i="4"/>
  <c r="C85" i="4"/>
  <c r="B85" i="4"/>
  <c r="G84" i="4"/>
  <c r="I83" i="4"/>
  <c r="F83" i="4"/>
  <c r="D83" i="4"/>
  <c r="C83" i="4"/>
  <c r="B83" i="4"/>
  <c r="M82" i="4"/>
  <c r="L82" i="4"/>
  <c r="K82" i="4"/>
  <c r="J82" i="4"/>
  <c r="J87" i="4" s="1"/>
  <c r="I82" i="4"/>
  <c r="H82" i="4"/>
  <c r="H87" i="4" s="1"/>
  <c r="G82" i="4"/>
  <c r="F82" i="4"/>
  <c r="E82" i="4"/>
  <c r="D82" i="4"/>
  <c r="C82" i="4"/>
  <c r="B82" i="4"/>
  <c r="B87" i="4" s="1"/>
  <c r="N81" i="4"/>
  <c r="K80" i="4"/>
  <c r="C80" i="4"/>
  <c r="M79" i="4"/>
  <c r="L79" i="4"/>
  <c r="K79" i="4"/>
  <c r="J79" i="4"/>
  <c r="I79" i="4"/>
  <c r="I80" i="4" s="1"/>
  <c r="H79" i="4"/>
  <c r="G79" i="4"/>
  <c r="F79" i="4"/>
  <c r="E79" i="4"/>
  <c r="D79" i="4"/>
  <c r="C79" i="4"/>
  <c r="B79" i="4"/>
  <c r="M78" i="4"/>
  <c r="M80" i="4" s="1"/>
  <c r="L78" i="4"/>
  <c r="L80" i="4" s="1"/>
  <c r="K78" i="4"/>
  <c r="J78" i="4"/>
  <c r="J80" i="4" s="1"/>
  <c r="I78" i="4"/>
  <c r="H78" i="4"/>
  <c r="G78" i="4"/>
  <c r="F78" i="4"/>
  <c r="E78" i="4"/>
  <c r="E80" i="4" s="1"/>
  <c r="D78" i="4"/>
  <c r="D80" i="4" s="1"/>
  <c r="C78" i="4"/>
  <c r="B78" i="4"/>
  <c r="B80" i="4" s="1"/>
  <c r="N77" i="4"/>
  <c r="N76" i="4"/>
  <c r="M75" i="4"/>
  <c r="H75" i="4"/>
  <c r="G75" i="4"/>
  <c r="B75" i="4"/>
  <c r="D74" i="4"/>
  <c r="C74" i="4"/>
  <c r="C75" i="4" s="1"/>
  <c r="F73" i="4"/>
  <c r="F75" i="4" s="1"/>
  <c r="L72" i="4"/>
  <c r="L75" i="4" s="1"/>
  <c r="I72" i="4"/>
  <c r="I75" i="4" s="1"/>
  <c r="H72" i="4"/>
  <c r="E72" i="4"/>
  <c r="N72" i="4" s="1"/>
  <c r="K71" i="4"/>
  <c r="K75" i="4" s="1"/>
  <c r="J71" i="4"/>
  <c r="J75" i="4" s="1"/>
  <c r="E71" i="4"/>
  <c r="D71" i="4"/>
  <c r="D75" i="4" s="1"/>
  <c r="N70" i="4"/>
  <c r="I69" i="4"/>
  <c r="M68" i="4"/>
  <c r="L68" i="4"/>
  <c r="K68" i="4"/>
  <c r="J68" i="4"/>
  <c r="I68" i="4"/>
  <c r="H68" i="4"/>
  <c r="G68" i="4"/>
  <c r="E68" i="4"/>
  <c r="N68" i="4" s="1"/>
  <c r="C68" i="4"/>
  <c r="B68" i="4"/>
  <c r="M67" i="4"/>
  <c r="L67" i="4"/>
  <c r="K67" i="4"/>
  <c r="I67" i="4"/>
  <c r="H67" i="4"/>
  <c r="G67" i="4"/>
  <c r="E67" i="4"/>
  <c r="D67" i="4"/>
  <c r="C67" i="4"/>
  <c r="M66" i="4"/>
  <c r="L66" i="4"/>
  <c r="K66" i="4"/>
  <c r="I66" i="4"/>
  <c r="H66" i="4"/>
  <c r="G66" i="4"/>
  <c r="F66" i="4"/>
  <c r="E66" i="4"/>
  <c r="D66" i="4"/>
  <c r="C66" i="4"/>
  <c r="B66" i="4"/>
  <c r="G65" i="4"/>
  <c r="N65" i="4" s="1"/>
  <c r="K64" i="4"/>
  <c r="J64" i="4"/>
  <c r="M63" i="4"/>
  <c r="L63" i="4"/>
  <c r="K63" i="4"/>
  <c r="J63" i="4"/>
  <c r="I63" i="4"/>
  <c r="H63" i="4"/>
  <c r="G63" i="4"/>
  <c r="F63" i="4"/>
  <c r="E63" i="4"/>
  <c r="D63" i="4"/>
  <c r="C63" i="4"/>
  <c r="B63" i="4"/>
  <c r="B62" i="4"/>
  <c r="N62" i="4" s="1"/>
  <c r="M61" i="4"/>
  <c r="L61" i="4"/>
  <c r="L69" i="4" s="1"/>
  <c r="K61" i="4"/>
  <c r="J61" i="4"/>
  <c r="I61" i="4"/>
  <c r="H61" i="4"/>
  <c r="G61" i="4"/>
  <c r="F61" i="4"/>
  <c r="E61" i="4"/>
  <c r="D61" i="4"/>
  <c r="C61" i="4"/>
  <c r="B61" i="4"/>
  <c r="M60" i="4"/>
  <c r="N60" i="4" s="1"/>
  <c r="D59" i="4"/>
  <c r="N58" i="4"/>
  <c r="M57" i="4"/>
  <c r="L57" i="4"/>
  <c r="K57" i="4"/>
  <c r="J57" i="4"/>
  <c r="F57" i="4"/>
  <c r="E57" i="4"/>
  <c r="D57" i="4"/>
  <c r="C57" i="4"/>
  <c r="B57" i="4"/>
  <c r="M56" i="4"/>
  <c r="K56" i="4"/>
  <c r="I56" i="4"/>
  <c r="I57" i="4" s="1"/>
  <c r="H56" i="4"/>
  <c r="M55" i="4"/>
  <c r="H55" i="4"/>
  <c r="H57" i="4" s="1"/>
  <c r="G55" i="4"/>
  <c r="N55" i="4" s="1"/>
  <c r="N54" i="4"/>
  <c r="M53" i="4"/>
  <c r="L53" i="4"/>
  <c r="K53" i="4"/>
  <c r="J53" i="4"/>
  <c r="I53" i="4"/>
  <c r="H53" i="4"/>
  <c r="G53" i="4"/>
  <c r="F53" i="4"/>
  <c r="E53" i="4"/>
  <c r="D53" i="4"/>
  <c r="C53" i="4"/>
  <c r="B53" i="4"/>
  <c r="K52" i="4"/>
  <c r="J52" i="4"/>
  <c r="I52" i="4"/>
  <c r="G52" i="4"/>
  <c r="D52" i="4"/>
  <c r="C52" i="4"/>
  <c r="B52" i="4"/>
  <c r="M51" i="4"/>
  <c r="M52" i="4" s="1"/>
  <c r="L51" i="4"/>
  <c r="L52" i="4" s="1"/>
  <c r="K51" i="4"/>
  <c r="J51" i="4"/>
  <c r="I51" i="4"/>
  <c r="H51" i="4"/>
  <c r="H52" i="4" s="1"/>
  <c r="G51" i="4"/>
  <c r="F51" i="4"/>
  <c r="F52" i="4" s="1"/>
  <c r="E51" i="4"/>
  <c r="E52" i="4" s="1"/>
  <c r="N50" i="4"/>
  <c r="M48" i="4"/>
  <c r="H48" i="4"/>
  <c r="G48" i="4"/>
  <c r="D48" i="4"/>
  <c r="N48" i="4" s="1"/>
  <c r="M47" i="4"/>
  <c r="B47" i="4"/>
  <c r="M46" i="4"/>
  <c r="L46" i="4"/>
  <c r="K46" i="4"/>
  <c r="J46" i="4"/>
  <c r="I46" i="4"/>
  <c r="I47" i="4" s="1"/>
  <c r="H46" i="4"/>
  <c r="G46" i="4"/>
  <c r="F46" i="4"/>
  <c r="E46" i="4"/>
  <c r="D46" i="4"/>
  <c r="C46" i="4"/>
  <c r="C47" i="4" s="1"/>
  <c r="F45" i="4"/>
  <c r="N45" i="4" s="1"/>
  <c r="M44" i="4"/>
  <c r="L44" i="4"/>
  <c r="K44" i="4"/>
  <c r="K47" i="4" s="1"/>
  <c r="J44" i="4"/>
  <c r="I44" i="4"/>
  <c r="H44" i="4"/>
  <c r="H47" i="4" s="1"/>
  <c r="G44" i="4"/>
  <c r="G47" i="4" s="1"/>
  <c r="F44" i="4"/>
  <c r="F47" i="4" s="1"/>
  <c r="E44" i="4"/>
  <c r="E47" i="4" s="1"/>
  <c r="D44" i="4"/>
  <c r="C44" i="4"/>
  <c r="N43" i="4"/>
  <c r="B42" i="4"/>
  <c r="B49" i="4" s="1"/>
  <c r="M41" i="4"/>
  <c r="L41" i="4"/>
  <c r="K41" i="4"/>
  <c r="J41" i="4"/>
  <c r="I41" i="4"/>
  <c r="H41" i="4"/>
  <c r="G41" i="4"/>
  <c r="F41" i="4"/>
  <c r="N41" i="4" s="1"/>
  <c r="E41" i="4"/>
  <c r="D41" i="4"/>
  <c r="C41" i="4"/>
  <c r="M40" i="4"/>
  <c r="L40" i="4"/>
  <c r="K40" i="4"/>
  <c r="J40" i="4"/>
  <c r="I40" i="4"/>
  <c r="I42" i="4" s="1"/>
  <c r="H40" i="4"/>
  <c r="G40" i="4"/>
  <c r="F40" i="4"/>
  <c r="E40" i="4"/>
  <c r="D40" i="4"/>
  <c r="C40" i="4"/>
  <c r="M39" i="4"/>
  <c r="K39" i="4"/>
  <c r="H39" i="4"/>
  <c r="G39" i="4"/>
  <c r="E39" i="4"/>
  <c r="D39" i="4"/>
  <c r="C39" i="4"/>
  <c r="M38" i="4"/>
  <c r="L38" i="4"/>
  <c r="K38" i="4"/>
  <c r="K42" i="4" s="1"/>
  <c r="K49" i="4" s="1"/>
  <c r="J38" i="4"/>
  <c r="I38" i="4"/>
  <c r="H38" i="4"/>
  <c r="G38" i="4"/>
  <c r="F38" i="4"/>
  <c r="E38" i="4"/>
  <c r="D38" i="4"/>
  <c r="C38" i="4"/>
  <c r="C42" i="4" s="1"/>
  <c r="M37" i="4"/>
  <c r="L37" i="4"/>
  <c r="K37" i="4"/>
  <c r="J37" i="4"/>
  <c r="I37" i="4"/>
  <c r="H37" i="4"/>
  <c r="H42" i="4" s="1"/>
  <c r="H49" i="4" s="1"/>
  <c r="G37" i="4"/>
  <c r="F37" i="4"/>
  <c r="F42" i="4" s="1"/>
  <c r="F49" i="4" s="1"/>
  <c r="E37" i="4"/>
  <c r="D37" i="4"/>
  <c r="C37" i="4"/>
  <c r="N36" i="4"/>
  <c r="N35" i="4"/>
  <c r="L34" i="4"/>
  <c r="J34" i="4"/>
  <c r="M33" i="4"/>
  <c r="M34" i="4" s="1"/>
  <c r="L33" i="4"/>
  <c r="K33" i="4"/>
  <c r="K34" i="4" s="1"/>
  <c r="J33" i="4"/>
  <c r="I33" i="4"/>
  <c r="I34" i="4" s="1"/>
  <c r="H33" i="4"/>
  <c r="H34" i="4" s="1"/>
  <c r="G33" i="4"/>
  <c r="G34" i="4" s="1"/>
  <c r="F33" i="4"/>
  <c r="E33" i="4"/>
  <c r="E34" i="4" s="1"/>
  <c r="D33" i="4"/>
  <c r="C33" i="4"/>
  <c r="C34" i="4" s="1"/>
  <c r="B33" i="4"/>
  <c r="F32" i="4"/>
  <c r="D32" i="4"/>
  <c r="F31" i="4"/>
  <c r="N31" i="4" s="1"/>
  <c r="K30" i="4"/>
  <c r="J30" i="4"/>
  <c r="F30" i="4"/>
  <c r="D30" i="4"/>
  <c r="B30" i="4"/>
  <c r="M29" i="4"/>
  <c r="K29" i="4"/>
  <c r="E29" i="4"/>
  <c r="D29" i="4"/>
  <c r="C29" i="4"/>
  <c r="M28" i="4"/>
  <c r="N28" i="4" s="1"/>
  <c r="B32" i="5" s="1"/>
  <c r="D32" i="5" s="1"/>
  <c r="F32" i="5" s="1"/>
  <c r="H32" i="5" s="1"/>
  <c r="I32" i="5" s="1"/>
  <c r="M26" i="4"/>
  <c r="F26" i="4"/>
  <c r="D26" i="4"/>
  <c r="C26" i="4"/>
  <c r="I25" i="4"/>
  <c r="H25" i="4"/>
  <c r="G25" i="4"/>
  <c r="E25" i="4"/>
  <c r="E27" i="4" s="1"/>
  <c r="D25" i="4"/>
  <c r="M24" i="4"/>
  <c r="L24" i="4"/>
  <c r="L27" i="4" s="1"/>
  <c r="K24" i="4"/>
  <c r="I24" i="4"/>
  <c r="H24" i="4"/>
  <c r="G24" i="4"/>
  <c r="G27" i="4" s="1"/>
  <c r="F24" i="4"/>
  <c r="D24" i="4"/>
  <c r="C24" i="4"/>
  <c r="M23" i="4"/>
  <c r="K23" i="4"/>
  <c r="J23" i="4"/>
  <c r="J27" i="4" s="1"/>
  <c r="I23" i="4"/>
  <c r="I27" i="4" s="1"/>
  <c r="H23" i="4"/>
  <c r="H27" i="4" s="1"/>
  <c r="G23" i="4"/>
  <c r="F23" i="4"/>
  <c r="F27" i="4" s="1"/>
  <c r="E23" i="4"/>
  <c r="D23" i="4"/>
  <c r="C23" i="4"/>
  <c r="B23" i="4"/>
  <c r="N22" i="4"/>
  <c r="I18" i="4"/>
  <c r="M17" i="4"/>
  <c r="L17" i="4"/>
  <c r="K17" i="4"/>
  <c r="J17" i="4"/>
  <c r="I17" i="4"/>
  <c r="H17" i="4"/>
  <c r="G17" i="4"/>
  <c r="F17" i="4"/>
  <c r="E17" i="4"/>
  <c r="D17" i="4"/>
  <c r="C17" i="4"/>
  <c r="B17" i="4"/>
  <c r="M16" i="4"/>
  <c r="L16" i="4"/>
  <c r="K16" i="4"/>
  <c r="J16" i="4"/>
  <c r="J18" i="4" s="1"/>
  <c r="I16" i="4"/>
  <c r="H16" i="4"/>
  <c r="G16" i="4"/>
  <c r="F16" i="4"/>
  <c r="E16" i="4"/>
  <c r="D16" i="4"/>
  <c r="C16" i="4"/>
  <c r="B16" i="4"/>
  <c r="M15" i="4"/>
  <c r="L15" i="4"/>
  <c r="K15" i="4"/>
  <c r="J15" i="4"/>
  <c r="I15" i="4"/>
  <c r="H15" i="4"/>
  <c r="H18" i="4" s="1"/>
  <c r="G15" i="4"/>
  <c r="G18" i="4" s="1"/>
  <c r="F15" i="4"/>
  <c r="F18" i="4" s="1"/>
  <c r="E15" i="4"/>
  <c r="D15" i="4"/>
  <c r="C15" i="4"/>
  <c r="B15" i="4"/>
  <c r="M13" i="4"/>
  <c r="L13" i="4"/>
  <c r="K13" i="4"/>
  <c r="J13" i="4"/>
  <c r="I13" i="4"/>
  <c r="H13" i="4"/>
  <c r="G13" i="4"/>
  <c r="F13" i="4"/>
  <c r="E13" i="4"/>
  <c r="D13" i="4"/>
  <c r="C13" i="4"/>
  <c r="B13" i="4"/>
  <c r="F12" i="4"/>
  <c r="N12" i="4" s="1"/>
  <c r="B14" i="5" s="1"/>
  <c r="D14" i="5" s="1"/>
  <c r="F14" i="5" s="1"/>
  <c r="H14" i="5" s="1"/>
  <c r="M11" i="4"/>
  <c r="L11" i="4"/>
  <c r="K11" i="4"/>
  <c r="J11" i="4"/>
  <c r="I11" i="4"/>
  <c r="H11" i="4"/>
  <c r="G11" i="4"/>
  <c r="F11" i="4"/>
  <c r="E11" i="4"/>
  <c r="D11" i="4"/>
  <c r="C11" i="4"/>
  <c r="B11" i="4"/>
  <c r="M10" i="4"/>
  <c r="L10" i="4"/>
  <c r="K10" i="4"/>
  <c r="J10" i="4"/>
  <c r="I10" i="4"/>
  <c r="H10" i="4"/>
  <c r="G10" i="4"/>
  <c r="F10" i="4"/>
  <c r="E10" i="4"/>
  <c r="D10" i="4"/>
  <c r="C10" i="4"/>
  <c r="B10" i="4"/>
  <c r="M9" i="4"/>
  <c r="L9" i="4"/>
  <c r="L14" i="4" s="1"/>
  <c r="K9" i="4"/>
  <c r="J9" i="4"/>
  <c r="J14" i="4" s="1"/>
  <c r="J19" i="4" s="1"/>
  <c r="J20" i="4" s="1"/>
  <c r="I9" i="4"/>
  <c r="H9" i="4"/>
  <c r="G9" i="4"/>
  <c r="F9" i="4"/>
  <c r="E9" i="4"/>
  <c r="D9" i="4"/>
  <c r="D14" i="4" s="1"/>
  <c r="C9" i="4"/>
  <c r="B9" i="4"/>
  <c r="B14" i="4" s="1"/>
  <c r="M8" i="4"/>
  <c r="L8" i="4"/>
  <c r="K8" i="4"/>
  <c r="K14" i="4" s="1"/>
  <c r="J8" i="4"/>
  <c r="I8" i="4"/>
  <c r="I14" i="4" s="1"/>
  <c r="H8" i="4"/>
  <c r="H14" i="4" s="1"/>
  <c r="G8" i="4"/>
  <c r="F8" i="4"/>
  <c r="F14" i="4" s="1"/>
  <c r="E8" i="4"/>
  <c r="D8" i="4"/>
  <c r="C8" i="4"/>
  <c r="B8" i="4"/>
  <c r="N7" i="4"/>
  <c r="C49" i="4" l="1"/>
  <c r="I49" i="4"/>
  <c r="N44" i="4"/>
  <c r="J92" i="4"/>
  <c r="N79" i="4"/>
  <c r="E87" i="4"/>
  <c r="M87" i="4"/>
  <c r="H91" i="4"/>
  <c r="M113" i="4"/>
  <c r="E127" i="4"/>
  <c r="N122" i="4"/>
  <c r="C15" i="13" s="1"/>
  <c r="J140" i="4"/>
  <c r="J142" i="4" s="1"/>
  <c r="G14" i="4"/>
  <c r="G19" i="4" s="1"/>
  <c r="G20" i="4" s="1"/>
  <c r="C14" i="4"/>
  <c r="N30" i="4"/>
  <c r="B31" i="5" s="1"/>
  <c r="D31" i="5" s="1"/>
  <c r="F31" i="5" s="1"/>
  <c r="H31" i="5" s="1"/>
  <c r="I31" i="5" s="1"/>
  <c r="N33" i="4"/>
  <c r="N61" i="4"/>
  <c r="K69" i="4"/>
  <c r="N64" i="4"/>
  <c r="N83" i="4"/>
  <c r="N94" i="4"/>
  <c r="N119" i="4"/>
  <c r="G127" i="4"/>
  <c r="N135" i="4"/>
  <c r="N141" i="4"/>
  <c r="B24" i="5" s="1"/>
  <c r="N16" i="4"/>
  <c r="B13" i="5" s="1"/>
  <c r="D13" i="5" s="1"/>
  <c r="F13" i="5" s="1"/>
  <c r="H13" i="5" s="1"/>
  <c r="H19" i="4"/>
  <c r="H20" i="4" s="1"/>
  <c r="N40" i="4"/>
  <c r="N11" i="4"/>
  <c r="B9" i="5" s="1"/>
  <c r="N15" i="4"/>
  <c r="B12" i="5" s="1"/>
  <c r="D12" i="5" s="1"/>
  <c r="F12" i="5" s="1"/>
  <c r="H12" i="5" s="1"/>
  <c r="H15" i="5" s="1"/>
  <c r="N23" i="4"/>
  <c r="N29" i="4"/>
  <c r="B33" i="5" s="1"/>
  <c r="D33" i="5" s="1"/>
  <c r="F33" i="5" s="1"/>
  <c r="J42" i="4"/>
  <c r="N39" i="4"/>
  <c r="J47" i="4"/>
  <c r="D69" i="4"/>
  <c r="F69" i="4"/>
  <c r="N66" i="4"/>
  <c r="F80" i="4"/>
  <c r="F92" i="4" s="1"/>
  <c r="I87" i="4"/>
  <c r="N86" i="4"/>
  <c r="D91" i="4"/>
  <c r="L91" i="4"/>
  <c r="M116" i="4"/>
  <c r="I113" i="4"/>
  <c r="N108" i="4"/>
  <c r="N111" i="4"/>
  <c r="L113" i="4"/>
  <c r="L116" i="4" s="1"/>
  <c r="B127" i="4"/>
  <c r="J127" i="4"/>
  <c r="N123" i="4"/>
  <c r="N125" i="4"/>
  <c r="C17" i="13" s="1"/>
  <c r="N128" i="4"/>
  <c r="B38" i="5" s="1"/>
  <c r="D38" i="5" s="1"/>
  <c r="F38" i="5" s="1"/>
  <c r="H38" i="5" s="1"/>
  <c r="I38" i="5" s="1"/>
  <c r="C133" i="4"/>
  <c r="L133" i="4"/>
  <c r="H133" i="4"/>
  <c r="F140" i="4"/>
  <c r="F142" i="4" s="1"/>
  <c r="D25" i="6"/>
  <c r="D48" i="6" s="1"/>
  <c r="D10" i="6"/>
  <c r="D15" i="6" s="1"/>
  <c r="D27" i="4"/>
  <c r="I19" i="4"/>
  <c r="I20" i="4" s="1"/>
  <c r="E69" i="4"/>
  <c r="K19" i="4"/>
  <c r="K20" i="4" s="1"/>
  <c r="N10" i="4"/>
  <c r="B8" i="5" s="1"/>
  <c r="C18" i="4"/>
  <c r="K18" i="4"/>
  <c r="N17" i="4"/>
  <c r="B11" i="5" s="1"/>
  <c r="D11" i="5" s="1"/>
  <c r="F11" i="5" s="1"/>
  <c r="I11" i="5" s="1"/>
  <c r="K27" i="4"/>
  <c r="N26" i="4"/>
  <c r="B34" i="4"/>
  <c r="N34" i="4" s="1"/>
  <c r="B34" i="5" s="1"/>
  <c r="D34" i="5" s="1"/>
  <c r="F34" i="5" s="1"/>
  <c r="H34" i="5" s="1"/>
  <c r="I34" i="5" s="1"/>
  <c r="N46" i="4"/>
  <c r="N47" i="4"/>
  <c r="N53" i="4"/>
  <c r="B53" i="5" s="1"/>
  <c r="N56" i="4"/>
  <c r="N59" i="4"/>
  <c r="B69" i="4"/>
  <c r="J69" i="4"/>
  <c r="E75" i="4"/>
  <c r="G80" i="4"/>
  <c r="G92" i="4" s="1"/>
  <c r="D87" i="4"/>
  <c r="D92" i="4" s="1"/>
  <c r="L87" i="4"/>
  <c r="N104" i="4"/>
  <c r="J113" i="4"/>
  <c r="J116" i="4" s="1"/>
  <c r="D113" i="4"/>
  <c r="N115" i="4"/>
  <c r="B20" i="5" s="1"/>
  <c r="D20" i="5" s="1"/>
  <c r="F20" i="5" s="1"/>
  <c r="H20" i="5" s="1"/>
  <c r="I20" i="5" s="1"/>
  <c r="D133" i="4"/>
  <c r="M133" i="4"/>
  <c r="G140" i="4"/>
  <c r="G142" i="4" s="1"/>
  <c r="C24" i="6"/>
  <c r="C10" i="6"/>
  <c r="K10" i="6" s="1"/>
  <c r="C10" i="5" s="1"/>
  <c r="D10" i="5" s="1"/>
  <c r="F10" i="5" s="1"/>
  <c r="I10" i="5" s="1"/>
  <c r="C9" i="6"/>
  <c r="G20" i="8"/>
  <c r="G22" i="8" s="1"/>
  <c r="G24" i="8" s="1"/>
  <c r="C25" i="6"/>
  <c r="K25" i="6" s="1"/>
  <c r="C25" i="5" s="1"/>
  <c r="D25" i="5" s="1"/>
  <c r="F25" i="5" s="1"/>
  <c r="I25" i="5" s="1"/>
  <c r="F19" i="4"/>
  <c r="F20" i="4" s="1"/>
  <c r="B21" i="5"/>
  <c r="D21" i="5" s="1"/>
  <c r="F21" i="5" s="1"/>
  <c r="M69" i="4"/>
  <c r="N130" i="4"/>
  <c r="N13" i="4"/>
  <c r="D18" i="4"/>
  <c r="L18" i="4"/>
  <c r="N37" i="4"/>
  <c r="L42" i="4"/>
  <c r="L49" i="4" s="1"/>
  <c r="G42" i="4"/>
  <c r="G49" i="4" s="1"/>
  <c r="D47" i="4"/>
  <c r="L47" i="4"/>
  <c r="G57" i="4"/>
  <c r="H69" i="4"/>
  <c r="H80" i="4"/>
  <c r="C87" i="4"/>
  <c r="K87" i="4"/>
  <c r="G87" i="4"/>
  <c r="N89" i="4"/>
  <c r="B91" i="4"/>
  <c r="K113" i="4"/>
  <c r="N109" i="4"/>
  <c r="N112" i="4"/>
  <c r="B116" i="4"/>
  <c r="D127" i="4"/>
  <c r="N127" i="4" s="1"/>
  <c r="B41" i="5" s="1"/>
  <c r="L127" i="4"/>
  <c r="N131" i="4"/>
  <c r="N137" i="4"/>
  <c r="N139" i="4"/>
  <c r="N140" i="4"/>
  <c r="B26" i="5" s="1"/>
  <c r="D26" i="5" s="1"/>
  <c r="F26" i="5" s="1"/>
  <c r="H26" i="5" s="1"/>
  <c r="N38" i="4"/>
  <c r="N85" i="4"/>
  <c r="H113" i="4"/>
  <c r="H116" i="4" s="1"/>
  <c r="K133" i="4"/>
  <c r="N8" i="4"/>
  <c r="B7" i="5" s="1"/>
  <c r="M14" i="4"/>
  <c r="M19" i="4" s="1"/>
  <c r="M20" i="4" s="1"/>
  <c r="E18" i="4"/>
  <c r="M18" i="4"/>
  <c r="N24" i="4"/>
  <c r="M27" i="4"/>
  <c r="D34" i="4"/>
  <c r="E42" i="4"/>
  <c r="E49" i="4" s="1"/>
  <c r="M42" i="4"/>
  <c r="M49" i="4" s="1"/>
  <c r="N67" i="4"/>
  <c r="G91" i="4"/>
  <c r="E97" i="4"/>
  <c r="G113" i="4"/>
  <c r="G116" i="4" s="1"/>
  <c r="N114" i="4"/>
  <c r="B19" i="5" s="1"/>
  <c r="D19" i="5" s="1"/>
  <c r="F19" i="5" s="1"/>
  <c r="H19" i="5" s="1"/>
  <c r="I19" i="5" s="1"/>
  <c r="H127" i="4"/>
  <c r="M127" i="4"/>
  <c r="F133" i="4"/>
  <c r="C140" i="4"/>
  <c r="C142" i="4" s="1"/>
  <c r="N146" i="4"/>
  <c r="B52" i="5" s="1"/>
  <c r="B55" i="5" s="1"/>
  <c r="I17" i="8"/>
  <c r="N75" i="4"/>
  <c r="B47" i="5" s="1"/>
  <c r="D47" i="5" s="1"/>
  <c r="F47" i="5" s="1"/>
  <c r="H47" i="5" s="1"/>
  <c r="I47" i="5" s="1"/>
  <c r="N100" i="4"/>
  <c r="B46" i="5" s="1"/>
  <c r="D46" i="5" s="1"/>
  <c r="F46" i="5" s="1"/>
  <c r="H46" i="5" s="1"/>
  <c r="I46" i="5" s="1"/>
  <c r="N57" i="4"/>
  <c r="B43" i="5" s="1"/>
  <c r="D43" i="5" s="1"/>
  <c r="F43" i="5" s="1"/>
  <c r="H43" i="5" s="1"/>
  <c r="I43" i="5" s="1"/>
  <c r="K92" i="4"/>
  <c r="K143" i="4" s="1"/>
  <c r="K144" i="4" s="1"/>
  <c r="K149" i="4" s="1"/>
  <c r="D116" i="4"/>
  <c r="I116" i="4"/>
  <c r="D19" i="4"/>
  <c r="D20" i="4" s="1"/>
  <c r="L19" i="4"/>
  <c r="L20" i="4" s="1"/>
  <c r="E92" i="4"/>
  <c r="E143" i="4" s="1"/>
  <c r="M92" i="4"/>
  <c r="M143" i="4" s="1"/>
  <c r="M144" i="4" s="1"/>
  <c r="M149" i="4" s="1"/>
  <c r="I92" i="4"/>
  <c r="L92" i="4"/>
  <c r="K116" i="4"/>
  <c r="C19" i="4"/>
  <c r="C20" i="4" s="1"/>
  <c r="N52" i="4"/>
  <c r="B28" i="5" s="1"/>
  <c r="D28" i="5" s="1"/>
  <c r="F28" i="5" s="1"/>
  <c r="H28" i="5" s="1"/>
  <c r="I28" i="5" s="1"/>
  <c r="N142" i="4"/>
  <c r="N147" i="4"/>
  <c r="N51" i="4"/>
  <c r="K97" i="4"/>
  <c r="N97" i="4" s="1"/>
  <c r="B35" i="5" s="1"/>
  <c r="D35" i="5" s="1"/>
  <c r="F35" i="5" s="1"/>
  <c r="H35" i="5" s="1"/>
  <c r="I35" i="5" s="1"/>
  <c r="N78" i="4"/>
  <c r="N84" i="4"/>
  <c r="N99" i="4"/>
  <c r="N106" i="4"/>
  <c r="O113" i="4" s="1"/>
  <c r="N63" i="4"/>
  <c r="C69" i="4"/>
  <c r="N73" i="4"/>
  <c r="N121" i="4"/>
  <c r="F113" i="4"/>
  <c r="E14" i="4"/>
  <c r="E19" i="4" s="1"/>
  <c r="E20" i="4" s="1"/>
  <c r="D42" i="4"/>
  <c r="D49" i="4" s="1"/>
  <c r="N102" i="4"/>
  <c r="B133" i="4"/>
  <c r="B18" i="4"/>
  <c r="B27" i="4"/>
  <c r="N71" i="4"/>
  <c r="C116" i="4"/>
  <c r="F148" i="4"/>
  <c r="N148" i="4" s="1"/>
  <c r="N118" i="4"/>
  <c r="N32" i="4"/>
  <c r="N9" i="4"/>
  <c r="C27" i="4"/>
  <c r="F34" i="4"/>
  <c r="N82" i="4"/>
  <c r="N25" i="4"/>
  <c r="N74" i="4"/>
  <c r="G69" i="4"/>
  <c r="J28" i="1"/>
  <c r="J44" i="1"/>
  <c r="J45" i="1"/>
  <c r="J46" i="1"/>
  <c r="J43" i="1"/>
  <c r="K27" i="1"/>
  <c r="I27" i="1"/>
  <c r="C9" i="13" l="1"/>
  <c r="N87" i="4"/>
  <c r="B45" i="5" s="1"/>
  <c r="D45" i="5" s="1"/>
  <c r="F45" i="5" s="1"/>
  <c r="H45" i="5" s="1"/>
  <c r="I45" i="5" s="1"/>
  <c r="N113" i="4"/>
  <c r="B18" i="5" s="1"/>
  <c r="H92" i="4"/>
  <c r="H143" i="4" s="1"/>
  <c r="H144" i="4" s="1"/>
  <c r="H149" i="4" s="1"/>
  <c r="C10" i="13"/>
  <c r="D143" i="4"/>
  <c r="C15" i="6"/>
  <c r="C92" i="4"/>
  <c r="N92" i="4" s="1"/>
  <c r="D49" i="6"/>
  <c r="C18" i="13"/>
  <c r="F41" i="6" s="1"/>
  <c r="N69" i="4"/>
  <c r="B30" i="5" s="1"/>
  <c r="D30" i="5" s="1"/>
  <c r="F30" i="5" s="1"/>
  <c r="H30" i="5" s="1"/>
  <c r="I30" i="5" s="1"/>
  <c r="H21" i="5"/>
  <c r="I21" i="5" s="1"/>
  <c r="G143" i="4"/>
  <c r="G144" i="4" s="1"/>
  <c r="G149" i="4" s="1"/>
  <c r="N42" i="4"/>
  <c r="N18" i="4"/>
  <c r="I143" i="4"/>
  <c r="I144" i="4" s="1"/>
  <c r="I149" i="4" s="1"/>
  <c r="N80" i="4"/>
  <c r="B37" i="5" s="1"/>
  <c r="D37" i="5" s="1"/>
  <c r="F37" i="5" s="1"/>
  <c r="H37" i="5" s="1"/>
  <c r="I37" i="5" s="1"/>
  <c r="B15" i="5"/>
  <c r="C8" i="13"/>
  <c r="N91" i="4"/>
  <c r="K24" i="6"/>
  <c r="C48" i="6"/>
  <c r="N133" i="4"/>
  <c r="B36" i="5" s="1"/>
  <c r="D36" i="5" s="1"/>
  <c r="F36" i="5" s="1"/>
  <c r="H36" i="5" s="1"/>
  <c r="I36" i="5" s="1"/>
  <c r="L143" i="4"/>
  <c r="B92" i="4"/>
  <c r="J49" i="4"/>
  <c r="J143" i="4" s="1"/>
  <c r="J144" i="4" s="1"/>
  <c r="J149" i="4" s="1"/>
  <c r="L144" i="4"/>
  <c r="L149" i="4" s="1"/>
  <c r="D144" i="4"/>
  <c r="D149" i="4" s="1"/>
  <c r="F116" i="4"/>
  <c r="N116" i="4" s="1"/>
  <c r="N27" i="4"/>
  <c r="B27" i="5" s="1"/>
  <c r="D27" i="5" s="1"/>
  <c r="F27" i="5" s="1"/>
  <c r="H27" i="5" s="1"/>
  <c r="I27" i="5" s="1"/>
  <c r="B143" i="4"/>
  <c r="N14" i="4"/>
  <c r="E144" i="4"/>
  <c r="E149" i="4" s="1"/>
  <c r="B19" i="4"/>
  <c r="J38" i="1"/>
  <c r="D18" i="5" l="1"/>
  <c r="C49" i="6"/>
  <c r="C24" i="5"/>
  <c r="K48" i="6"/>
  <c r="C11" i="13"/>
  <c r="B9" i="13" s="1"/>
  <c r="D9" i="13" s="1"/>
  <c r="B8" i="13"/>
  <c r="D8" i="13" s="1"/>
  <c r="N49" i="4"/>
  <c r="B23" i="5" s="1"/>
  <c r="D23" i="5" s="1"/>
  <c r="F23" i="5" s="1"/>
  <c r="C143" i="4"/>
  <c r="C144" i="4" s="1"/>
  <c r="C149" i="4" s="1"/>
  <c r="F48" i="6"/>
  <c r="K41" i="6"/>
  <c r="C41" i="5" s="1"/>
  <c r="D41" i="5" s="1"/>
  <c r="F41" i="5" s="1"/>
  <c r="F143" i="4"/>
  <c r="F144" i="4" s="1"/>
  <c r="F149" i="4" s="1"/>
  <c r="B20" i="4"/>
  <c r="N19" i="4"/>
  <c r="E9" i="13" l="1"/>
  <c r="F8" i="6"/>
  <c r="K8" i="6" s="1"/>
  <c r="C8" i="5" s="1"/>
  <c r="D8" i="5" s="1"/>
  <c r="F8" i="5" s="1"/>
  <c r="I8" i="5" s="1"/>
  <c r="C48" i="5"/>
  <c r="D24" i="5"/>
  <c r="F24" i="5" s="1"/>
  <c r="I24" i="5" s="1"/>
  <c r="B10" i="13"/>
  <c r="D10" i="13" s="1"/>
  <c r="F18" i="5"/>
  <c r="D48" i="5"/>
  <c r="B48" i="5"/>
  <c r="B49" i="5" s="1"/>
  <c r="B56" i="5" s="1"/>
  <c r="E8" i="13"/>
  <c r="F7" i="6"/>
  <c r="H23" i="5"/>
  <c r="I23" i="5"/>
  <c r="N20" i="4"/>
  <c r="B144" i="4"/>
  <c r="N143" i="4"/>
  <c r="AA39" i="1"/>
  <c r="AA34" i="1"/>
  <c r="AA29" i="1"/>
  <c r="AA24" i="1"/>
  <c r="AA19" i="1"/>
  <c r="AA14" i="1"/>
  <c r="AA38" i="1"/>
  <c r="AA33" i="1"/>
  <c r="AA28" i="1"/>
  <c r="AA23" i="1"/>
  <c r="AA18" i="1"/>
  <c r="AA13" i="1"/>
  <c r="AA37" i="1"/>
  <c r="AA32" i="1"/>
  <c r="AA27" i="1"/>
  <c r="AA22" i="1"/>
  <c r="AA17" i="1"/>
  <c r="AA12" i="1"/>
  <c r="AA36" i="1"/>
  <c r="AA31" i="1"/>
  <c r="AA26" i="1"/>
  <c r="AA21" i="1"/>
  <c r="AA16" i="1"/>
  <c r="AA11" i="1"/>
  <c r="AA9" i="1"/>
  <c r="AA8" i="1"/>
  <c r="AA7" i="1"/>
  <c r="AA6" i="1"/>
  <c r="U57" i="1"/>
  <c r="U56" i="1"/>
  <c r="H18" i="5" l="1"/>
  <c r="I18" i="5"/>
  <c r="F48" i="5"/>
  <c r="E10" i="13"/>
  <c r="F9" i="6"/>
  <c r="K9" i="6" s="1"/>
  <c r="C9" i="5" s="1"/>
  <c r="D9" i="5" s="1"/>
  <c r="F9" i="5" s="1"/>
  <c r="I9" i="5" s="1"/>
  <c r="D11" i="13"/>
  <c r="E11" i="13" s="1"/>
  <c r="K7" i="6"/>
  <c r="N144" i="4"/>
  <c r="B149" i="4"/>
  <c r="N149" i="4" s="1"/>
  <c r="B59" i="5" s="1"/>
  <c r="V39" i="1"/>
  <c r="V34" i="1"/>
  <c r="V29" i="1"/>
  <c r="V24" i="1"/>
  <c r="V19" i="1"/>
  <c r="V14" i="1"/>
  <c r="V13" i="1"/>
  <c r="V37" i="1"/>
  <c r="V27" i="1"/>
  <c r="V17" i="1"/>
  <c r="V12" i="1"/>
  <c r="V31" i="1"/>
  <c r="V21" i="1"/>
  <c r="V11" i="1"/>
  <c r="V38" i="1"/>
  <c r="V33" i="1"/>
  <c r="V28" i="1"/>
  <c r="V23" i="1"/>
  <c r="V18" i="1"/>
  <c r="V32" i="1"/>
  <c r="V22" i="1"/>
  <c r="V36" i="1"/>
  <c r="V26" i="1"/>
  <c r="V16" i="1"/>
  <c r="V9" i="1"/>
  <c r="V7" i="1"/>
  <c r="V6" i="1"/>
  <c r="V8" i="1"/>
  <c r="C7" i="5" l="1"/>
  <c r="K15" i="6"/>
  <c r="K49" i="6" s="1"/>
  <c r="F15" i="6"/>
  <c r="F49" i="6" s="1"/>
  <c r="F8" i="1"/>
  <c r="F9" i="1" s="1"/>
  <c r="F10" i="1" s="1"/>
  <c r="F11" i="1" s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I26" i="1"/>
  <c r="J27" i="1"/>
  <c r="M27" i="1" s="1"/>
  <c r="K11" i="1" s="1"/>
  <c r="M11" i="1" s="1"/>
  <c r="L27" i="1"/>
  <c r="K38" i="1"/>
  <c r="J47" i="1"/>
  <c r="S59" i="1"/>
  <c r="Y68" i="1"/>
  <c r="C15" i="5" l="1"/>
  <c r="C49" i="5" s="1"/>
  <c r="C56" i="5" s="1"/>
  <c r="D7" i="5"/>
  <c r="I28" i="1"/>
  <c r="Z68" i="1"/>
  <c r="J26" i="1"/>
  <c r="I11" i="1"/>
  <c r="F7" i="5" l="1"/>
  <c r="D15" i="5"/>
  <c r="D49" i="5" s="1"/>
  <c r="D56" i="5" s="1"/>
  <c r="I7" i="5" l="1"/>
  <c r="I15" i="5" s="1"/>
  <c r="F15" i="5"/>
  <c r="F49" i="5" l="1"/>
  <c r="F56" i="5" s="1"/>
  <c r="H41" i="5"/>
  <c r="C5" i="1"/>
  <c r="I7" i="1" s="1"/>
  <c r="J19" i="1" l="1"/>
  <c r="S9" i="1"/>
  <c r="T9" i="1" s="1"/>
  <c r="U9" i="1" s="1"/>
  <c r="W9" i="1" s="1"/>
  <c r="X9" i="1" s="1"/>
  <c r="Y9" i="1" s="1"/>
  <c r="Z9" i="1" s="1"/>
  <c r="AB9" i="1" s="1"/>
  <c r="AC9" i="1" s="1"/>
  <c r="AD9" i="1" s="1"/>
  <c r="S7" i="1"/>
  <c r="T7" i="1" s="1"/>
  <c r="U7" i="1" s="1"/>
  <c r="W7" i="1" s="1"/>
  <c r="X7" i="1" s="1"/>
  <c r="Y7" i="1" s="1"/>
  <c r="Z7" i="1" s="1"/>
  <c r="AB7" i="1" s="1"/>
  <c r="AC7" i="1" s="1"/>
  <c r="AD7" i="1" s="1"/>
  <c r="S8" i="1"/>
  <c r="T8" i="1" s="1"/>
  <c r="U8" i="1" s="1"/>
  <c r="W8" i="1" s="1"/>
  <c r="X8" i="1" s="1"/>
  <c r="Y8" i="1" s="1"/>
  <c r="Z8" i="1" s="1"/>
  <c r="AB8" i="1" s="1"/>
  <c r="AC8" i="1" s="1"/>
  <c r="AD8" i="1" s="1"/>
  <c r="S6" i="1"/>
  <c r="T6" i="1" s="1"/>
  <c r="U6" i="1" s="1"/>
  <c r="W6" i="1" s="1"/>
  <c r="X6" i="1" s="1"/>
  <c r="Y6" i="1" s="1"/>
  <c r="Z6" i="1" s="1"/>
  <c r="AB6" i="1" s="1"/>
  <c r="AC6" i="1" s="1"/>
  <c r="AD6" i="1" s="1"/>
  <c r="I41" i="5"/>
  <c r="I48" i="5" s="1"/>
  <c r="H48" i="5"/>
  <c r="H49" i="5" s="1"/>
  <c r="C6" i="1" l="1"/>
  <c r="I8" i="1" s="1"/>
  <c r="I49" i="5"/>
  <c r="AE8" i="1"/>
  <c r="AF8" i="1" s="1"/>
  <c r="AE7" i="1"/>
  <c r="AF7" i="1" s="1"/>
  <c r="AE9" i="1"/>
  <c r="AF9" i="1" s="1"/>
  <c r="AE6" i="1"/>
  <c r="AF6" i="1" s="1"/>
  <c r="I16" i="1" l="1"/>
  <c r="K8" i="1"/>
  <c r="I9" i="1"/>
  <c r="AG6" i="1"/>
  <c r="AH6" i="1"/>
  <c r="AI6" i="1"/>
  <c r="J7" i="1"/>
  <c r="K7" i="1"/>
  <c r="L7" i="1"/>
  <c r="M7" i="1"/>
  <c r="AG7" i="1"/>
  <c r="AH7" i="1"/>
  <c r="AI7" i="1"/>
  <c r="L8" i="1"/>
  <c r="M8" i="1"/>
  <c r="AG8" i="1"/>
  <c r="AH8" i="1"/>
  <c r="AI8" i="1"/>
  <c r="K9" i="1"/>
  <c r="M9" i="1"/>
  <c r="AG9" i="1"/>
  <c r="AH9" i="1"/>
  <c r="AI9" i="1"/>
  <c r="S11" i="1"/>
  <c r="T11" i="1"/>
  <c r="U11" i="1"/>
  <c r="W11" i="1"/>
  <c r="X11" i="1"/>
  <c r="Y11" i="1"/>
  <c r="Z11" i="1"/>
  <c r="AB11" i="1"/>
  <c r="AC11" i="1"/>
  <c r="AD11" i="1"/>
  <c r="AE11" i="1"/>
  <c r="AF11" i="1"/>
  <c r="AG11" i="1"/>
  <c r="AH11" i="1"/>
  <c r="AI11" i="1"/>
  <c r="I12" i="1"/>
  <c r="J12" i="1"/>
  <c r="K12" i="1"/>
  <c r="M12" i="1"/>
  <c r="S12" i="1"/>
  <c r="T12" i="1"/>
  <c r="U12" i="1"/>
  <c r="W12" i="1"/>
  <c r="X12" i="1"/>
  <c r="Y12" i="1"/>
  <c r="Z12" i="1"/>
  <c r="AB12" i="1"/>
  <c r="AC12" i="1"/>
  <c r="AD12" i="1"/>
  <c r="AE12" i="1"/>
  <c r="AF12" i="1"/>
  <c r="AG12" i="1"/>
  <c r="AH12" i="1"/>
  <c r="AI12" i="1"/>
  <c r="S13" i="1"/>
  <c r="T13" i="1"/>
  <c r="U13" i="1"/>
  <c r="W13" i="1"/>
  <c r="X13" i="1"/>
  <c r="Y13" i="1"/>
  <c r="Z13" i="1"/>
  <c r="AB13" i="1"/>
  <c r="AC13" i="1"/>
  <c r="AD13" i="1"/>
  <c r="AE13" i="1"/>
  <c r="AF13" i="1"/>
  <c r="AG13" i="1"/>
  <c r="AH13" i="1"/>
  <c r="AI13" i="1"/>
  <c r="I14" i="1"/>
  <c r="K14" i="1"/>
  <c r="M14" i="1"/>
  <c r="S14" i="1"/>
  <c r="T14" i="1"/>
  <c r="U14" i="1"/>
  <c r="W14" i="1"/>
  <c r="X14" i="1"/>
  <c r="Y14" i="1"/>
  <c r="Z14" i="1"/>
  <c r="AB14" i="1"/>
  <c r="AC14" i="1"/>
  <c r="AD14" i="1"/>
  <c r="AE14" i="1"/>
  <c r="AF14" i="1"/>
  <c r="AG14" i="1"/>
  <c r="AH14" i="1"/>
  <c r="AI14" i="1"/>
  <c r="K16" i="1"/>
  <c r="M16" i="1"/>
  <c r="S16" i="1"/>
  <c r="T16" i="1"/>
  <c r="U16" i="1"/>
  <c r="W16" i="1"/>
  <c r="X16" i="1"/>
  <c r="Y16" i="1"/>
  <c r="Z16" i="1"/>
  <c r="AB16" i="1"/>
  <c r="AC16" i="1"/>
  <c r="AD16" i="1"/>
  <c r="AE16" i="1"/>
  <c r="AF16" i="1"/>
  <c r="AG16" i="1"/>
  <c r="AH16" i="1"/>
  <c r="AI16" i="1"/>
  <c r="S17" i="1"/>
  <c r="T17" i="1"/>
  <c r="U17" i="1"/>
  <c r="W17" i="1"/>
  <c r="X17" i="1"/>
  <c r="Y17" i="1"/>
  <c r="Z17" i="1"/>
  <c r="AB17" i="1"/>
  <c r="AC17" i="1"/>
  <c r="AD17" i="1"/>
  <c r="AE17" i="1"/>
  <c r="AF17" i="1"/>
  <c r="AG17" i="1"/>
  <c r="AH17" i="1"/>
  <c r="AI17" i="1"/>
  <c r="S18" i="1"/>
  <c r="T18" i="1"/>
  <c r="U18" i="1"/>
  <c r="W18" i="1"/>
  <c r="X18" i="1"/>
  <c r="Y18" i="1"/>
  <c r="Z18" i="1"/>
  <c r="AB18" i="1"/>
  <c r="AC18" i="1"/>
  <c r="AD18" i="1"/>
  <c r="AE18" i="1"/>
  <c r="AF18" i="1"/>
  <c r="AG18" i="1"/>
  <c r="AH18" i="1"/>
  <c r="AI18" i="1"/>
  <c r="M19" i="1"/>
  <c r="S19" i="1"/>
  <c r="T19" i="1"/>
  <c r="U19" i="1"/>
  <c r="W19" i="1"/>
  <c r="X19" i="1"/>
  <c r="Y19" i="1"/>
  <c r="Z19" i="1"/>
  <c r="AB19" i="1"/>
  <c r="AC19" i="1"/>
  <c r="AD19" i="1"/>
  <c r="AE19" i="1"/>
  <c r="AF19" i="1"/>
  <c r="AG19" i="1"/>
  <c r="AH19" i="1"/>
  <c r="AI19" i="1"/>
  <c r="J20" i="1"/>
  <c r="M20" i="1"/>
  <c r="J21" i="1"/>
  <c r="M21" i="1"/>
  <c r="S21" i="1"/>
  <c r="T21" i="1"/>
  <c r="U21" i="1"/>
  <c r="W21" i="1"/>
  <c r="X21" i="1"/>
  <c r="Y21" i="1"/>
  <c r="Z21" i="1"/>
  <c r="AB21" i="1"/>
  <c r="AC21" i="1"/>
  <c r="AD21" i="1"/>
  <c r="AE21" i="1"/>
  <c r="AF21" i="1"/>
  <c r="AG21" i="1"/>
  <c r="AH21" i="1"/>
  <c r="AI21" i="1"/>
  <c r="K22" i="1"/>
  <c r="S22" i="1"/>
  <c r="T22" i="1"/>
  <c r="U22" i="1"/>
  <c r="W22" i="1"/>
  <c r="X22" i="1"/>
  <c r="Y22" i="1"/>
  <c r="Z22" i="1"/>
  <c r="AB22" i="1"/>
  <c r="AC22" i="1"/>
  <c r="AD22" i="1"/>
  <c r="AE22" i="1"/>
  <c r="AF22" i="1"/>
  <c r="AG22" i="1"/>
  <c r="AH22" i="1"/>
  <c r="AI22" i="1"/>
  <c r="S23" i="1"/>
  <c r="T23" i="1"/>
  <c r="U23" i="1"/>
  <c r="W23" i="1"/>
  <c r="X23" i="1"/>
  <c r="Y23" i="1"/>
  <c r="Z23" i="1"/>
  <c r="AB23" i="1"/>
  <c r="AC23" i="1"/>
  <c r="AD23" i="1"/>
  <c r="AE23" i="1"/>
  <c r="AF23" i="1"/>
  <c r="AG23" i="1"/>
  <c r="AH23" i="1"/>
  <c r="AI23" i="1"/>
  <c r="S24" i="1"/>
  <c r="T24" i="1"/>
  <c r="U24" i="1"/>
  <c r="W24" i="1"/>
  <c r="X24" i="1"/>
  <c r="Y24" i="1"/>
  <c r="Z24" i="1"/>
  <c r="AB24" i="1"/>
  <c r="AC24" i="1"/>
  <c r="AD24" i="1"/>
  <c r="AE24" i="1"/>
  <c r="AF24" i="1"/>
  <c r="AG24" i="1"/>
  <c r="AH24" i="1"/>
  <c r="AI24" i="1"/>
  <c r="K26" i="1"/>
  <c r="L26" i="1"/>
  <c r="M26" i="1"/>
  <c r="S26" i="1"/>
  <c r="T26" i="1"/>
  <c r="U26" i="1"/>
  <c r="W26" i="1"/>
  <c r="X26" i="1"/>
  <c r="Y26" i="1"/>
  <c r="Z26" i="1"/>
  <c r="AB26" i="1"/>
  <c r="AC26" i="1"/>
  <c r="AD26" i="1"/>
  <c r="AE26" i="1"/>
  <c r="AF26" i="1"/>
  <c r="AG26" i="1"/>
  <c r="AH26" i="1"/>
  <c r="AI26" i="1"/>
  <c r="S27" i="1"/>
  <c r="T27" i="1"/>
  <c r="U27" i="1"/>
  <c r="W27" i="1"/>
  <c r="X27" i="1"/>
  <c r="Y27" i="1"/>
  <c r="Z27" i="1"/>
  <c r="AB27" i="1"/>
  <c r="AC27" i="1"/>
  <c r="AD27" i="1"/>
  <c r="AE27" i="1"/>
  <c r="AF27" i="1"/>
  <c r="AG27" i="1"/>
  <c r="AH27" i="1"/>
  <c r="AI27" i="1"/>
  <c r="L28" i="1"/>
  <c r="M28" i="1"/>
  <c r="S28" i="1"/>
  <c r="T28" i="1"/>
  <c r="U28" i="1"/>
  <c r="W28" i="1"/>
  <c r="X28" i="1"/>
  <c r="Y28" i="1"/>
  <c r="Z28" i="1"/>
  <c r="AB28" i="1"/>
  <c r="AC28" i="1"/>
  <c r="AD28" i="1"/>
  <c r="AE28" i="1"/>
  <c r="AF28" i="1"/>
  <c r="AG28" i="1"/>
  <c r="AH28" i="1"/>
  <c r="AI28" i="1"/>
  <c r="S29" i="1"/>
  <c r="T29" i="1"/>
  <c r="U29" i="1"/>
  <c r="W29" i="1"/>
  <c r="X29" i="1"/>
  <c r="Y29" i="1"/>
  <c r="Z29" i="1"/>
  <c r="AB29" i="1"/>
  <c r="AC29" i="1"/>
  <c r="AD29" i="1"/>
  <c r="AE29" i="1"/>
  <c r="AF29" i="1"/>
  <c r="AG29" i="1"/>
  <c r="AH29" i="1"/>
  <c r="AI29" i="1"/>
  <c r="S31" i="1"/>
  <c r="T31" i="1"/>
  <c r="U31" i="1"/>
  <c r="W31" i="1"/>
  <c r="X31" i="1"/>
  <c r="Y31" i="1"/>
  <c r="Z31" i="1"/>
  <c r="AB31" i="1"/>
  <c r="AC31" i="1"/>
  <c r="AD31" i="1"/>
  <c r="AE31" i="1"/>
  <c r="AF31" i="1"/>
  <c r="AG31" i="1"/>
  <c r="AH31" i="1"/>
  <c r="AI31" i="1"/>
  <c r="S32" i="1"/>
  <c r="T32" i="1"/>
  <c r="U32" i="1"/>
  <c r="W32" i="1"/>
  <c r="X32" i="1"/>
  <c r="Y32" i="1"/>
  <c r="Z32" i="1"/>
  <c r="AB32" i="1"/>
  <c r="AC32" i="1"/>
  <c r="AD32" i="1"/>
  <c r="AE32" i="1"/>
  <c r="AF32" i="1"/>
  <c r="AG32" i="1"/>
  <c r="AH32" i="1"/>
  <c r="AI32" i="1"/>
  <c r="J33" i="1"/>
  <c r="K33" i="1"/>
  <c r="S33" i="1"/>
  <c r="T33" i="1"/>
  <c r="U33" i="1"/>
  <c r="W33" i="1"/>
  <c r="X33" i="1"/>
  <c r="Y33" i="1"/>
  <c r="Z33" i="1"/>
  <c r="AB33" i="1"/>
  <c r="AC33" i="1"/>
  <c r="AD33" i="1"/>
  <c r="AE33" i="1"/>
  <c r="AF33" i="1"/>
  <c r="AG33" i="1"/>
  <c r="AH33" i="1"/>
  <c r="AI33" i="1"/>
  <c r="J34" i="1"/>
  <c r="K34" i="1"/>
  <c r="S34" i="1"/>
  <c r="T34" i="1"/>
  <c r="U34" i="1"/>
  <c r="W34" i="1"/>
  <c r="X34" i="1"/>
  <c r="Y34" i="1"/>
  <c r="Z34" i="1"/>
  <c r="AB34" i="1"/>
  <c r="AC34" i="1"/>
  <c r="AD34" i="1"/>
  <c r="AE34" i="1"/>
  <c r="AF34" i="1"/>
  <c r="AG34" i="1"/>
  <c r="AH34" i="1"/>
  <c r="AI34" i="1"/>
  <c r="J35" i="1"/>
  <c r="K35" i="1"/>
  <c r="J36" i="1"/>
  <c r="K36" i="1"/>
  <c r="S36" i="1"/>
  <c r="T36" i="1"/>
  <c r="U36" i="1"/>
  <c r="W36" i="1"/>
  <c r="X36" i="1"/>
  <c r="Y36" i="1"/>
  <c r="Z36" i="1"/>
  <c r="AB36" i="1"/>
  <c r="AC36" i="1"/>
  <c r="AD36" i="1"/>
  <c r="AE36" i="1"/>
  <c r="AF36" i="1"/>
  <c r="AG36" i="1"/>
  <c r="AH36" i="1"/>
  <c r="AI36" i="1"/>
  <c r="J37" i="1"/>
  <c r="K37" i="1"/>
  <c r="S37" i="1"/>
  <c r="T37" i="1"/>
  <c r="U37" i="1"/>
  <c r="W37" i="1"/>
  <c r="X37" i="1"/>
  <c r="Y37" i="1"/>
  <c r="Z37" i="1"/>
  <c r="AB37" i="1"/>
  <c r="AC37" i="1"/>
  <c r="AD37" i="1"/>
  <c r="AE37" i="1"/>
  <c r="AF37" i="1"/>
  <c r="AG37" i="1"/>
  <c r="AH37" i="1"/>
  <c r="AI37" i="1"/>
  <c r="S38" i="1"/>
  <c r="T38" i="1"/>
  <c r="U38" i="1"/>
  <c r="W38" i="1"/>
  <c r="X38" i="1"/>
  <c r="Y38" i="1"/>
  <c r="Z38" i="1"/>
  <c r="AB38" i="1"/>
  <c r="AC38" i="1"/>
  <c r="AD38" i="1"/>
  <c r="AE38" i="1"/>
  <c r="AF38" i="1"/>
  <c r="AG38" i="1"/>
  <c r="AH38" i="1"/>
  <c r="AI38" i="1"/>
  <c r="S39" i="1"/>
  <c r="T39" i="1"/>
  <c r="U39" i="1"/>
  <c r="W39" i="1"/>
  <c r="X39" i="1"/>
  <c r="Y39" i="1"/>
  <c r="Z39" i="1"/>
  <c r="AB39" i="1"/>
  <c r="AC39" i="1"/>
  <c r="AD39" i="1"/>
  <c r="AE39" i="1"/>
  <c r="AF39" i="1"/>
  <c r="AG39" i="1"/>
  <c r="AH39" i="1"/>
  <c r="AI39" i="1"/>
  <c r="K43" i="1"/>
  <c r="V43" i="1"/>
  <c r="K44" i="1"/>
  <c r="V44" i="1"/>
  <c r="K45" i="1"/>
  <c r="V45" i="1"/>
  <c r="K46" i="1"/>
  <c r="K47" i="1"/>
  <c r="R48" i="1"/>
  <c r="J49" i="1"/>
  <c r="R49" i="1"/>
  <c r="R51" i="1"/>
  <c r="Y63" i="1"/>
  <c r="Z63" i="1"/>
  <c r="Y64" i="1"/>
  <c r="Z64" i="1"/>
  <c r="Y65" i="1"/>
  <c r="Z65" i="1"/>
  <c r="Y66" i="1"/>
  <c r="Z66" i="1"/>
  <c r="Y67" i="1"/>
  <c r="Z67" i="1"/>
  <c r="U64" i="19"/>
  <c r="U65" i="19"/>
</calcChain>
</file>

<file path=xl/comments1.xml><?xml version="1.0" encoding="utf-8"?>
<comments xmlns="http://schemas.openxmlformats.org/spreadsheetml/2006/main">
  <authors>
    <author>Weldon Burton</author>
  </authors>
  <commentList>
    <comment ref="K68" authorId="0" shapeId="0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Prospective Cost to be incurred during rate year as container conversion will begin summer of 2020
</t>
        </r>
      </text>
    </comment>
    <comment ref="O68" authorId="0" shapeId="0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Prospective Cost to be incurred during rate year. Hauler will begin serving customers with front load service as soon as truck arrivers. 5 year life selected as hauler is retro fitting old containers with new parts. These are not new containers subject to the 10 year life.
</t>
        </r>
      </text>
    </comment>
    <comment ref="O69" authorId="0" shapeId="0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Prospective depreciation </t>
        </r>
      </text>
    </comment>
    <comment ref="O70" authorId="0" shapeId="0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Prospective depreciation
</t>
        </r>
      </text>
    </comment>
    <comment ref="K87" authorId="0" shapeId="0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Prospective - Truck to be received in September 2020 and put into serivce immediately. </t>
        </r>
      </text>
    </comment>
    <comment ref="K88" authorId="0" shapeId="0">
      <text>
        <r>
          <rPr>
            <b/>
            <sz val="9"/>
            <color indexed="81"/>
            <rFont val="Tahoma"/>
            <family val="2"/>
          </rPr>
          <t>Weldon Burton:</t>
        </r>
        <r>
          <rPr>
            <sz val="9"/>
            <color indexed="81"/>
            <rFont val="Tahoma"/>
            <family val="2"/>
          </rPr>
          <t xml:space="preserve">
Required capitalization in previous rate case</t>
        </r>
      </text>
    </comment>
  </commentList>
</comments>
</file>

<file path=xl/sharedStrings.xml><?xml version="1.0" encoding="utf-8"?>
<sst xmlns="http://schemas.openxmlformats.org/spreadsheetml/2006/main" count="1121" uniqueCount="665">
  <si>
    <t>2018 Version Update Changes</t>
  </si>
  <si>
    <t>CALCULATION TABLES</t>
  </si>
  <si>
    <t>(a)</t>
  </si>
  <si>
    <t>(b)</t>
  </si>
  <si>
    <t>(c)</t>
  </si>
  <si>
    <t>(d)</t>
  </si>
  <si>
    <t>(e)</t>
  </si>
  <si>
    <t>(f)</t>
  </si>
  <si>
    <t>Regession</t>
  </si>
  <si>
    <t>Hauler</t>
  </si>
  <si>
    <t>Line</t>
  </si>
  <si>
    <t>Historical</t>
  </si>
  <si>
    <t>Revenue</t>
  </si>
  <si>
    <t>Proforma</t>
  </si>
  <si>
    <t>Before Tax</t>
  </si>
  <si>
    <t>Less</t>
  </si>
  <si>
    <t>Adjusted</t>
  </si>
  <si>
    <t>After Tax</t>
  </si>
  <si>
    <t>Weighted Cost</t>
  </si>
  <si>
    <t>No.</t>
  </si>
  <si>
    <t>Taxes</t>
  </si>
  <si>
    <t>Requirment</t>
  </si>
  <si>
    <t>Profit Ratio</t>
  </si>
  <si>
    <t>BTROI</t>
  </si>
  <si>
    <t>WCDebt</t>
  </si>
  <si>
    <t>BTROE</t>
  </si>
  <si>
    <t>ROE</t>
  </si>
  <si>
    <t>Equity</t>
  </si>
  <si>
    <t>Equity BFT</t>
  </si>
  <si>
    <t>Debt</t>
  </si>
  <si>
    <t>BTROR</t>
  </si>
  <si>
    <t>Operating Ratio</t>
  </si>
  <si>
    <t>Operating Revenue</t>
  </si>
  <si>
    <t>Operating Expenses</t>
  </si>
  <si>
    <t>Operating Income</t>
  </si>
  <si>
    <t>Interest Expense</t>
  </si>
  <si>
    <t>2nd Iteration</t>
  </si>
  <si>
    <t>Income Tax Expense</t>
  </si>
  <si>
    <t>Net Income</t>
  </si>
  <si>
    <t xml:space="preserve">Operating Ratio </t>
  </si>
  <si>
    <t>3rd Iteration</t>
  </si>
  <si>
    <t>Rev Sensitive Taxes</t>
  </si>
  <si>
    <t>Rate Increase</t>
  </si>
  <si>
    <t>4th Iteration</t>
  </si>
  <si>
    <t>Financing Cost</t>
  </si>
  <si>
    <t>Type</t>
  </si>
  <si>
    <t>Percent</t>
  </si>
  <si>
    <t>Amount</t>
  </si>
  <si>
    <t>Rate</t>
  </si>
  <si>
    <t>Weighted</t>
  </si>
  <si>
    <t>5th Iteration</t>
  </si>
  <si>
    <t>Operating Statistics</t>
  </si>
  <si>
    <t>Pre-tax</t>
  </si>
  <si>
    <t>6th Iteration</t>
  </si>
  <si>
    <t>Return on Investment</t>
  </si>
  <si>
    <t>Return on Equity</t>
  </si>
  <si>
    <t>Profit Margin</t>
  </si>
  <si>
    <t>Final turnover</t>
  </si>
  <si>
    <t>Tax Rate</t>
  </si>
  <si>
    <t>Curve</t>
  </si>
  <si>
    <t>Lookup Table</t>
  </si>
  <si>
    <t>Revenue Sensitive Taxes Charges</t>
  </si>
  <si>
    <t xml:space="preserve"> B &amp; O Tax</t>
  </si>
  <si>
    <t xml:space="preserve"> WUTC Fee</t>
  </si>
  <si>
    <t>Curve turnover</t>
  </si>
  <si>
    <t>@EXP(5.72260-(.68367*@LN(T)))</t>
  </si>
  <si>
    <t xml:space="preserve"> City Tax</t>
  </si>
  <si>
    <t>Curve No. used</t>
  </si>
  <si>
    <t>@EXP(5.70827-(.68367*@LN(T)))</t>
  </si>
  <si>
    <t xml:space="preserve"> Bad Debts</t>
  </si>
  <si>
    <t>@EXP(5.69850-(.68367*@LN(T)))</t>
  </si>
  <si>
    <t>Revenue Sensitive</t>
  </si>
  <si>
    <t>@EXP(5.69220-(.68367*@LN(T)))</t>
  </si>
  <si>
    <t>Conversion Factor</t>
  </si>
  <si>
    <t>Base Utility from LG Sample Study</t>
  </si>
  <si>
    <t>Regression Results</t>
  </si>
  <si>
    <t>Cost</t>
  </si>
  <si>
    <t>Y intercept (1)</t>
  </si>
  <si>
    <t>Y intercept (3)</t>
  </si>
  <si>
    <t>Y intercept (2)</t>
  </si>
  <si>
    <t>Y intercept (4)</t>
  </si>
  <si>
    <t>Pfd.</t>
  </si>
  <si>
    <t>Slope</t>
  </si>
  <si>
    <t>Revenue Requirement</t>
  </si>
  <si>
    <t>7th Iteration</t>
  </si>
  <si>
    <t>RevS Taxes</t>
  </si>
  <si>
    <t>Revenue Req</t>
  </si>
  <si>
    <t xml:space="preserve">Total </t>
  </si>
  <si>
    <t xml:space="preserve"> Increase Before</t>
  </si>
  <si>
    <t xml:space="preserve">Revenue </t>
  </si>
  <si>
    <t>Increase After</t>
  </si>
  <si>
    <t xml:space="preserve">RevS </t>
  </si>
  <si>
    <t>Revenue Senstive Taxes (RevS)</t>
  </si>
  <si>
    <t>Before RevS</t>
  </si>
  <si>
    <t>Before</t>
  </si>
  <si>
    <t>Income Tax</t>
  </si>
  <si>
    <t>After</t>
  </si>
  <si>
    <t>B&amp;O Tax Rate</t>
  </si>
  <si>
    <t>Federal Income Tax Rate</t>
  </si>
  <si>
    <t>WUTC Fee</t>
  </si>
  <si>
    <t>City Tax</t>
  </si>
  <si>
    <t>Bad Debts</t>
  </si>
  <si>
    <t>No</t>
  </si>
  <si>
    <t>Total</t>
  </si>
  <si>
    <t>Investment</t>
  </si>
  <si>
    <t>Captial Structure Financing Investment</t>
  </si>
  <si>
    <t>Non-Public Companies</t>
  </si>
  <si>
    <t>Percent Chg</t>
  </si>
  <si>
    <t>● Minimizes impact of changes in test-year revenue from</t>
  </si>
  <si>
    <t>● Allows Income Tax Rate Changes,</t>
  </si>
  <si>
    <t xml:space="preserve">   resulting revenue requirment,</t>
  </si>
  <si>
    <t>● Corrects interest rate transposition in LG.</t>
  </si>
  <si>
    <t>nonpubco</t>
  </si>
  <si>
    <t>Capital Structure - Debt Cost</t>
  </si>
  <si>
    <t>Capital Structure - Debt %</t>
  </si>
  <si>
    <t>INPUTS - Test Year</t>
  </si>
  <si>
    <t>Cost of Capital</t>
  </si>
  <si>
    <t>Change</t>
  </si>
  <si>
    <t>Add: Revenue</t>
  </si>
  <si>
    <t xml:space="preserve"> Sensitive Taxes</t>
  </si>
  <si>
    <t>(d) + (e)</t>
  </si>
  <si>
    <t>(b) + (c)</t>
  </si>
  <si>
    <t>Historical Revenue</t>
  </si>
  <si>
    <r>
      <t xml:space="preserve">LURITO - GALLAGHER FORMULA  MODEL 2018  </t>
    </r>
    <r>
      <rPr>
        <sz val="8"/>
        <color indexed="9"/>
        <rFont val="Calibri"/>
        <family val="2"/>
      </rPr>
      <t>V5.0a</t>
    </r>
  </si>
  <si>
    <t>Check when input is complete</t>
  </si>
  <si>
    <t>For Intial input: Uncheck Checkbox Until Completed</t>
  </si>
  <si>
    <t>Revenue Increase before taxes</t>
  </si>
  <si>
    <t>Percent Increase</t>
  </si>
  <si>
    <t>Wastewise Methow</t>
  </si>
  <si>
    <t>Profit and Loss</t>
  </si>
  <si>
    <t>January - December 2019</t>
  </si>
  <si>
    <t>Jan 2019</t>
  </si>
  <si>
    <t>Feb 2019</t>
  </si>
  <si>
    <t>Mar 2019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</si>
  <si>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</si>
  <si>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</si>
  <si>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</si>
  <si>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</si>
  <si>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</si>
  <si>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</si>
  <si>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</si>
  <si>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</si>
  <si>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</si>
  <si>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Income</t>
  </si>
  <si>
    <t xml:space="preserve">   Garbage Sales</t>
  </si>
  <si>
    <t xml:space="preserve">      1 Can Customers</t>
  </si>
  <si>
    <t xml:space="preserve">      2 Can &amp; Over Customers</t>
  </si>
  <si>
    <t xml:space="preserve">      Commercial Customers</t>
  </si>
  <si>
    <t xml:space="preserve">      Drop Boxes</t>
  </si>
  <si>
    <t xml:space="preserve">      Equipment Sales</t>
  </si>
  <si>
    <t xml:space="preserve">      Federal Customers</t>
  </si>
  <si>
    <t xml:space="preserve">   Total Garbage Sales</t>
  </si>
  <si>
    <t xml:space="preserve">   Recycling Sales</t>
  </si>
  <si>
    <t xml:space="preserve">      Recycle Roll-off</t>
  </si>
  <si>
    <t xml:space="preserve">      Residential Recycle</t>
  </si>
  <si>
    <t xml:space="preserve">   Total Recycling Sales</t>
  </si>
  <si>
    <t>Total Income</t>
  </si>
  <si>
    <t>Gross Profit</t>
  </si>
  <si>
    <t>Expenses</t>
  </si>
  <si>
    <t xml:space="preserve">   Advertising/Promotional</t>
  </si>
  <si>
    <t xml:space="preserve">      Print</t>
  </si>
  <si>
    <t xml:space="preserve">      Radio</t>
  </si>
  <si>
    <t xml:space="preserve">      Sponsorship</t>
  </si>
  <si>
    <t xml:space="preserve">      Web</t>
  </si>
  <si>
    <t xml:space="preserve">   Total Advertising/Promotional</t>
  </si>
  <si>
    <t xml:space="preserve">   Bank Charges</t>
  </si>
  <si>
    <t xml:space="preserve">   Donation/Charity</t>
  </si>
  <si>
    <t xml:space="preserve">   Drug Tests</t>
  </si>
  <si>
    <t xml:space="preserve">   Dues &amp; Subscriptions</t>
  </si>
  <si>
    <t xml:space="preserve">      Other</t>
  </si>
  <si>
    <t xml:space="preserve">      WRRA</t>
  </si>
  <si>
    <t xml:space="preserve">   Total Dues &amp; Subscriptions</t>
  </si>
  <si>
    <t xml:space="preserve">   Gas &amp; Oil</t>
  </si>
  <si>
    <t xml:space="preserve">      Diesel</t>
  </si>
  <si>
    <t xml:space="preserve">         Blue</t>
  </si>
  <si>
    <t xml:space="preserve">         Jeremiah</t>
  </si>
  <si>
    <t xml:space="preserve">         Recycle Green Dodge</t>
  </si>
  <si>
    <t xml:space="preserve">         Roll-off</t>
  </si>
  <si>
    <t xml:space="preserve">         White Truck</t>
  </si>
  <si>
    <t xml:space="preserve">      Total Diesel</t>
  </si>
  <si>
    <t xml:space="preserve">      Gas</t>
  </si>
  <si>
    <t xml:space="preserve">         Casey</t>
  </si>
  <si>
    <t xml:space="preserve">         Skip gas</t>
  </si>
  <si>
    <t xml:space="preserve">      Total Gas</t>
  </si>
  <si>
    <t xml:space="preserve">      Oil/Lube</t>
  </si>
  <si>
    <t xml:space="preserve">   Total Gas &amp; Oil</t>
  </si>
  <si>
    <t xml:space="preserve">   Insurance</t>
  </si>
  <si>
    <t xml:space="preserve">      Commercial Insurance</t>
  </si>
  <si>
    <t xml:space="preserve">   Total Insurance</t>
  </si>
  <si>
    <t xml:space="preserve">   Interest Expense</t>
  </si>
  <si>
    <t xml:space="preserve">   Licenses &amp; Permits</t>
  </si>
  <si>
    <t xml:space="preserve">      Business</t>
  </si>
  <si>
    <t xml:space="preserve">      Vehicle</t>
  </si>
  <si>
    <t xml:space="preserve">   Total Licenses &amp; Permits</t>
  </si>
  <si>
    <t xml:space="preserve">   Office Expenses</t>
  </si>
  <si>
    <t xml:space="preserve">      Annual Bulk Mailing Fee</t>
  </si>
  <si>
    <t xml:space="preserve">      Billing Statements</t>
  </si>
  <si>
    <t xml:space="preserve">      CC Processing Fees</t>
  </si>
  <si>
    <t xml:space="preserve">      Cleaning</t>
  </si>
  <si>
    <t xml:space="preserve">      Computer Software Support</t>
  </si>
  <si>
    <t xml:space="preserve">      Fines &amp; Penalties</t>
  </si>
  <si>
    <t xml:space="preserve">      P.O. Box Rent</t>
  </si>
  <si>
    <t xml:space="preserve">      Postage</t>
  </si>
  <si>
    <t xml:space="preserve">      QB On-line</t>
  </si>
  <si>
    <t xml:space="preserve">      Supplies</t>
  </si>
  <si>
    <t xml:space="preserve">   Total Office Expenses</t>
  </si>
  <si>
    <t xml:space="preserve">   Operating Supplies</t>
  </si>
  <si>
    <t xml:space="preserve">      Blue Bags</t>
  </si>
  <si>
    <t xml:space="preserve">      Decals</t>
  </si>
  <si>
    <t xml:space="preserve">      Supplies &amp; Materials</t>
  </si>
  <si>
    <t xml:space="preserve">      Uniforms</t>
  </si>
  <si>
    <t xml:space="preserve">   Total Operating Supplies</t>
  </si>
  <si>
    <t xml:space="preserve">   Payroll Expenses</t>
  </si>
  <si>
    <t xml:space="preserve">      Company Contributions</t>
  </si>
  <si>
    <t xml:space="preserve">         Health Insurance</t>
  </si>
  <si>
    <t xml:space="preserve">         Retirement</t>
  </si>
  <si>
    <t xml:space="preserve">      Total Company Contributions</t>
  </si>
  <si>
    <t xml:space="preserve">      Taxes</t>
  </si>
  <si>
    <t xml:space="preserve">         Federal Taxes (941/944)</t>
  </si>
  <si>
    <t xml:space="preserve">         Federal Unemployment (940)</t>
  </si>
  <si>
    <t xml:space="preserve">         L&amp;I</t>
  </si>
  <si>
    <t xml:space="preserve">         WA SUI Employer</t>
  </si>
  <si>
    <t xml:space="preserve">         WA Workers Compensation</t>
  </si>
  <si>
    <t xml:space="preserve">      Total Taxes</t>
  </si>
  <si>
    <t xml:space="preserve">      Wages</t>
  </si>
  <si>
    <t xml:space="preserve">         Gross Wages</t>
  </si>
  <si>
    <t xml:space="preserve">         Gross Wages-Officer</t>
  </si>
  <si>
    <t xml:space="preserve">      Total Wages</t>
  </si>
  <si>
    <t xml:space="preserve">   Total Payroll Expenses</t>
  </si>
  <si>
    <t xml:space="preserve">   Professional Fees</t>
  </si>
  <si>
    <t xml:space="preserve">      Regulatory Consulting</t>
  </si>
  <si>
    <t xml:space="preserve">      Tax Preparation</t>
  </si>
  <si>
    <t xml:space="preserve">   Total Professional Fees</t>
  </si>
  <si>
    <t xml:space="preserve">   Rent</t>
  </si>
  <si>
    <t xml:space="preserve">      Building</t>
  </si>
  <si>
    <t xml:space="preserve">   Total Rent</t>
  </si>
  <si>
    <t xml:space="preserve">   Repair &amp; Maintenance</t>
  </si>
  <si>
    <t xml:space="preserve">      Buliding Repairs</t>
  </si>
  <si>
    <t xml:space="preserve">      Carts</t>
  </si>
  <si>
    <t xml:space="preserve">      Containers</t>
  </si>
  <si>
    <t xml:space="preserve">      Fleet</t>
  </si>
  <si>
    <t xml:space="preserve">         Blue Truck</t>
  </si>
  <si>
    <t xml:space="preserve">         Dodge</t>
  </si>
  <si>
    <t xml:space="preserve">         Roll Off Truck</t>
  </si>
  <si>
    <t xml:space="preserve">         Sliverado</t>
  </si>
  <si>
    <t xml:space="preserve">         Trailers</t>
  </si>
  <si>
    <t xml:space="preserve">         Truck Washing</t>
  </si>
  <si>
    <t xml:space="preserve">      Total Fleet</t>
  </si>
  <si>
    <t xml:space="preserve">      Shop Supplies</t>
  </si>
  <si>
    <t xml:space="preserve">      Snow Removal</t>
  </si>
  <si>
    <t xml:space="preserve">   Total Repair &amp; Maintenance</t>
  </si>
  <si>
    <t xml:space="preserve">   Taxes</t>
  </si>
  <si>
    <t xml:space="preserve">      Heavy Highway Vehicle Use</t>
  </si>
  <si>
    <t xml:space="preserve">      Personal Property</t>
  </si>
  <si>
    <t xml:space="preserve">      Property Tax</t>
  </si>
  <si>
    <t xml:space="preserve">      State B&amp;O Tax</t>
  </si>
  <si>
    <t xml:space="preserve">      State Refuse Tax</t>
  </si>
  <si>
    <t xml:space="preserve">      State Sales Tax</t>
  </si>
  <si>
    <t xml:space="preserve">      Twisp Utility Tax</t>
  </si>
  <si>
    <t xml:space="preserve">      Winthrop Utility Tax</t>
  </si>
  <si>
    <t xml:space="preserve">      WUTC Annual Report</t>
  </si>
  <si>
    <t xml:space="preserve">   Total Taxes</t>
  </si>
  <si>
    <t xml:space="preserve">   Travel &amp; Ent</t>
  </si>
  <si>
    <t xml:space="preserve">   Utilities</t>
  </si>
  <si>
    <t xml:space="preserve">      Electricity</t>
  </si>
  <si>
    <t xml:space="preserve">      Telephone</t>
  </si>
  <si>
    <t xml:space="preserve">      Water</t>
  </si>
  <si>
    <t xml:space="preserve">   Total Utilities</t>
  </si>
  <si>
    <t xml:space="preserve">   Waste Disposal</t>
  </si>
  <si>
    <t xml:space="preserve">      Recycle Processing (time based)</t>
  </si>
  <si>
    <t xml:space="preserve">         Recycle Sled Rental</t>
  </si>
  <si>
    <t xml:space="preserve">         Shipping (comingle)</t>
  </si>
  <si>
    <t xml:space="preserve">         Standby Time</t>
  </si>
  <si>
    <t xml:space="preserve">         WM Tip Fee - Comingle</t>
  </si>
  <si>
    <t xml:space="preserve">      Total Recycle Processing (time based)</t>
  </si>
  <si>
    <t xml:space="preserve">      Transfer Station Fees</t>
  </si>
  <si>
    <t xml:space="preserve">   Total Waste Disposal</t>
  </si>
  <si>
    <t>Total Expenses</t>
  </si>
  <si>
    <t>Net Operating Income</t>
  </si>
  <si>
    <t>Other Income</t>
  </si>
  <si>
    <t xml:space="preserve">   Interest Earned</t>
  </si>
  <si>
    <t>Total Other Income</t>
  </si>
  <si>
    <t>Net Other Income</t>
  </si>
  <si>
    <t>Monday, Feb 10, 2020 12:08:43 PM GMT-8 - Cash Basis</t>
  </si>
  <si>
    <t>(g)</t>
  </si>
  <si>
    <t>Restating</t>
  </si>
  <si>
    <t xml:space="preserve">Per Book's </t>
  </si>
  <si>
    <t>Pro Forma</t>
  </si>
  <si>
    <t xml:space="preserve">Pro Forma at </t>
  </si>
  <si>
    <t>Commercial</t>
  </si>
  <si>
    <t xml:space="preserve">Effects of </t>
  </si>
  <si>
    <t>Per Books</t>
  </si>
  <si>
    <t>Adjustments</t>
  </si>
  <si>
    <t>Present Rates</t>
  </si>
  <si>
    <t>Proposed Rates</t>
  </si>
  <si>
    <t>Revised Rates</t>
  </si>
  <si>
    <t xml:space="preserve">      Residential Revenue</t>
  </si>
  <si>
    <t xml:space="preserve">      Commercial Revenue</t>
  </si>
  <si>
    <t xml:space="preserve">      Drop Box Hauling Revenue</t>
  </si>
  <si>
    <t xml:space="preserve">      Drop Box Disposal Fees</t>
  </si>
  <si>
    <t xml:space="preserve">      Residential Recycling</t>
  </si>
  <si>
    <t xml:space="preserve">      Commercial Recycle &amp; Commodity</t>
  </si>
  <si>
    <t xml:space="preserve">       Recycle Hauls</t>
  </si>
  <si>
    <t xml:space="preserve">      Other Revenue</t>
  </si>
  <si>
    <t>Recycle Labor</t>
  </si>
  <si>
    <t>Drop Box Disposal Fees</t>
  </si>
  <si>
    <t>Recycling Center Processing Costs</t>
  </si>
  <si>
    <t>WUTC Regulatory Fee</t>
  </si>
  <si>
    <t>Pro Forma Results of Operations for the 12 Months Ended December 31, 2019</t>
  </si>
  <si>
    <t>Disposal Cost</t>
  </si>
  <si>
    <t>For the Calender Year 2019</t>
  </si>
  <si>
    <t>month</t>
  </si>
  <si>
    <t>garbage tons</t>
  </si>
  <si>
    <t>$/ton</t>
  </si>
  <si>
    <t>garbage $</t>
  </si>
  <si>
    <t>r/o tons</t>
  </si>
  <si>
    <t>r/o $</t>
  </si>
  <si>
    <t>appliances/min charge loads</t>
  </si>
  <si>
    <t>total cost</t>
  </si>
  <si>
    <t>total tonnage</t>
  </si>
  <si>
    <t>Increase</t>
  </si>
  <si>
    <t xml:space="preserve">Pro Forma Adjustment </t>
  </si>
  <si>
    <t>Bank Charges</t>
  </si>
  <si>
    <t>Donation/Charity</t>
  </si>
  <si>
    <t>Containers</t>
  </si>
  <si>
    <t>Container Count by Area</t>
  </si>
  <si>
    <t>Area</t>
  </si>
  <si>
    <t>1YD</t>
  </si>
  <si>
    <t>1YD CO</t>
  </si>
  <si>
    <t>1.5YD</t>
  </si>
  <si>
    <t>1.5YD CO</t>
  </si>
  <si>
    <t>2YD</t>
  </si>
  <si>
    <t>2YD CO</t>
  </si>
  <si>
    <t>3YD Slope</t>
  </si>
  <si>
    <t>3YD Combo</t>
  </si>
  <si>
    <t>3YD CO</t>
  </si>
  <si>
    <t>4YD</t>
  </si>
  <si>
    <t>4YD CO</t>
  </si>
  <si>
    <t>6YD</t>
  </si>
  <si>
    <t>8YD</t>
  </si>
  <si>
    <t>$/Area</t>
  </si>
  <si>
    <t>6 &amp; 8YD locations</t>
  </si>
  <si>
    <t>Twisp/Winthrop</t>
  </si>
  <si>
    <t xml:space="preserve">Hanks, ThftWy, Schools, </t>
  </si>
  <si>
    <t>UpValley</t>
  </si>
  <si>
    <t>Edelweiss, Lost River, Freestone</t>
  </si>
  <si>
    <t>Yard</t>
  </si>
  <si>
    <t>DownValley</t>
  </si>
  <si>
    <t>Totals</t>
  </si>
  <si>
    <t>WW</t>
  </si>
  <si>
    <t>Customer Owned</t>
  </si>
  <si>
    <t>FEL Retrofit/Upgrade Cost by Type</t>
  </si>
  <si>
    <t>Costs</t>
  </si>
  <si>
    <t>FEL/RL Combo Kit</t>
  </si>
  <si>
    <t>New FEL Continer</t>
  </si>
  <si>
    <t>Paint&amp;Install  ?</t>
  </si>
  <si>
    <t xml:space="preserve"> </t>
  </si>
  <si>
    <t>WasteWise Cost</t>
  </si>
  <si>
    <t>Cost differental if hauler purchased all new containers</t>
  </si>
  <si>
    <t xml:space="preserve">Cost of New </t>
  </si>
  <si>
    <t xml:space="preserve">Additional </t>
  </si>
  <si>
    <t xml:space="preserve">Capital Cost if </t>
  </si>
  <si>
    <t>purchased</t>
  </si>
  <si>
    <t>Less- 1-19 &amp; 2-19 Old Rate</t>
  </si>
  <si>
    <t>Add - 1-19 &amp; 2-19 New Rate</t>
  </si>
  <si>
    <t>Methow Valley Sanitation Service, Inc. d/b/a WasteWise Methow</t>
  </si>
  <si>
    <t>Restating Adjustment  for the 12 Months Ended December 31, 2019</t>
  </si>
  <si>
    <t>RA-1</t>
  </si>
  <si>
    <t>12/31/19 Book Adjustments</t>
  </si>
  <si>
    <t>RA-2</t>
  </si>
  <si>
    <t>Reclass Drop Box Disposal Pass-Thru</t>
  </si>
  <si>
    <t>RA-3</t>
  </si>
  <si>
    <t>Record Disposal Rate Increase by County</t>
  </si>
  <si>
    <t>RA-4</t>
  </si>
  <si>
    <t>Record Rate Increase from Disposal Filing 3/1/19</t>
  </si>
  <si>
    <t>Revenue Billed or Sensitive Taxes</t>
  </si>
  <si>
    <t>WA State Refuse Tax</t>
  </si>
  <si>
    <t>Twisp Utility Tax</t>
  </si>
  <si>
    <t>Winthrop Utility Tax</t>
  </si>
  <si>
    <t>For the year ended December 31, 2019</t>
  </si>
  <si>
    <t>Remove Revenue Sensitive Taxes</t>
  </si>
  <si>
    <t>RA-5</t>
  </si>
  <si>
    <t>RA-6</t>
  </si>
  <si>
    <t>Record Regulatory Depreciation</t>
  </si>
  <si>
    <t>Regulatory Depreciation Schedule</t>
  </si>
  <si>
    <t>Months in first year</t>
  </si>
  <si>
    <t>December 31, 2019</t>
  </si>
  <si>
    <t>Months in second year</t>
  </si>
  <si>
    <t>A.</t>
  </si>
  <si>
    <t>Purchase date</t>
  </si>
  <si>
    <t>First year</t>
  </si>
  <si>
    <t>B.</t>
  </si>
  <si>
    <t>End of Test Period</t>
  </si>
  <si>
    <t>Second year</t>
  </si>
  <si>
    <t>C</t>
  </si>
  <si>
    <t>Date fully Depr</t>
  </si>
  <si>
    <t>D.</t>
  </si>
  <si>
    <t>Beg of Test Period</t>
  </si>
  <si>
    <t>Beginning</t>
  </si>
  <si>
    <t>Allocated</t>
  </si>
  <si>
    <t>Ending</t>
  </si>
  <si>
    <t>E.</t>
  </si>
  <si>
    <t>Disposition Date</t>
  </si>
  <si>
    <t>Date in Service</t>
  </si>
  <si>
    <t>Salvage</t>
  </si>
  <si>
    <t>Year</t>
  </si>
  <si>
    <t>Disposal</t>
  </si>
  <si>
    <t>Accumulated</t>
  </si>
  <si>
    <t>Branch</t>
  </si>
  <si>
    <t>Accum.</t>
  </si>
  <si>
    <t>Value</t>
  </si>
  <si>
    <t>Method</t>
  </si>
  <si>
    <t>Life</t>
  </si>
  <si>
    <t>Fully</t>
  </si>
  <si>
    <t>Asset</t>
  </si>
  <si>
    <t>Depreciable</t>
  </si>
  <si>
    <t>Monthly</t>
  </si>
  <si>
    <t>Test year</t>
  </si>
  <si>
    <t>Test yr.</t>
  </si>
  <si>
    <t>%</t>
  </si>
  <si>
    <t>Depreciation</t>
  </si>
  <si>
    <t>Allo.</t>
  </si>
  <si>
    <t>Depr.</t>
  </si>
  <si>
    <t>Average</t>
  </si>
  <si>
    <t>DESCRIPTION</t>
  </si>
  <si>
    <t>Mo.</t>
  </si>
  <si>
    <t>Depreciated</t>
  </si>
  <si>
    <t xml:space="preserve">  Yr.</t>
  </si>
  <si>
    <t xml:space="preserve"> Mo.</t>
  </si>
  <si>
    <t>B</t>
  </si>
  <si>
    <t>C.</t>
  </si>
  <si>
    <t>Schedule No.</t>
  </si>
  <si>
    <t>CONTAINERS</t>
  </si>
  <si>
    <t>Container</t>
  </si>
  <si>
    <t>SL</t>
  </si>
  <si>
    <t>30 Yd Drop Box</t>
  </si>
  <si>
    <t>20 Yd Drop Box</t>
  </si>
  <si>
    <t>4 Yd Container</t>
  </si>
  <si>
    <t>3 Yd Container</t>
  </si>
  <si>
    <t>1 Yd Container</t>
  </si>
  <si>
    <t>1 Yd Containers</t>
  </si>
  <si>
    <t>2 - 4 Yd Containers</t>
  </si>
  <si>
    <t>Used Container</t>
  </si>
  <si>
    <t>12 - 1 Yd Containers</t>
  </si>
  <si>
    <t>2 RL Slant Containers</t>
  </si>
  <si>
    <t>20 Yd Drop box</t>
  </si>
  <si>
    <t>Drop Box</t>
  </si>
  <si>
    <t>5 - 1 Yd Containers</t>
  </si>
  <si>
    <t>10 - 2 Yd Containers</t>
  </si>
  <si>
    <t>20 - 2 Yd Containers</t>
  </si>
  <si>
    <t>8 1 Yd Containers</t>
  </si>
  <si>
    <t>6 2 Yd Containers</t>
  </si>
  <si>
    <t>13 - 1 - Yd Container</t>
  </si>
  <si>
    <t>1 - 1.5 Container</t>
  </si>
  <si>
    <t>6 - 2 Yd. Containers</t>
  </si>
  <si>
    <t>2 - 3 Yd. Containers</t>
  </si>
  <si>
    <t>4 - 2 Yd. Containers</t>
  </si>
  <si>
    <t>2 - 3 Yd Containers</t>
  </si>
  <si>
    <t>2 - 4 Yd Contaniers</t>
  </si>
  <si>
    <t>Collection Carts &amp; Containers</t>
  </si>
  <si>
    <t>3-30 Yard Roll-Off  Boxes</t>
  </si>
  <si>
    <t>100 - 96 Gallon Recycle Cans</t>
  </si>
  <si>
    <t>64 Gallon Garbage Cans</t>
  </si>
  <si>
    <t>10-2 YD Cont &amp; 9 - 1 YD Cont</t>
  </si>
  <si>
    <t>96 Gallon Recycle Carts</t>
  </si>
  <si>
    <t>100 64 Gallon Garbage Carts</t>
  </si>
  <si>
    <t>100 96 Gallon Recycle Carts</t>
  </si>
  <si>
    <t>3 Yard Containers</t>
  </si>
  <si>
    <t>8 Yard Topless Containers</t>
  </si>
  <si>
    <t>100 64 Gallon Refuse Carts</t>
  </si>
  <si>
    <t>100 96 Gallon Refuse Carts</t>
  </si>
  <si>
    <t>6 Ea 3 Yard RL Dumpsters</t>
  </si>
  <si>
    <t xml:space="preserve">60 32 Gallon Cans for Recycling </t>
  </si>
  <si>
    <t>100 -96 Gallon Residential Recycling Cans</t>
  </si>
  <si>
    <t>Container Retrofit - Front Load Conversion</t>
  </si>
  <si>
    <t>Toters</t>
  </si>
  <si>
    <t>GARBAGE COLLECTION EQUIPMENT</t>
  </si>
  <si>
    <t>Truck Rebuild</t>
  </si>
  <si>
    <t>Transmission Rebuild</t>
  </si>
  <si>
    <t>Garbage Truck - Roll-off</t>
  </si>
  <si>
    <t xml:space="preserve">Garbage Truck - Roll-off-Salvage Value </t>
  </si>
  <si>
    <t>Tub Toter Trailer</t>
  </si>
  <si>
    <t xml:space="preserve">Tub Toter Trailer - Salvage Value </t>
  </si>
  <si>
    <t>Peterbilt Garbage Truck with Cart Tipper</t>
  </si>
  <si>
    <t>Peterbilt Garbage Truck with Cart Tipper-SV</t>
  </si>
  <si>
    <t>Autocar Front Loader with Curotto Can</t>
  </si>
  <si>
    <t>OFFICE EQUIPMENT</t>
  </si>
  <si>
    <t>Answer Machine</t>
  </si>
  <si>
    <t>Copy Machine</t>
  </si>
  <si>
    <t>Dell Comuter</t>
  </si>
  <si>
    <t>Battery Backup</t>
  </si>
  <si>
    <t>Software</t>
  </si>
  <si>
    <t>Okidata Printer</t>
  </si>
  <si>
    <t>HP Laser Printer</t>
  </si>
  <si>
    <t>Computer Software</t>
  </si>
  <si>
    <t>Office Chairs</t>
  </si>
  <si>
    <t>Computer</t>
  </si>
  <si>
    <t>Garbage Collection</t>
  </si>
  <si>
    <t>Commercial Recycling Equipment</t>
  </si>
  <si>
    <t>Recycling Sled</t>
  </si>
  <si>
    <t>Dodge Ram Truck</t>
  </si>
  <si>
    <t>Trailer</t>
  </si>
  <si>
    <t>Carryon Trailer</t>
  </si>
  <si>
    <t>Commercial Recycling Containers</t>
  </si>
  <si>
    <t>Staff Capitalzied Repairs</t>
  </si>
  <si>
    <t>Garbage Truck 2004 - 1/4 Recycle</t>
  </si>
  <si>
    <t>Garbage Truck 2004-3/4 Garbage</t>
  </si>
  <si>
    <t>Garbage Truck 2004 - Salvage Value - 3/4 Garbage</t>
  </si>
  <si>
    <t>Recycling Sled-Salvage Value</t>
  </si>
  <si>
    <t xml:space="preserve">Garbage Truck 2004 - 1/4 Recycle-Salvage Value </t>
  </si>
  <si>
    <t>Trailer-Salvage Value</t>
  </si>
  <si>
    <t xml:space="preserve">Dodge Ram Truck - Salvage Value </t>
  </si>
  <si>
    <t>Carryon Trailer-Salvage Value</t>
  </si>
  <si>
    <t>100 - 64 Gallon Garbage Cans</t>
  </si>
  <si>
    <t>5 - 64 Gallon Bear Cart</t>
  </si>
  <si>
    <t>Total Company Depreciation</t>
  </si>
  <si>
    <r>
      <t>Garbage Truck-</t>
    </r>
    <r>
      <rPr>
        <b/>
        <u/>
        <sz val="11"/>
        <rFont val="Times New Roman"/>
        <family val="1"/>
      </rPr>
      <t>Spare</t>
    </r>
  </si>
  <si>
    <r>
      <t xml:space="preserve">Garbage Truck-Salvage Value - </t>
    </r>
    <r>
      <rPr>
        <b/>
        <u/>
        <sz val="11"/>
        <rFont val="Times New Roman"/>
        <family val="1"/>
      </rPr>
      <t>Spare</t>
    </r>
  </si>
  <si>
    <t>Pro Forma Adjustment  for the 12 Months Ended December 31, 2019</t>
  </si>
  <si>
    <t>Medical Insurance</t>
  </si>
  <si>
    <t>4 people</t>
  </si>
  <si>
    <t>Cost Increase</t>
  </si>
  <si>
    <t>Currently 4 individuals covered - Annual Cost</t>
  </si>
  <si>
    <r>
      <t xml:space="preserve">In 2020 </t>
    </r>
    <r>
      <rPr>
        <sz val="11"/>
        <color theme="1"/>
        <rFont val="Times New Roman"/>
        <family val="1"/>
      </rPr>
      <t>4</t>
    </r>
    <r>
      <rPr>
        <sz val="11"/>
        <rFont val="Times New Roman"/>
        <family val="1"/>
      </rPr>
      <t xml:space="preserve"> individuals will be covered-prospective cost</t>
    </r>
  </si>
  <si>
    <t>PF-1</t>
  </si>
  <si>
    <t>RA-7</t>
  </si>
  <si>
    <t>Reclass WUTC Regulatory Fee</t>
  </si>
  <si>
    <t>RA-8</t>
  </si>
  <si>
    <t>Remove Donations and Political Contriubtions</t>
  </si>
  <si>
    <t>WasteWise Methow</t>
  </si>
  <si>
    <t>For the Calendar Year 2019</t>
  </si>
  <si>
    <t>Date</t>
  </si>
  <si>
    <t>Recycle Tons</t>
  </si>
  <si>
    <t>$ total</t>
  </si>
  <si>
    <t>* Commercial/Residential Recycle Cost Formula</t>
  </si>
  <si>
    <t>$ Revenue</t>
  </si>
  <si>
    <t>Comm Recy Rev</t>
  </si>
  <si>
    <t>Res Recy Rev</t>
  </si>
  <si>
    <t>* Recy R/O excluded as it is source separated and there's no processing fee or rebate</t>
  </si>
  <si>
    <t xml:space="preserve">Prospective average cost per ton </t>
  </si>
  <si>
    <t>Anticipated cost</t>
  </si>
  <si>
    <t>Cost allocation</t>
  </si>
  <si>
    <t>Residential</t>
  </si>
  <si>
    <t>PF-2</t>
  </si>
  <si>
    <t>Recycling Processing Costs</t>
  </si>
  <si>
    <t>Payroll</t>
  </si>
  <si>
    <t>Allocation Employee Time</t>
  </si>
  <si>
    <t>Name</t>
  </si>
  <si>
    <t>2019Q1</t>
  </si>
  <si>
    <t>2019Q2</t>
  </si>
  <si>
    <t>2019Q3</t>
  </si>
  <si>
    <t>2019Q4</t>
  </si>
  <si>
    <t>hours</t>
  </si>
  <si>
    <t>Garbage Time</t>
  </si>
  <si>
    <t>Res Recycle Time</t>
  </si>
  <si>
    <t>Comm Recycle Time</t>
  </si>
  <si>
    <t>Garbage</t>
  </si>
  <si>
    <t>Resid Rec</t>
  </si>
  <si>
    <t>Comm Rec</t>
  </si>
  <si>
    <t>Casey Bouchard</t>
  </si>
  <si>
    <t>FT - 40 hrs./wk.</t>
  </si>
  <si>
    <t>Chad Patterson</t>
  </si>
  <si>
    <t>3/4T - 30 hrs./wk.</t>
  </si>
  <si>
    <t>Clifton Mackintosh</t>
  </si>
  <si>
    <t>aver - 35 hrs./wk.</t>
  </si>
  <si>
    <t>Jeremiah Smith</t>
  </si>
  <si>
    <t>H. Martin Smith</t>
  </si>
  <si>
    <t>1/2T - 20 hrs./wk.</t>
  </si>
  <si>
    <t>Thor Arntsen</t>
  </si>
  <si>
    <t>Can Count</t>
  </si>
  <si>
    <t>Can Service/month</t>
  </si>
  <si>
    <t>Annual Revenue</t>
  </si>
  <si>
    <t>Desc.</t>
  </si>
  <si>
    <t>Service</t>
  </si>
  <si>
    <t>Perm</t>
  </si>
  <si>
    <t>Seasonal</t>
  </si>
  <si>
    <t>Combined</t>
  </si>
  <si>
    <t>Res.</t>
  </si>
  <si>
    <t>32/wk.</t>
  </si>
  <si>
    <t>32-2xmo</t>
  </si>
  <si>
    <t>32-1xmo</t>
  </si>
  <si>
    <t>64/wk.</t>
  </si>
  <si>
    <t>64-2xmo</t>
  </si>
  <si>
    <t>64-1xmo</t>
  </si>
  <si>
    <t>3can/wk.</t>
  </si>
  <si>
    <t>4can/wk.</t>
  </si>
  <si>
    <t>Total Residential Can Service</t>
  </si>
  <si>
    <t>Res. Recycle</t>
  </si>
  <si>
    <t>96 unlim</t>
  </si>
  <si>
    <t>Total Residential Recycling</t>
  </si>
  <si>
    <t>Comm.</t>
  </si>
  <si>
    <t>Total Commercial Can Service</t>
  </si>
  <si>
    <t>dumps/month</t>
  </si>
  <si>
    <t>rent/month</t>
  </si>
  <si>
    <t>Service Revenue</t>
  </si>
  <si>
    <t>Rents</t>
  </si>
  <si>
    <t>perm</t>
  </si>
  <si>
    <t>seasonal</t>
  </si>
  <si>
    <t>rate</t>
  </si>
  <si>
    <t>Permanent</t>
  </si>
  <si>
    <t>1 YD</t>
  </si>
  <si>
    <t>1.5 YD</t>
  </si>
  <si>
    <t>2 YD</t>
  </si>
  <si>
    <t>3 YD</t>
  </si>
  <si>
    <t>4 YD</t>
  </si>
  <si>
    <t>8 YD</t>
  </si>
  <si>
    <t>extras</t>
  </si>
  <si>
    <t>loose YDS</t>
  </si>
  <si>
    <t>off road</t>
  </si>
  <si>
    <t>*permanent count based on November data, seasonal count based on July data</t>
  </si>
  <si>
    <t>Mileage</t>
  </si>
  <si>
    <t>Deliveries</t>
  </si>
  <si>
    <t>20 YD haul</t>
  </si>
  <si>
    <t>20 YD comp</t>
  </si>
  <si>
    <t>20 YD rent (days)</t>
  </si>
  <si>
    <t>30 YD haul</t>
  </si>
  <si>
    <t>30 YD rent (days)</t>
  </si>
  <si>
    <t>Time (minutes)</t>
  </si>
  <si>
    <t>Customer Count</t>
  </si>
  <si>
    <t>Residential Can</t>
  </si>
  <si>
    <t>Commercial Can</t>
  </si>
  <si>
    <t>Commercial Container</t>
  </si>
  <si>
    <t>Sub Total</t>
  </si>
  <si>
    <t>Residential Recycling</t>
  </si>
  <si>
    <t>Commercial Recycling</t>
  </si>
  <si>
    <t>Less:Taxes</t>
  </si>
  <si>
    <t>Net Revenue</t>
  </si>
  <si>
    <t>Revenue Per Price Out-Total</t>
  </si>
  <si>
    <t>Revenue Per Books</t>
  </si>
  <si>
    <t>Allocations</t>
  </si>
  <si>
    <t>Actual</t>
  </si>
  <si>
    <t>Recycling &amp; Other</t>
  </si>
  <si>
    <t>Truck Mileage</t>
  </si>
  <si>
    <t>Oil</t>
  </si>
  <si>
    <t>Customers</t>
  </si>
  <si>
    <t>Total Mileage</t>
  </si>
  <si>
    <t>Garbage Trucks</t>
  </si>
  <si>
    <t>Roll-off Garbage</t>
  </si>
  <si>
    <t>Roll-off Commercial Recyling</t>
  </si>
  <si>
    <t>PF-3</t>
  </si>
  <si>
    <t>Fuel Cost</t>
  </si>
  <si>
    <t xml:space="preserve">Fuel Cost   </t>
  </si>
  <si>
    <t>Vendor</t>
  </si>
  <si>
    <t>Diesel</t>
  </si>
  <si>
    <t>Price</t>
  </si>
  <si>
    <t>Gasoline</t>
  </si>
  <si>
    <t>Fuel</t>
  </si>
  <si>
    <t>Monthly total</t>
  </si>
  <si>
    <t>Test Period ended 12/31/19</t>
  </si>
  <si>
    <t>Fed &amp; State</t>
  </si>
  <si>
    <t>Gallons</t>
  </si>
  <si>
    <t>Per gal</t>
  </si>
  <si>
    <t>Include Tax</t>
  </si>
  <si>
    <t>Surcharge</t>
  </si>
  <si>
    <t>Fuel Cost for Test Period</t>
  </si>
  <si>
    <t>Fuel Cost - April - March</t>
  </si>
  <si>
    <t>CURRENT</t>
  </si>
  <si>
    <t>PROPOSED</t>
  </si>
  <si>
    <t>RATE</t>
  </si>
  <si>
    <t>Recycle Only</t>
  </si>
  <si>
    <t>Recycle &amp; Garbage</t>
  </si>
  <si>
    <t>Drop-Box Disposal Pass-Thru</t>
  </si>
  <si>
    <t>Truck Cost</t>
  </si>
  <si>
    <t>Front Load Refuse Body</t>
  </si>
  <si>
    <t>Curotto Can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</si>
</sst>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164" formatCode="#,##0.000_);\(#,##0.000\)"/>
    <numFmt numFmtId="165" formatCode="#,##0.0000_);\(#,##0.0000\)"/>
    <numFmt numFmtId="166" formatCode="#,##0.00000_);\(#,##0.00000\)"/>
    <numFmt numFmtId="167" formatCode="0.00000"/>
    <numFmt numFmtId="168" formatCode="0.000%"/>
    <numFmt numFmtId="169" formatCode="_(* #,##0_);_(* \(#,##0\);_(* &quot;-&quot;??_);_(@_)"/>
    <numFmt numFmtId="170" formatCode="General_)"/>
    <numFmt numFmtId="171" formatCode="#,##0.00\ _€"/>
    <numFmt numFmtId="172" formatCode="&quot;$&quot;* #,##0.00\ _€"/>
    <numFmt numFmtId="173" formatCode="&quot;$&quot;#,##0.00"/>
    <numFmt numFmtId="174" formatCode="[$-409]mmmm\-yy;@"/>
    <numFmt numFmtId="175" formatCode="dd\-mmm\-yyyy"/>
    <numFmt numFmtId="176" formatCode="0.000000"/>
  </numFmts>
  <fonts count="72">
    <font>
      <sz val="12"/>
      <name val="SWISS"/>
    </font>
    <font>
      <sz val="10"/>
      <name val="Times New Roman"/>
      <family val="1"/>
    </font>
    <font>
      <sz val="10"/>
      <color indexed="39"/>
      <name val="Times New Roman"/>
      <family val="1"/>
    </font>
    <font>
      <sz val="12"/>
      <color indexed="39"/>
      <name val="SWISS"/>
    </font>
    <font>
      <sz val="12"/>
      <color indexed="10"/>
      <name val="SWISS"/>
    </font>
    <font>
      <sz val="12"/>
      <color indexed="8"/>
      <name val="SWISS"/>
    </font>
    <font>
      <sz val="10"/>
      <color indexed="18"/>
      <name val="Times New Roman"/>
      <family val="1"/>
    </font>
    <font>
      <sz val="12"/>
      <color indexed="18"/>
      <name val="SWISS"/>
    </font>
    <font>
      <sz val="12"/>
      <color indexed="32"/>
      <name val="SWISS"/>
    </font>
    <font>
      <b/>
      <sz val="14"/>
      <name val="SWISS"/>
    </font>
    <font>
      <sz val="12"/>
      <color indexed="12"/>
      <name val="SWISS"/>
    </font>
    <font>
      <i/>
      <sz val="12"/>
      <name val="SWISS"/>
    </font>
    <font>
      <sz val="12"/>
      <color indexed="56"/>
      <name val="SWISS"/>
    </font>
    <font>
      <b/>
      <sz val="12"/>
      <name val="SWISS"/>
    </font>
    <font>
      <sz val="11"/>
      <color indexed="8"/>
      <name val="Calibri"/>
      <family val="2"/>
    </font>
    <font>
      <sz val="12"/>
      <name val="Times New Roman"/>
      <family val="1"/>
    </font>
    <font>
      <sz val="12"/>
      <color indexed="18"/>
      <name val="Times New Roman"/>
      <family val="1"/>
    </font>
    <font>
      <sz val="12"/>
      <color indexed="8"/>
      <name val="Times New Roman"/>
      <family val="1"/>
    </font>
    <font>
      <sz val="12"/>
      <color indexed="39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39"/>
      <name val="Times New Roman"/>
      <family val="1"/>
    </font>
    <font>
      <u/>
      <sz val="12"/>
      <color indexed="12"/>
      <name val="Times New Roman"/>
      <family val="1"/>
    </font>
    <font>
      <u/>
      <sz val="12"/>
      <color indexed="8"/>
      <name val="Times New Roman"/>
      <family val="1"/>
    </font>
    <font>
      <sz val="14"/>
      <color indexed="9"/>
      <name val="Calibri"/>
      <family val="2"/>
    </font>
    <font>
      <b/>
      <u/>
      <sz val="12"/>
      <color indexed="39"/>
      <name val="Times New Roman"/>
      <family val="1"/>
    </font>
    <font>
      <sz val="9"/>
      <color indexed="39"/>
      <name val="Times New Roman"/>
      <family val="1"/>
    </font>
    <font>
      <sz val="11"/>
      <color theme="0"/>
      <name val="Calibri"/>
      <family val="2"/>
      <scheme val="minor"/>
    </font>
    <font>
      <sz val="11"/>
      <name val="Times New Roman"/>
      <family val="1"/>
    </font>
    <font>
      <sz val="12"/>
      <name val="SWISS"/>
    </font>
    <font>
      <sz val="8"/>
      <color indexed="9"/>
      <name val="Calibri"/>
      <family val="2"/>
    </font>
    <font>
      <b/>
      <sz val="10"/>
      <name val="SWISS"/>
    </font>
    <font>
      <sz val="9"/>
      <color rgb="FF0070C0"/>
      <name val="SWISS"/>
    </font>
    <font>
      <sz val="12"/>
      <name val="Helv"/>
    </font>
    <font>
      <b/>
      <sz val="14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SWISS"/>
    </font>
    <font>
      <sz val="12"/>
      <name val="Arial"/>
      <family val="2"/>
    </font>
    <font>
      <sz val="10"/>
      <name val="Arial"/>
      <family val="2"/>
    </font>
    <font>
      <b/>
      <sz val="16"/>
      <color indexed="8"/>
      <name val="Calibri"/>
      <family val="2"/>
      <scheme val="minor"/>
    </font>
    <font>
      <sz val="16"/>
      <name val="SWISS"/>
    </font>
    <font>
      <b/>
      <u/>
      <sz val="16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Times New Roman"/>
      <family val="1"/>
    </font>
    <font>
      <b/>
      <u/>
      <sz val="11"/>
      <name val="Times New Roman"/>
      <family val="1"/>
    </font>
    <font>
      <sz val="11"/>
      <name val="SWISS"/>
    </font>
    <font>
      <b/>
      <sz val="14"/>
      <name val="Times New Roman"/>
      <family val="1"/>
    </font>
    <font>
      <b/>
      <sz val="11"/>
      <color indexed="8"/>
      <name val="Times New Roman"/>
      <family val="1"/>
    </font>
    <font>
      <sz val="11"/>
      <color theme="1"/>
      <name val="Times New Roman"/>
      <family val="1"/>
    </font>
    <font>
      <u/>
      <sz val="12"/>
      <name val="Times New Roman"/>
      <family val="1"/>
    </font>
    <font>
      <b/>
      <u/>
      <sz val="12"/>
      <name val="Times New Roman"/>
      <family val="1"/>
    </font>
    <font>
      <b/>
      <sz val="14"/>
      <color indexed="8"/>
      <name val="Arial"/>
      <family val="2"/>
    </font>
    <font>
      <b/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</font>
    <font>
      <b/>
      <u/>
      <sz val="11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sz val="12"/>
      <name val="Calibri"/>
      <family val="2"/>
    </font>
    <font>
      <b/>
      <i/>
      <sz val="16"/>
      <name val="Calibri"/>
      <family val="2"/>
    </font>
    <font>
      <b/>
      <i/>
      <sz val="14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8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">
    <xf numFmtId="0" fontId="0" fillId="2" borderId="0"/>
    <xf numFmtId="0" fontId="26" fillId="6" borderId="0" applyNumberFormat="0" applyBorder="0" applyAlignment="0" applyProtection="0"/>
    <xf numFmtId="41" fontId="1" fillId="3" borderId="0">
      <alignment horizontal="left"/>
    </xf>
    <xf numFmtId="10" fontId="1" fillId="3" borderId="0"/>
    <xf numFmtId="9" fontId="14" fillId="0" borderId="0" applyFont="0" applyFill="0" applyBorder="0" applyAlignment="0" applyProtection="0"/>
    <xf numFmtId="0" fontId="28" fillId="2" borderId="0"/>
    <xf numFmtId="170" fontId="32" fillId="0" borderId="0"/>
    <xf numFmtId="41" fontId="1" fillId="3" borderId="0">
      <alignment horizontal="left"/>
    </xf>
    <xf numFmtId="0" fontId="15" fillId="0" borderId="0"/>
    <xf numFmtId="0" fontId="46" fillId="0" borderId="0"/>
    <xf numFmtId="0" fontId="47" fillId="0" borderId="0"/>
  </cellStyleXfs>
  <cellXfs count="475">
    <xf numFmtId="0" fontId="0" fillId="2" borderId="0" xfId="0" applyNumberFormat="1"/>
    <xf numFmtId="0" fontId="0" fillId="2" borderId="0" xfId="0" applyNumberFormat="1" applyAlignment="1">
      <alignment horizontal="center"/>
    </xf>
    <xf numFmtId="0" fontId="1" fillId="2" borderId="0" xfId="0" applyNumberFormat="1" applyFont="1"/>
    <xf numFmtId="0" fontId="0" fillId="2" borderId="2" xfId="0" applyNumberFormat="1" applyBorder="1" applyAlignment="1">
      <alignment horizontal="center"/>
    </xf>
    <xf numFmtId="10" fontId="4" fillId="2" borderId="0" xfId="0" applyNumberFormat="1" applyFont="1" applyBorder="1"/>
    <xf numFmtId="0" fontId="0" fillId="2" borderId="5" xfId="0" applyNumberFormat="1" applyBorder="1" applyAlignment="1">
      <alignment horizontal="center"/>
    </xf>
    <xf numFmtId="165" fontId="0" fillId="2" borderId="0" xfId="0" applyNumberFormat="1" applyBorder="1"/>
    <xf numFmtId="0" fontId="0" fillId="2" borderId="8" xfId="0" applyNumberFormat="1" applyBorder="1" applyAlignment="1">
      <alignment horizontal="center"/>
    </xf>
    <xf numFmtId="165" fontId="0" fillId="2" borderId="9" xfId="0" applyNumberFormat="1" applyBorder="1"/>
    <xf numFmtId="37" fontId="0" fillId="2" borderId="0" xfId="0" applyNumberFormat="1"/>
    <xf numFmtId="165" fontId="0" fillId="2" borderId="0" xfId="0" applyNumberFormat="1"/>
    <xf numFmtId="41" fontId="0" fillId="2" borderId="0" xfId="0" applyNumberFormat="1"/>
    <xf numFmtId="10" fontId="1" fillId="3" borderId="0" xfId="3"/>
    <xf numFmtId="39" fontId="0" fillId="2" borderId="0" xfId="0" applyNumberFormat="1"/>
    <xf numFmtId="164" fontId="0" fillId="2" borderId="0" xfId="0" applyNumberFormat="1"/>
    <xf numFmtId="0" fontId="0" fillId="2" borderId="3" xfId="0" applyNumberFormat="1" applyBorder="1"/>
    <xf numFmtId="0" fontId="0" fillId="2" borderId="4" xfId="0" applyNumberFormat="1" applyBorder="1"/>
    <xf numFmtId="0" fontId="0" fillId="2" borderId="0" xfId="0" applyNumberFormat="1" applyBorder="1"/>
    <xf numFmtId="0" fontId="0" fillId="2" borderId="6" xfId="0" applyNumberFormat="1" applyBorder="1"/>
    <xf numFmtId="0" fontId="0" fillId="2" borderId="0" xfId="0" quotePrefix="1" applyNumberFormat="1" applyBorder="1" applyAlignment="1">
      <alignment horizontal="right"/>
    </xf>
    <xf numFmtId="10" fontId="0" fillId="2" borderId="6" xfId="0" applyNumberFormat="1" applyBorder="1"/>
    <xf numFmtId="0" fontId="0" fillId="2" borderId="9" xfId="0" applyNumberFormat="1" applyBorder="1"/>
    <xf numFmtId="0" fontId="0" fillId="2" borderId="10" xfId="0" applyNumberFormat="1" applyBorder="1"/>
    <xf numFmtId="166" fontId="0" fillId="2" borderId="0" xfId="0" applyNumberFormat="1"/>
    <xf numFmtId="0" fontId="0" fillId="2" borderId="2" xfId="0" applyNumberFormat="1" applyBorder="1"/>
    <xf numFmtId="0" fontId="0" fillId="2" borderId="5" xfId="0" applyNumberFormat="1" applyBorder="1"/>
    <xf numFmtId="0" fontId="7" fillId="2" borderId="10" xfId="0" applyNumberFormat="1" applyFont="1" applyBorder="1"/>
    <xf numFmtId="0" fontId="0" fillId="2" borderId="8" xfId="0" applyNumberFormat="1" applyBorder="1"/>
    <xf numFmtId="0" fontId="0" fillId="2" borderId="2" xfId="0" applyNumberFormat="1" applyBorder="1" applyAlignment="1">
      <alignment horizontal="centerContinuous"/>
    </xf>
    <xf numFmtId="0" fontId="0" fillId="2" borderId="4" xfId="0" applyNumberFormat="1" applyBorder="1" applyAlignment="1">
      <alignment horizontal="centerContinuous"/>
    </xf>
    <xf numFmtId="0" fontId="0" fillId="2" borderId="5" xfId="0" applyNumberFormat="1" applyBorder="1" applyAlignment="1">
      <alignment horizontal="centerContinuous"/>
    </xf>
    <xf numFmtId="0" fontId="0" fillId="2" borderId="6" xfId="0" applyNumberFormat="1" applyBorder="1" applyAlignment="1">
      <alignment horizontal="centerContinuous"/>
    </xf>
    <xf numFmtId="0" fontId="0" fillId="2" borderId="6" xfId="0" applyNumberFormat="1" applyBorder="1" applyAlignment="1">
      <alignment horizontal="center"/>
    </xf>
    <xf numFmtId="0" fontId="0" fillId="2" borderId="10" xfId="0" applyNumberFormat="1" applyBorder="1" applyAlignment="1">
      <alignment horizontal="center"/>
    </xf>
    <xf numFmtId="165" fontId="5" fillId="2" borderId="0" xfId="0" applyNumberFormat="1" applyFont="1" applyBorder="1"/>
    <xf numFmtId="0" fontId="5" fillId="2" borderId="5" xfId="0" applyNumberFormat="1" applyFont="1" applyBorder="1" applyAlignment="1">
      <alignment horizontal="center"/>
    </xf>
    <xf numFmtId="0" fontId="9" fillId="2" borderId="11" xfId="0" applyNumberFormat="1" applyFont="1" applyBorder="1" applyAlignment="1">
      <alignment horizontal="centerContinuous"/>
    </xf>
    <xf numFmtId="0" fontId="9" fillId="2" borderId="12" xfId="0" applyNumberFormat="1" applyFont="1" applyBorder="1" applyAlignment="1">
      <alignment horizontal="centerContinuous"/>
    </xf>
    <xf numFmtId="0" fontId="0" fillId="2" borderId="12" xfId="0" applyNumberFormat="1" applyBorder="1" applyAlignment="1">
      <alignment horizontal="centerContinuous"/>
    </xf>
    <xf numFmtId="0" fontId="10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10" fillId="4" borderId="0" xfId="0" applyNumberFormat="1" applyFont="1" applyFill="1"/>
    <xf numFmtId="0" fontId="10" fillId="4" borderId="13" xfId="0" applyNumberFormat="1" applyFont="1" applyFill="1" applyBorder="1"/>
    <xf numFmtId="0" fontId="0" fillId="4" borderId="0" xfId="0" applyNumberFormat="1" applyFill="1"/>
    <xf numFmtId="0" fontId="7" fillId="4" borderId="0" xfId="0" applyNumberFormat="1" applyFont="1" applyFill="1"/>
    <xf numFmtId="0" fontId="3" fillId="4" borderId="0" xfId="0" applyNumberFormat="1" applyFont="1" applyFill="1"/>
    <xf numFmtId="10" fontId="0" fillId="4" borderId="0" xfId="0" applyNumberFormat="1" applyFill="1"/>
    <xf numFmtId="0" fontId="8" fillId="4" borderId="0" xfId="0" applyNumberFormat="1" applyFont="1" applyFill="1"/>
    <xf numFmtId="2" fontId="8" fillId="4" borderId="0" xfId="0" applyNumberFormat="1" applyFont="1" applyFill="1"/>
    <xf numFmtId="41" fontId="0" fillId="4" borderId="0" xfId="0" applyNumberFormat="1" applyFill="1"/>
    <xf numFmtId="0" fontId="0" fillId="4" borderId="0" xfId="0" applyNumberFormat="1" applyFill="1" applyAlignment="1">
      <alignment horizontal="right"/>
    </xf>
    <xf numFmtId="0" fontId="7" fillId="4" borderId="0" xfId="0" applyNumberFormat="1" applyFont="1" applyFill="1" applyAlignment="1">
      <alignment horizontal="fill"/>
    </xf>
    <xf numFmtId="0" fontId="0" fillId="3" borderId="0" xfId="0" applyNumberFormat="1" applyFill="1"/>
    <xf numFmtId="167" fontId="0" fillId="2" borderId="0" xfId="0" applyNumberFormat="1"/>
    <xf numFmtId="0" fontId="0" fillId="2" borderId="2" xfId="0" applyNumberFormat="1" applyBorder="1" applyAlignment="1">
      <alignment horizontal="left"/>
    </xf>
    <xf numFmtId="0" fontId="0" fillId="2" borderId="5" xfId="0" applyNumberFormat="1" applyBorder="1" applyAlignment="1">
      <alignment horizontal="left"/>
    </xf>
    <xf numFmtId="167" fontId="0" fillId="2" borderId="6" xfId="0" applyNumberFormat="1" applyBorder="1" applyAlignment="1">
      <alignment horizontal="center"/>
    </xf>
    <xf numFmtId="0" fontId="0" fillId="2" borderId="9" xfId="0" applyNumberFormat="1" applyBorder="1" applyAlignment="1">
      <alignment horizontal="right"/>
    </xf>
    <xf numFmtId="167" fontId="0" fillId="2" borderId="10" xfId="0" applyNumberFormat="1" applyBorder="1" applyAlignment="1">
      <alignment horizontal="center"/>
    </xf>
    <xf numFmtId="0" fontId="0" fillId="2" borderId="0" xfId="0" applyNumberFormat="1" applyAlignment="1">
      <alignment horizontal="centerContinuous"/>
    </xf>
    <xf numFmtId="0" fontId="11" fillId="2" borderId="0" xfId="0" applyNumberFormat="1" applyFont="1" applyBorder="1" applyAlignment="1">
      <alignment horizontal="centerContinuous"/>
    </xf>
    <xf numFmtId="0" fontId="0" fillId="2" borderId="0" xfId="0" applyNumberFormat="1" applyBorder="1" applyAlignment="1">
      <alignment horizontal="left"/>
    </xf>
    <xf numFmtId="0" fontId="0" fillId="2" borderId="3" xfId="0" applyNumberFormat="1" applyBorder="1" applyAlignment="1">
      <alignment horizontal="left"/>
    </xf>
    <xf numFmtId="167" fontId="12" fillId="2" borderId="3" xfId="0" applyNumberFormat="1" applyFont="1" applyBorder="1" applyAlignment="1">
      <alignment horizontal="center"/>
    </xf>
    <xf numFmtId="167" fontId="12" fillId="2" borderId="0" xfId="0" applyNumberFormat="1" applyFont="1" applyBorder="1" applyAlignment="1">
      <alignment horizontal="center"/>
    </xf>
    <xf numFmtId="167" fontId="12" fillId="2" borderId="4" xfId="0" applyNumberFormat="1" applyFont="1" applyBorder="1" applyAlignment="1">
      <alignment horizontal="center"/>
    </xf>
    <xf numFmtId="10" fontId="0" fillId="2" borderId="0" xfId="0" applyNumberFormat="1" applyAlignment="1">
      <alignment horizontal="center"/>
    </xf>
    <xf numFmtId="167" fontId="12" fillId="2" borderId="6" xfId="0" applyNumberFormat="1" applyFont="1" applyBorder="1" applyAlignment="1">
      <alignment horizontal="center"/>
    </xf>
    <xf numFmtId="0" fontId="13" fillId="2" borderId="0" xfId="0" applyNumberFormat="1" applyFont="1" applyBorder="1" applyAlignment="1">
      <alignment horizontal="centerContinuous"/>
    </xf>
    <xf numFmtId="167" fontId="12" fillId="2" borderId="9" xfId="0" applyNumberFormat="1" applyFont="1" applyBorder="1" applyAlignment="1">
      <alignment horizontal="left"/>
    </xf>
    <xf numFmtId="0" fontId="10" fillId="0" borderId="5" xfId="0" applyNumberFormat="1" applyFont="1" applyFill="1" applyBorder="1"/>
    <xf numFmtId="0" fontId="0" fillId="2" borderId="14" xfId="0" applyNumberFormat="1" applyBorder="1"/>
    <xf numFmtId="0" fontId="15" fillId="2" borderId="0" xfId="0" applyNumberFormat="1" applyFont="1"/>
    <xf numFmtId="41" fontId="15" fillId="2" borderId="0" xfId="0" applyNumberFormat="1" applyFont="1"/>
    <xf numFmtId="0" fontId="16" fillId="2" borderId="0" xfId="0" applyNumberFormat="1" applyFont="1"/>
    <xf numFmtId="0" fontId="17" fillId="2" borderId="0" xfId="0" applyNumberFormat="1" applyFont="1"/>
    <xf numFmtId="0" fontId="18" fillId="2" borderId="0" xfId="0" applyNumberFormat="1" applyFont="1"/>
    <xf numFmtId="0" fontId="19" fillId="5" borderId="0" xfId="0" applyNumberFormat="1" applyFont="1" applyFill="1" applyAlignment="1">
      <alignment horizontal="center"/>
    </xf>
    <xf numFmtId="0" fontId="20" fillId="5" borderId="0" xfId="0" applyNumberFormat="1" applyFont="1" applyFill="1" applyAlignment="1">
      <alignment horizontal="center"/>
    </xf>
    <xf numFmtId="0" fontId="18" fillId="2" borderId="0" xfId="0" applyNumberFormat="1" applyFont="1" applyAlignment="1">
      <alignment horizontal="right"/>
    </xf>
    <xf numFmtId="41" fontId="18" fillId="2" borderId="0" xfId="0" applyNumberFormat="1" applyFont="1"/>
    <xf numFmtId="41" fontId="18" fillId="2" borderId="7" xfId="0" applyNumberFormat="1" applyFont="1" applyBorder="1"/>
    <xf numFmtId="5" fontId="18" fillId="2" borderId="7" xfId="0" applyNumberFormat="1" applyFont="1" applyBorder="1"/>
    <xf numFmtId="10" fontId="18" fillId="2" borderId="0" xfId="0" applyNumberFormat="1" applyFont="1" applyAlignment="1">
      <alignment horizontal="right"/>
    </xf>
    <xf numFmtId="0" fontId="21" fillId="2" borderId="0" xfId="0" applyNumberFormat="1" applyFont="1" applyAlignment="1">
      <alignment horizontal="right"/>
    </xf>
    <xf numFmtId="41" fontId="21" fillId="2" borderId="0" xfId="0" applyNumberFormat="1" applyFont="1" applyAlignment="1">
      <alignment horizontal="center"/>
    </xf>
    <xf numFmtId="0" fontId="21" fillId="2" borderId="0" xfId="0" applyNumberFormat="1" applyFont="1" applyAlignment="1">
      <alignment horizontal="center"/>
    </xf>
    <xf numFmtId="41" fontId="18" fillId="2" borderId="0" xfId="0" applyNumberFormat="1" applyFont="1" applyBorder="1" applyProtection="1">
      <protection locked="0"/>
    </xf>
    <xf numFmtId="10" fontId="18" fillId="2" borderId="0" xfId="0" applyNumberFormat="1" applyFont="1" applyAlignment="1">
      <alignment horizontal="center"/>
    </xf>
    <xf numFmtId="10" fontId="18" fillId="2" borderId="0" xfId="0" applyNumberFormat="1" applyFont="1"/>
    <xf numFmtId="41" fontId="18" fillId="2" borderId="9" xfId="0" applyNumberFormat="1" applyFont="1" applyBorder="1" applyProtection="1">
      <protection locked="0"/>
    </xf>
    <xf numFmtId="9" fontId="18" fillId="2" borderId="0" xfId="0" applyNumberFormat="1" applyFont="1" applyAlignment="1">
      <alignment horizontal="center"/>
    </xf>
    <xf numFmtId="0" fontId="18" fillId="2" borderId="0" xfId="0" quotePrefix="1" applyNumberFormat="1" applyFont="1" applyAlignment="1">
      <alignment horizontal="left"/>
    </xf>
    <xf numFmtId="39" fontId="18" fillId="2" borderId="0" xfId="0" applyNumberFormat="1" applyFont="1"/>
    <xf numFmtId="0" fontId="22" fillId="2" borderId="0" xfId="0" applyNumberFormat="1" applyFont="1"/>
    <xf numFmtId="0" fontId="19" fillId="5" borderId="9" xfId="0" applyNumberFormat="1" applyFont="1" applyFill="1" applyBorder="1"/>
    <xf numFmtId="0" fontId="20" fillId="5" borderId="9" xfId="0" applyNumberFormat="1" applyFont="1" applyFill="1" applyBorder="1"/>
    <xf numFmtId="0" fontId="20" fillId="5" borderId="9" xfId="0" applyNumberFormat="1" applyFont="1" applyFill="1" applyBorder="1" applyAlignment="1">
      <alignment horizontal="center"/>
    </xf>
    <xf numFmtId="0" fontId="23" fillId="6" borderId="16" xfId="1" applyNumberFormat="1" applyFont="1" applyBorder="1" applyAlignment="1">
      <alignment horizontal="centerContinuous"/>
    </xf>
    <xf numFmtId="0" fontId="23" fillId="6" borderId="16" xfId="1" applyNumberFormat="1" applyFont="1" applyBorder="1" applyAlignment="1">
      <alignment horizontal="left"/>
    </xf>
    <xf numFmtId="0" fontId="15" fillId="2" borderId="0" xfId="0" applyNumberFormat="1" applyFont="1" applyBorder="1"/>
    <xf numFmtId="0" fontId="19" fillId="3" borderId="0" xfId="0" applyNumberFormat="1" applyFont="1" applyFill="1" applyBorder="1" applyAlignment="1">
      <alignment horizontal="centerContinuous"/>
    </xf>
    <xf numFmtId="0" fontId="24" fillId="2" borderId="0" xfId="0" applyNumberFormat="1" applyFont="1"/>
    <xf numFmtId="0" fontId="20" fillId="2" borderId="0" xfId="0" applyNumberFormat="1" applyFont="1"/>
    <xf numFmtId="0" fontId="24" fillId="2" borderId="0" xfId="0" applyNumberFormat="1" applyFont="1" applyAlignment="1">
      <alignment horizontal="right"/>
    </xf>
    <xf numFmtId="41" fontId="18" fillId="2" borderId="0" xfId="0" applyNumberFormat="1" applyFont="1" applyBorder="1"/>
    <xf numFmtId="41" fontId="18" fillId="2" borderId="1" xfId="0" applyNumberFormat="1" applyFont="1" applyBorder="1"/>
    <xf numFmtId="0" fontId="20" fillId="2" borderId="0" xfId="0" applyNumberFormat="1" applyFont="1" applyAlignment="1">
      <alignment horizontal="center"/>
    </xf>
    <xf numFmtId="0" fontId="20" fillId="2" borderId="9" xfId="0" applyNumberFormat="1" applyFont="1" applyBorder="1" applyAlignment="1">
      <alignment horizontal="right"/>
    </xf>
    <xf numFmtId="0" fontId="2" fillId="2" borderId="0" xfId="0" applyNumberFormat="1" applyFont="1" applyBorder="1"/>
    <xf numFmtId="0" fontId="1" fillId="2" borderId="0" xfId="0" applyNumberFormat="1" applyFont="1" applyBorder="1"/>
    <xf numFmtId="10" fontId="27" fillId="3" borderId="0" xfId="3" applyFont="1" applyBorder="1"/>
    <xf numFmtId="168" fontId="27" fillId="3" borderId="6" xfId="3" applyNumberFormat="1" applyFont="1" applyBorder="1"/>
    <xf numFmtId="10" fontId="27" fillId="3" borderId="9" xfId="3" applyFont="1" applyBorder="1"/>
    <xf numFmtId="10" fontId="27" fillId="3" borderId="10" xfId="3" applyFont="1" applyBorder="1"/>
    <xf numFmtId="0" fontId="13" fillId="4" borderId="0" xfId="0" applyNumberFormat="1" applyFont="1" applyFill="1"/>
    <xf numFmtId="0" fontId="0" fillId="7" borderId="0" xfId="0" applyNumberFormat="1" applyFill="1" applyBorder="1"/>
    <xf numFmtId="2" fontId="0" fillId="2" borderId="19" xfId="0" applyNumberFormat="1" applyBorder="1" applyAlignment="1">
      <alignment horizontal="center"/>
    </xf>
    <xf numFmtId="165" fontId="0" fillId="2" borderId="20" xfId="0" applyNumberFormat="1" applyBorder="1"/>
    <xf numFmtId="10" fontId="4" fillId="2" borderId="20" xfId="0" applyNumberFormat="1" applyFont="1" applyBorder="1"/>
    <xf numFmtId="41" fontId="0" fillId="2" borderId="21" xfId="0" applyNumberFormat="1" applyBorder="1"/>
    <xf numFmtId="41" fontId="0" fillId="2" borderId="19" xfId="0" applyNumberFormat="1" applyBorder="1"/>
    <xf numFmtId="41" fontId="0" fillId="2" borderId="20" xfId="0" applyNumberFormat="1" applyBorder="1"/>
    <xf numFmtId="2" fontId="0" fillId="2" borderId="5" xfId="0" applyNumberFormat="1" applyBorder="1" applyAlignment="1">
      <alignment horizontal="center"/>
    </xf>
    <xf numFmtId="41" fontId="0" fillId="2" borderId="6" xfId="0" applyNumberFormat="1" applyBorder="1"/>
    <xf numFmtId="41" fontId="0" fillId="2" borderId="5" xfId="0" applyNumberFormat="1" applyBorder="1"/>
    <xf numFmtId="41" fontId="0" fillId="2" borderId="0" xfId="0" applyNumberFormat="1" applyBorder="1"/>
    <xf numFmtId="168" fontId="18" fillId="2" borderId="0" xfId="0" applyNumberFormat="1" applyFont="1"/>
    <xf numFmtId="169" fontId="18" fillId="2" borderId="0" xfId="0" applyNumberFormat="1" applyFont="1" applyBorder="1" applyProtection="1">
      <protection locked="0"/>
    </xf>
    <xf numFmtId="41" fontId="15" fillId="0" borderId="10" xfId="2" applyFont="1" applyFill="1" applyBorder="1">
      <alignment horizontal="left"/>
    </xf>
    <xf numFmtId="41" fontId="15" fillId="0" borderId="22" xfId="2" applyFont="1" applyFill="1" applyBorder="1">
      <alignment horizontal="left"/>
    </xf>
    <xf numFmtId="10" fontId="15" fillId="0" borderId="22" xfId="3" applyFont="1" applyFill="1" applyBorder="1"/>
    <xf numFmtId="168" fontId="15" fillId="0" borderId="22" xfId="3" applyNumberFormat="1" applyFont="1" applyFill="1" applyBorder="1"/>
    <xf numFmtId="0" fontId="23" fillId="6" borderId="23" xfId="1" applyNumberFormat="1" applyFont="1" applyBorder="1" applyAlignment="1">
      <alignment horizontal="left"/>
    </xf>
    <xf numFmtId="0" fontId="18" fillId="2" borderId="14" xfId="0" applyNumberFormat="1" applyFont="1" applyBorder="1" applyAlignment="1">
      <alignment horizontal="right"/>
    </xf>
    <xf numFmtId="0" fontId="18" fillId="2" borderId="18" xfId="0" applyNumberFormat="1" applyFont="1" applyBorder="1" applyAlignment="1">
      <alignment horizontal="right"/>
    </xf>
    <xf numFmtId="41" fontId="18" fillId="2" borderId="24" xfId="0" applyNumberFormat="1" applyFont="1" applyBorder="1"/>
    <xf numFmtId="168" fontId="18" fillId="2" borderId="24" xfId="0" applyNumberFormat="1" applyFont="1" applyBorder="1"/>
    <xf numFmtId="0" fontId="15" fillId="2" borderId="25" xfId="0" applyNumberFormat="1" applyFont="1" applyBorder="1"/>
    <xf numFmtId="0" fontId="18" fillId="2" borderId="5" xfId="0" applyNumberFormat="1" applyFont="1" applyBorder="1"/>
    <xf numFmtId="0" fontId="18" fillId="2" borderId="8" xfId="0" applyNumberFormat="1" applyFont="1" applyBorder="1"/>
    <xf numFmtId="0" fontId="18" fillId="2" borderId="26" xfId="0" applyNumberFormat="1" applyFont="1" applyBorder="1" applyAlignment="1">
      <alignment horizontal="center"/>
    </xf>
    <xf numFmtId="0" fontId="18" fillId="2" borderId="14" xfId="0" applyNumberFormat="1" applyFont="1" applyBorder="1" applyAlignment="1">
      <alignment horizontal="center"/>
    </xf>
    <xf numFmtId="10" fontId="18" fillId="2" borderId="24" xfId="0" applyNumberFormat="1" applyFont="1" applyBorder="1" applyAlignment="1">
      <alignment horizontal="center"/>
    </xf>
    <xf numFmtId="0" fontId="15" fillId="2" borderId="0" xfId="0" applyNumberFormat="1" applyFont="1" applyAlignment="1">
      <alignment horizontal="right"/>
    </xf>
    <xf numFmtId="0" fontId="19" fillId="5" borderId="0" xfId="0" applyNumberFormat="1" applyFont="1" applyFill="1" applyBorder="1" applyAlignment="1">
      <alignment horizontal="right"/>
    </xf>
    <xf numFmtId="0" fontId="0" fillId="2" borderId="9" xfId="0" applyNumberFormat="1" applyFont="1" applyBorder="1"/>
    <xf numFmtId="39" fontId="0" fillId="2" borderId="2" xfId="0" applyNumberFormat="1" applyFont="1" applyBorder="1" applyAlignment="1">
      <alignment horizontal="center"/>
    </xf>
    <xf numFmtId="0" fontId="0" fillId="2" borderId="3" xfId="0" quotePrefix="1" applyNumberFormat="1" applyFont="1" applyBorder="1" applyAlignment="1">
      <alignment horizontal="left"/>
    </xf>
    <xf numFmtId="0" fontId="0" fillId="2" borderId="5" xfId="0" applyNumberFormat="1" applyFont="1" applyBorder="1" applyAlignment="1">
      <alignment horizontal="center"/>
    </xf>
    <xf numFmtId="0" fontId="0" fillId="2" borderId="0" xfId="0" quotePrefix="1" applyNumberFormat="1" applyFont="1" applyBorder="1" applyAlignment="1">
      <alignment horizontal="left"/>
    </xf>
    <xf numFmtId="0" fontId="0" fillId="2" borderId="0" xfId="0" applyNumberFormat="1" applyFont="1" applyBorder="1"/>
    <xf numFmtId="10" fontId="0" fillId="2" borderId="8" xfId="0" applyNumberFormat="1" applyFont="1" applyBorder="1" applyAlignment="1">
      <alignment horizontal="center"/>
    </xf>
    <xf numFmtId="0" fontId="0" fillId="2" borderId="21" xfId="0" applyNumberFormat="1" applyBorder="1"/>
    <xf numFmtId="0" fontId="0" fillId="2" borderId="19" xfId="0" applyNumberFormat="1" applyBorder="1"/>
    <xf numFmtId="0" fontId="2" fillId="2" borderId="20" xfId="0" applyNumberFormat="1" applyFont="1" applyBorder="1"/>
    <xf numFmtId="0" fontId="2" fillId="2" borderId="5" xfId="0" applyNumberFormat="1" applyFont="1" applyBorder="1"/>
    <xf numFmtId="0" fontId="2" fillId="2" borderId="6" xfId="0" applyNumberFormat="1" applyFont="1" applyBorder="1"/>
    <xf numFmtId="10" fontId="27" fillId="3" borderId="6" xfId="3" applyFont="1" applyBorder="1"/>
    <xf numFmtId="0" fontId="6" fillId="2" borderId="0" xfId="0" applyNumberFormat="1" applyFont="1" applyBorder="1"/>
    <xf numFmtId="39" fontId="0" fillId="2" borderId="9" xfId="0" applyNumberFormat="1" applyBorder="1"/>
    <xf numFmtId="164" fontId="0" fillId="2" borderId="9" xfId="0" applyNumberFormat="1" applyBorder="1"/>
    <xf numFmtId="165" fontId="0" fillId="2" borderId="10" xfId="0" applyNumberFormat="1" applyBorder="1"/>
    <xf numFmtId="0" fontId="0" fillId="2" borderId="20" xfId="0" applyNumberFormat="1" applyBorder="1"/>
    <xf numFmtId="10" fontId="0" fillId="2" borderId="0" xfId="0" applyNumberFormat="1" applyBorder="1"/>
    <xf numFmtId="10" fontId="0" fillId="2" borderId="9" xfId="0" applyNumberFormat="1" applyBorder="1"/>
    <xf numFmtId="0" fontId="30" fillId="2" borderId="3" xfId="0" applyNumberFormat="1" applyFont="1" applyBorder="1" applyAlignment="1">
      <alignment horizontal="center"/>
    </xf>
    <xf numFmtId="0" fontId="30" fillId="2" borderId="4" xfId="0" applyNumberFormat="1" applyFont="1" applyBorder="1" applyAlignment="1">
      <alignment horizontal="center"/>
    </xf>
    <xf numFmtId="10" fontId="0" fillId="2" borderId="6" xfId="0" applyNumberFormat="1" applyBorder="1" applyAlignment="1">
      <alignment horizontal="right"/>
    </xf>
    <xf numFmtId="0" fontId="29" fillId="6" borderId="17" xfId="1" applyNumberFormat="1" applyFont="1" applyBorder="1" applyAlignment="1">
      <alignment horizontal="centerContinuous"/>
    </xf>
    <xf numFmtId="0" fontId="23" fillId="6" borderId="11" xfId="1" applyNumberFormat="1" applyFont="1" applyBorder="1" applyAlignment="1">
      <alignment horizontal="left"/>
    </xf>
    <xf numFmtId="168" fontId="18" fillId="2" borderId="0" xfId="0" applyNumberFormat="1" applyFont="1" applyBorder="1"/>
    <xf numFmtId="0" fontId="0" fillId="2" borderId="0" xfId="0" applyNumberFormat="1" applyBorder="1" applyAlignment="1">
      <alignment horizontal="center"/>
    </xf>
    <xf numFmtId="0" fontId="28" fillId="2" borderId="0" xfId="5" applyNumberFormat="1"/>
    <xf numFmtId="0" fontId="18" fillId="2" borderId="0" xfId="5" applyNumberFormat="1" applyFont="1" applyBorder="1" applyAlignment="1">
      <alignment horizontal="right"/>
    </xf>
    <xf numFmtId="41" fontId="18" fillId="2" borderId="0" xfId="5" applyNumberFormat="1" applyFont="1" applyBorder="1"/>
    <xf numFmtId="0" fontId="25" fillId="2" borderId="0" xfId="5" applyNumberFormat="1" applyFont="1" applyBorder="1" applyAlignment="1">
      <alignment horizontal="left"/>
    </xf>
    <xf numFmtId="0" fontId="28" fillId="2" borderId="0" xfId="5" applyNumberFormat="1" applyBorder="1"/>
    <xf numFmtId="0" fontId="15" fillId="2" borderId="5" xfId="0" applyNumberFormat="1" applyFont="1" applyBorder="1"/>
    <xf numFmtId="0" fontId="31" fillId="2" borderId="0" xfId="0" applyNumberFormat="1" applyFont="1" applyAlignment="1">
      <alignment horizontal="center"/>
    </xf>
    <xf numFmtId="0" fontId="18" fillId="2" borderId="0" xfId="5" applyNumberFormat="1" applyFont="1" applyAlignment="1">
      <alignment horizontal="right"/>
    </xf>
    <xf numFmtId="10" fontId="18" fillId="2" borderId="0" xfId="5" applyNumberFormat="1" applyFont="1" applyAlignment="1">
      <alignment horizontal="right"/>
    </xf>
    <xf numFmtId="41" fontId="15" fillId="3" borderId="0" xfId="7" applyFont="1" applyAlignment="1">
      <alignment horizontal="right"/>
    </xf>
    <xf numFmtId="0" fontId="28" fillId="2" borderId="0" xfId="5" applyNumberFormat="1" applyAlignment="1">
      <alignment horizontal="right"/>
    </xf>
    <xf numFmtId="0" fontId="15" fillId="2" borderId="0" xfId="5" applyNumberFormat="1" applyFont="1"/>
    <xf numFmtId="0" fontId="19" fillId="5" borderId="19" xfId="5" applyNumberFormat="1" applyFont="1" applyFill="1" applyBorder="1" applyAlignment="1">
      <alignment horizontal="left"/>
    </xf>
    <xf numFmtId="0" fontId="28" fillId="2" borderId="20" xfId="5" applyNumberFormat="1" applyBorder="1"/>
    <xf numFmtId="0" fontId="28" fillId="2" borderId="21" xfId="5" applyNumberFormat="1" applyBorder="1"/>
    <xf numFmtId="0" fontId="15" fillId="2" borderId="5" xfId="5" applyNumberFormat="1" applyFont="1" applyBorder="1"/>
    <xf numFmtId="41" fontId="18" fillId="2" borderId="6" xfId="5" applyNumberFormat="1" applyFont="1" applyBorder="1"/>
    <xf numFmtId="0" fontId="20" fillId="2" borderId="0" xfId="5" applyNumberFormat="1" applyFont="1" applyBorder="1" applyAlignment="1">
      <alignment horizontal="right"/>
    </xf>
    <xf numFmtId="41" fontId="20" fillId="2" borderId="27" xfId="5" applyNumberFormat="1" applyFont="1" applyBorder="1"/>
    <xf numFmtId="41" fontId="20" fillId="2" borderId="28" xfId="5" applyNumberFormat="1" applyFont="1" applyBorder="1"/>
    <xf numFmtId="0" fontId="28" fillId="2" borderId="8" xfId="5" applyNumberFormat="1" applyBorder="1"/>
    <xf numFmtId="0" fontId="28" fillId="2" borderId="9" xfId="5" applyNumberFormat="1" applyBorder="1"/>
    <xf numFmtId="0" fontId="28" fillId="2" borderId="10" xfId="5" applyNumberFormat="1" applyBorder="1"/>
    <xf numFmtId="0" fontId="20" fillId="2" borderId="9" xfId="0" applyNumberFormat="1" applyFont="1" applyBorder="1" applyAlignment="1">
      <alignment horizontal="center"/>
    </xf>
    <xf numFmtId="0" fontId="18" fillId="2" borderId="0" xfId="0" applyNumberFormat="1" applyFont="1" applyBorder="1"/>
    <xf numFmtId="10" fontId="18" fillId="2" borderId="0" xfId="0" applyNumberFormat="1" applyFont="1" applyBorder="1"/>
    <xf numFmtId="0" fontId="20" fillId="2" borderId="14" xfId="0" applyNumberFormat="1" applyFont="1" applyBorder="1" applyAlignment="1">
      <alignment horizontal="right"/>
    </xf>
    <xf numFmtId="0" fontId="18" fillId="2" borderId="29" xfId="5" applyNumberFormat="1" applyFont="1" applyBorder="1" applyAlignment="1">
      <alignment horizontal="right"/>
    </xf>
    <xf numFmtId="0" fontId="18" fillId="2" borderId="9" xfId="5" applyNumberFormat="1" applyFont="1" applyBorder="1" applyAlignment="1">
      <alignment horizontal="right" vertical="center"/>
    </xf>
    <xf numFmtId="10" fontId="20" fillId="2" borderId="9" xfId="5" applyNumberFormat="1" applyFont="1" applyBorder="1" applyAlignment="1">
      <alignment horizontal="center" vertical="center"/>
    </xf>
    <xf numFmtId="0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wrapText="1"/>
    </xf>
    <xf numFmtId="0" fontId="35" fillId="0" borderId="9" xfId="0" applyFont="1" applyFill="1" applyBorder="1" applyAlignment="1">
      <alignment horizontal="center" wrapText="1"/>
    </xf>
    <xf numFmtId="0" fontId="35" fillId="0" borderId="0" xfId="0" applyFont="1" applyFill="1" applyAlignment="1">
      <alignment horizontal="left" wrapText="1"/>
    </xf>
    <xf numFmtId="171" fontId="37" fillId="0" borderId="0" xfId="0" applyNumberFormat="1" applyFont="1" applyFill="1" applyAlignment="1">
      <alignment wrapText="1"/>
    </xf>
    <xf numFmtId="171" fontId="37" fillId="0" borderId="0" xfId="0" applyNumberFormat="1" applyFont="1" applyFill="1" applyAlignment="1">
      <alignment horizontal="right" wrapText="1"/>
    </xf>
    <xf numFmtId="172" fontId="35" fillId="0" borderId="31" xfId="0" applyNumberFormat="1" applyFont="1" applyFill="1" applyBorder="1" applyAlignment="1">
      <alignment horizontal="right" wrapText="1"/>
    </xf>
    <xf numFmtId="0" fontId="37" fillId="0" borderId="0" xfId="0" applyFont="1" applyFill="1"/>
    <xf numFmtId="0" fontId="37" fillId="0" borderId="0" xfId="0" applyNumberFormat="1" applyFont="1" applyFill="1"/>
    <xf numFmtId="0" fontId="38" fillId="0" borderId="0" xfId="8" applyFont="1" applyAlignment="1">
      <alignment horizontal="left"/>
    </xf>
    <xf numFmtId="0" fontId="38" fillId="0" borderId="0" xfId="8" applyFont="1" applyAlignment="1">
      <alignment horizontal="centerContinuous"/>
    </xf>
    <xf numFmtId="10" fontId="39" fillId="0" borderId="0" xfId="3" applyFont="1" applyFill="1"/>
    <xf numFmtId="0" fontId="38" fillId="0" borderId="0" xfId="0" applyFont="1" applyFill="1" applyAlignment="1">
      <alignment horizontal="centerContinuous"/>
    </xf>
    <xf numFmtId="169" fontId="39" fillId="0" borderId="0" xfId="2" applyNumberFormat="1" applyFont="1" applyFill="1" applyAlignment="1"/>
    <xf numFmtId="0" fontId="38" fillId="0" borderId="0" xfId="8" applyFont="1"/>
    <xf numFmtId="0" fontId="38" fillId="0" borderId="0" xfId="8" applyFont="1" applyAlignment="1">
      <alignment horizontal="center"/>
    </xf>
    <xf numFmtId="0" fontId="38" fillId="0" borderId="9" xfId="8" applyFont="1" applyBorder="1" applyAlignment="1">
      <alignment horizontal="center"/>
    </xf>
    <xf numFmtId="37" fontId="38" fillId="0" borderId="0" xfId="8" applyNumberFormat="1" applyFont="1"/>
    <xf numFmtId="0" fontId="36" fillId="0" borderId="0" xfId="0" applyNumberFormat="1" applyFont="1" applyFill="1"/>
    <xf numFmtId="37" fontId="41" fillId="0" borderId="0" xfId="8" applyNumberFormat="1" applyFont="1"/>
    <xf numFmtId="37" fontId="38" fillId="0" borderId="0" xfId="0" applyNumberFormat="1" applyFont="1" applyFill="1"/>
    <xf numFmtId="37" fontId="38" fillId="0" borderId="0" xfId="8" applyNumberFormat="1" applyFont="1" applyFill="1"/>
    <xf numFmtId="0" fontId="38" fillId="0" borderId="0" xfId="8" applyFont="1" applyFill="1" applyAlignment="1">
      <alignment horizontal="centerContinuous"/>
    </xf>
    <xf numFmtId="0" fontId="40" fillId="0" borderId="0" xfId="8" applyFont="1" applyFill="1" applyAlignment="1">
      <alignment horizontal="centerContinuous"/>
    </xf>
    <xf numFmtId="0" fontId="38" fillId="0" borderId="0" xfId="8" applyFont="1" applyFill="1" applyAlignment="1">
      <alignment horizontal="center"/>
    </xf>
    <xf numFmtId="0" fontId="38" fillId="0" borderId="0" xfId="0" applyFont="1" applyFill="1"/>
    <xf numFmtId="4" fontId="37" fillId="0" borderId="0" xfId="0" applyNumberFormat="1" applyFont="1" applyFill="1"/>
    <xf numFmtId="0" fontId="35" fillId="0" borderId="0" xfId="0" applyFont="1" applyFill="1" applyAlignment="1">
      <alignment horizontal="centerContinuous"/>
    </xf>
    <xf numFmtId="0" fontId="37" fillId="0" borderId="0" xfId="0" applyFont="1" applyFill="1" applyAlignment="1">
      <alignment horizontal="centerContinuous"/>
    </xf>
    <xf numFmtId="0" fontId="42" fillId="0" borderId="29" xfId="5" applyFont="1" applyFill="1" applyBorder="1" applyAlignment="1">
      <alignment horizontal="center"/>
    </xf>
    <xf numFmtId="173" fontId="42" fillId="0" borderId="29" xfId="5" applyNumberFormat="1" applyFont="1" applyFill="1" applyBorder="1" applyAlignment="1">
      <alignment horizontal="center"/>
    </xf>
    <xf numFmtId="173" fontId="42" fillId="0" borderId="29" xfId="5" applyNumberFormat="1" applyFont="1" applyFill="1" applyBorder="1" applyAlignment="1">
      <alignment horizontal="center" wrapText="1"/>
    </xf>
    <xf numFmtId="0" fontId="43" fillId="0" borderId="0" xfId="0" applyFont="1" applyFill="1" applyAlignment="1">
      <alignment horizontal="center"/>
    </xf>
    <xf numFmtId="174" fontId="42" fillId="0" borderId="29" xfId="5" applyNumberFormat="1" applyFont="1" applyFill="1" applyBorder="1"/>
    <xf numFmtId="0" fontId="37" fillId="0" borderId="29" xfId="5" applyFont="1" applyFill="1" applyBorder="1"/>
    <xf numFmtId="173" fontId="37" fillId="0" borderId="29" xfId="5" applyNumberFormat="1" applyFont="1" applyFill="1" applyBorder="1"/>
    <xf numFmtId="173" fontId="37" fillId="0" borderId="29" xfId="5" applyNumberFormat="1" applyFont="1" applyFill="1" applyBorder="1" applyAlignment="1">
      <alignment horizontal="right"/>
    </xf>
    <xf numFmtId="0" fontId="44" fillId="0" borderId="0" xfId="0" applyFont="1" applyFill="1"/>
    <xf numFmtId="173" fontId="37" fillId="0" borderId="0" xfId="0" applyNumberFormat="1" applyFont="1" applyFill="1"/>
    <xf numFmtId="0" fontId="44" fillId="0" borderId="29" xfId="0" applyFont="1" applyFill="1" applyBorder="1"/>
    <xf numFmtId="173" fontId="44" fillId="0" borderId="29" xfId="0" applyNumberFormat="1" applyFont="1" applyFill="1" applyBorder="1" applyAlignment="1">
      <alignment horizontal="right"/>
    </xf>
    <xf numFmtId="39" fontId="44" fillId="0" borderId="0" xfId="0" applyNumberFormat="1" applyFont="1" applyFill="1"/>
    <xf numFmtId="173" fontId="44" fillId="0" borderId="0" xfId="0" applyNumberFormat="1" applyFont="1" applyFill="1"/>
    <xf numFmtId="4" fontId="44" fillId="0" borderId="0" xfId="0" applyNumberFormat="1" applyFont="1" applyFill="1"/>
    <xf numFmtId="2" fontId="44" fillId="0" borderId="0" xfId="0" applyNumberFormat="1" applyFont="1" applyFill="1"/>
    <xf numFmtId="4" fontId="37" fillId="0" borderId="9" xfId="0" applyNumberFormat="1" applyFont="1" applyFill="1" applyBorder="1"/>
    <xf numFmtId="3" fontId="38" fillId="0" borderId="0" xfId="0" applyNumberFormat="1" applyFont="1" applyFill="1"/>
    <xf numFmtId="3" fontId="45" fillId="0" borderId="0" xfId="0" applyNumberFormat="1" applyFont="1" applyFill="1"/>
    <xf numFmtId="171" fontId="0" fillId="0" borderId="0" xfId="0" applyNumberFormat="1" applyFill="1"/>
    <xf numFmtId="3" fontId="38" fillId="0" borderId="9" xfId="0" applyNumberFormat="1" applyFont="1" applyFill="1" applyBorder="1"/>
    <xf numFmtId="3" fontId="38" fillId="0" borderId="30" xfId="0" applyNumberFormat="1" applyFont="1" applyFill="1" applyBorder="1"/>
    <xf numFmtId="0" fontId="0" fillId="0" borderId="0" xfId="0" applyFill="1"/>
    <xf numFmtId="0" fontId="0" fillId="2" borderId="0" xfId="0"/>
    <xf numFmtId="0" fontId="37" fillId="8" borderId="29" xfId="0" applyFont="1" applyFill="1" applyBorder="1" applyAlignment="1">
      <alignment horizontal="center"/>
    </xf>
    <xf numFmtId="0" fontId="37" fillId="2" borderId="29" xfId="0" applyFont="1" applyBorder="1" applyAlignment="1">
      <alignment horizontal="center"/>
    </xf>
    <xf numFmtId="0" fontId="37" fillId="2" borderId="26" xfId="0" applyFont="1" applyBorder="1" applyAlignment="1">
      <alignment horizontal="center"/>
    </xf>
    <xf numFmtId="0" fontId="37" fillId="8" borderId="29" xfId="0" applyFont="1" applyFill="1" applyBorder="1"/>
    <xf numFmtId="0" fontId="37" fillId="2" borderId="29" xfId="0" applyFont="1" applyBorder="1"/>
    <xf numFmtId="0" fontId="37" fillId="2" borderId="11" xfId="0" applyFont="1" applyBorder="1"/>
    <xf numFmtId="173" fontId="37" fillId="8" borderId="29" xfId="0" applyNumberFormat="1" applyFont="1" applyFill="1" applyBorder="1" applyAlignment="1">
      <alignment horizontal="center"/>
    </xf>
    <xf numFmtId="0" fontId="37" fillId="7" borderId="29" xfId="0" applyFont="1" applyFill="1" applyBorder="1"/>
    <xf numFmtId="0" fontId="37" fillId="9" borderId="29" xfId="0" applyFont="1" applyFill="1" applyBorder="1"/>
    <xf numFmtId="0" fontId="37" fillId="7" borderId="11" xfId="0" applyFont="1" applyFill="1" applyBorder="1"/>
    <xf numFmtId="173" fontId="37" fillId="7" borderId="29" xfId="0" applyNumberFormat="1" applyFont="1" applyFill="1" applyBorder="1"/>
    <xf numFmtId="0" fontId="37" fillId="10" borderId="29" xfId="0" applyFont="1" applyFill="1" applyBorder="1"/>
    <xf numFmtId="0" fontId="37" fillId="10" borderId="0" xfId="0" applyFont="1" applyFill="1"/>
    <xf numFmtId="0" fontId="37" fillId="10" borderId="0" xfId="0" applyFont="1" applyFill="1" applyAlignment="1">
      <alignment horizontal="center"/>
    </xf>
    <xf numFmtId="173" fontId="37" fillId="2" borderId="29" xfId="0" applyNumberFormat="1" applyFont="1" applyBorder="1"/>
    <xf numFmtId="0" fontId="37" fillId="2" borderId="0" xfId="0" applyFont="1"/>
    <xf numFmtId="173" fontId="37" fillId="2" borderId="0" xfId="0" applyNumberFormat="1" applyFont="1"/>
    <xf numFmtId="173" fontId="37" fillId="9" borderId="29" xfId="0" applyNumberFormat="1" applyFont="1" applyFill="1" applyBorder="1"/>
    <xf numFmtId="0" fontId="37" fillId="2" borderId="0" xfId="0" applyFont="1" applyAlignment="1">
      <alignment horizontal="centerContinuous"/>
    </xf>
    <xf numFmtId="173" fontId="37" fillId="2" borderId="9" xfId="0" applyNumberFormat="1" applyFont="1" applyBorder="1"/>
    <xf numFmtId="0" fontId="48" fillId="0" borderId="9" xfId="0" applyFont="1" applyFill="1" applyBorder="1" applyAlignment="1">
      <alignment horizontal="centerContinuous"/>
    </xf>
    <xf numFmtId="0" fontId="49" fillId="0" borderId="0" xfId="0" applyFont="1" applyFill="1" applyAlignment="1">
      <alignment horizontal="centerContinuous"/>
    </xf>
    <xf numFmtId="0" fontId="33" fillId="10" borderId="9" xfId="0" applyFont="1" applyFill="1" applyBorder="1" applyAlignment="1">
      <alignment horizontal="centerContinuous"/>
    </xf>
    <xf numFmtId="0" fontId="50" fillId="2" borderId="0" xfId="0" applyFont="1" applyAlignment="1">
      <alignment horizontal="centerContinuous"/>
    </xf>
    <xf numFmtId="173" fontId="44" fillId="0" borderId="9" xfId="0" applyNumberFormat="1" applyFont="1" applyFill="1" applyBorder="1"/>
    <xf numFmtId="0" fontId="0" fillId="0" borderId="0" xfId="0" applyNumberFormat="1" applyFill="1" applyAlignment="1">
      <alignment horizontal="centerContinuous"/>
    </xf>
    <xf numFmtId="0" fontId="38" fillId="0" borderId="0" xfId="0" applyNumberFormat="1" applyFont="1" applyFill="1"/>
    <xf numFmtId="0" fontId="38" fillId="0" borderId="0" xfId="0" applyNumberFormat="1" applyFont="1" applyFill="1" applyAlignment="1">
      <alignment horizontal="center" wrapText="1"/>
    </xf>
    <xf numFmtId="0" fontId="38" fillId="0" borderId="0" xfId="0" applyNumberFormat="1" applyFont="1" applyFill="1" applyAlignment="1">
      <alignment horizontal="center"/>
    </xf>
    <xf numFmtId="37" fontId="38" fillId="0" borderId="9" xfId="0" applyNumberFormat="1" applyFont="1" applyFill="1" applyBorder="1"/>
    <xf numFmtId="39" fontId="15" fillId="0" borderId="0" xfId="0" applyNumberFormat="1" applyFont="1" applyFill="1"/>
    <xf numFmtId="10" fontId="15" fillId="0" borderId="0" xfId="0" applyNumberFormat="1" applyFont="1" applyFill="1"/>
    <xf numFmtId="39" fontId="15" fillId="0" borderId="9" xfId="0" applyNumberFormat="1" applyFont="1" applyFill="1" applyBorder="1"/>
    <xf numFmtId="0" fontId="0" fillId="0" borderId="0" xfId="0" applyFill="1"/>
    <xf numFmtId="0" fontId="0" fillId="0" borderId="0" xfId="0" applyFill="1"/>
    <xf numFmtId="0" fontId="37" fillId="0" borderId="0" xfId="0" applyFont="1" applyFill="1"/>
    <xf numFmtId="3" fontId="1" fillId="0" borderId="0" xfId="9" applyNumberFormat="1" applyFont="1"/>
    <xf numFmtId="3" fontId="1" fillId="0" borderId="0" xfId="9" applyNumberFormat="1" applyFont="1" applyAlignment="1">
      <alignment horizontal="left"/>
    </xf>
    <xf numFmtId="3" fontId="1" fillId="0" borderId="0" xfId="9" applyNumberFormat="1" applyFont="1" applyAlignment="1">
      <alignment horizontal="center"/>
    </xf>
    <xf numFmtId="4" fontId="1" fillId="0" borderId="0" xfId="9" applyNumberFormat="1" applyFont="1"/>
    <xf numFmtId="3" fontId="1" fillId="2" borderId="0" xfId="0" applyNumberFormat="1" applyFont="1"/>
    <xf numFmtId="4" fontId="1" fillId="2" borderId="0" xfId="0" applyNumberFormat="1" applyFont="1"/>
    <xf numFmtId="0" fontId="15" fillId="2" borderId="0" xfId="0" applyFont="1"/>
    <xf numFmtId="3" fontId="27" fillId="2" borderId="0" xfId="0" applyNumberFormat="1" applyFont="1"/>
    <xf numFmtId="4" fontId="27" fillId="2" borderId="0" xfId="0" applyNumberFormat="1" applyFont="1"/>
    <xf numFmtId="0" fontId="15" fillId="0" borderId="0" xfId="0" applyFont="1" applyFill="1"/>
    <xf numFmtId="3" fontId="15" fillId="0" borderId="0" xfId="0" applyNumberFormat="1" applyFont="1" applyFill="1"/>
    <xf numFmtId="1" fontId="27" fillId="0" borderId="0" xfId="10" applyNumberFormat="1" applyFont="1" applyFill="1" applyAlignment="1">
      <alignment horizontal="center"/>
    </xf>
    <xf numFmtId="1" fontId="27" fillId="0" borderId="0" xfId="9" applyNumberFormat="1" applyFont="1" applyFill="1" applyAlignment="1">
      <alignment horizontal="center"/>
    </xf>
    <xf numFmtId="9" fontId="27" fillId="0" borderId="0" xfId="9" applyNumberFormat="1" applyFont="1" applyFill="1"/>
    <xf numFmtId="3" fontId="27" fillId="0" borderId="0" xfId="9" applyNumberFormat="1" applyFont="1" applyFill="1" applyAlignment="1">
      <alignment horizontal="center"/>
    </xf>
    <xf numFmtId="3" fontId="27" fillId="0" borderId="0" xfId="9" applyNumberFormat="1" applyFont="1" applyFill="1"/>
    <xf numFmtId="1" fontId="27" fillId="0" borderId="0" xfId="9" applyNumberFormat="1" applyFont="1" applyFill="1"/>
    <xf numFmtId="3" fontId="27" fillId="0" borderId="0" xfId="0" applyNumberFormat="1" applyFont="1" applyFill="1"/>
    <xf numFmtId="4" fontId="27" fillId="0" borderId="0" xfId="0" applyNumberFormat="1" applyFont="1" applyFill="1"/>
    <xf numFmtId="3" fontId="27" fillId="0" borderId="9" xfId="9" applyNumberFormat="1" applyFont="1" applyFill="1" applyBorder="1"/>
    <xf numFmtId="3" fontId="27" fillId="0" borderId="9" xfId="0" applyNumberFormat="1" applyFont="1" applyFill="1" applyBorder="1"/>
    <xf numFmtId="0" fontId="27" fillId="0" borderId="0" xfId="0" applyFont="1" applyFill="1"/>
    <xf numFmtId="0" fontId="53" fillId="0" borderId="0" xfId="0" applyFont="1" applyFill="1"/>
    <xf numFmtId="3" fontId="54" fillId="0" borderId="0" xfId="9" applyNumberFormat="1" applyFont="1" applyFill="1" applyAlignment="1">
      <alignment horizontal="left"/>
    </xf>
    <xf numFmtId="0" fontId="54" fillId="0" borderId="0" xfId="0" applyFont="1" applyFill="1"/>
    <xf numFmtId="0" fontId="55" fillId="0" borderId="0" xfId="0" applyFont="1" applyFill="1"/>
    <xf numFmtId="3" fontId="27" fillId="0" borderId="32" xfId="0" applyNumberFormat="1" applyFont="1" applyFill="1" applyBorder="1"/>
    <xf numFmtId="0" fontId="55" fillId="0" borderId="32" xfId="0" applyFont="1" applyFill="1" applyBorder="1"/>
    <xf numFmtId="3" fontId="53" fillId="0" borderId="0" xfId="9" applyNumberFormat="1" applyFont="1" applyFill="1" applyAlignment="1">
      <alignment horizontal="centerContinuous"/>
    </xf>
    <xf numFmtId="3" fontId="27" fillId="0" borderId="0" xfId="9" applyNumberFormat="1" applyFont="1" applyFill="1" applyAlignment="1">
      <alignment horizontal="centerContinuous"/>
    </xf>
    <xf numFmtId="3" fontId="27" fillId="0" borderId="0" xfId="9" applyNumberFormat="1" applyFont="1" applyFill="1" applyAlignment="1">
      <alignment horizontal="left"/>
    </xf>
    <xf numFmtId="175" fontId="53" fillId="0" borderId="0" xfId="9" quotePrefix="1" applyNumberFormat="1" applyFont="1" applyFill="1" applyAlignment="1">
      <alignment horizontal="centerContinuous"/>
    </xf>
    <xf numFmtId="3" fontId="53" fillId="0" borderId="0" xfId="9" applyNumberFormat="1" applyFont="1" applyFill="1" applyAlignment="1">
      <alignment horizontal="center"/>
    </xf>
    <xf numFmtId="3" fontId="53" fillId="0" borderId="0" xfId="9" applyNumberFormat="1" applyFont="1" applyFill="1"/>
    <xf numFmtId="3" fontId="54" fillId="0" borderId="0" xfId="9" applyNumberFormat="1" applyFont="1" applyFill="1" applyAlignment="1">
      <alignment horizontal="center"/>
    </xf>
    <xf numFmtId="3" fontId="54" fillId="0" borderId="0" xfId="9" applyNumberFormat="1" applyFont="1" applyFill="1"/>
    <xf numFmtId="14" fontId="54" fillId="0" borderId="0" xfId="9" applyNumberFormat="1" applyFont="1" applyFill="1" applyAlignment="1">
      <alignment horizontal="center"/>
    </xf>
    <xf numFmtId="3" fontId="27" fillId="0" borderId="0" xfId="10" applyNumberFormat="1" applyFont="1" applyFill="1" applyAlignment="1">
      <alignment horizontal="right"/>
    </xf>
    <xf numFmtId="0" fontId="27" fillId="0" borderId="0" xfId="9" applyFont="1" applyFill="1"/>
    <xf numFmtId="37" fontId="38" fillId="0" borderId="32" xfId="0" applyNumberFormat="1" applyFont="1" applyFill="1" applyBorder="1"/>
    <xf numFmtId="0" fontId="53" fillId="0" borderId="0" xfId="0" applyFont="1" applyFill="1" applyAlignment="1">
      <alignment horizontal="centerContinuous"/>
    </xf>
    <xf numFmtId="0" fontId="27" fillId="0" borderId="0" xfId="0" applyFont="1" applyFill="1" applyAlignment="1">
      <alignment horizontal="centerContinuous"/>
    </xf>
    <xf numFmtId="173" fontId="27" fillId="0" borderId="0" xfId="0" applyNumberFormat="1" applyFont="1" applyFill="1" applyAlignment="1">
      <alignment horizontal="centerContinuous"/>
    </xf>
    <xf numFmtId="0" fontId="27" fillId="0" borderId="0" xfId="0" applyNumberFormat="1" applyFont="1" applyFill="1"/>
    <xf numFmtId="0" fontId="57" fillId="0" borderId="0" xfId="0" applyFont="1" applyFill="1" applyAlignment="1">
      <alignment horizontal="centerContinuous"/>
    </xf>
    <xf numFmtId="173" fontId="57" fillId="0" borderId="0" xfId="0" applyNumberFormat="1" applyFont="1" applyFill="1" applyAlignment="1">
      <alignment horizontal="centerContinuous"/>
    </xf>
    <xf numFmtId="173" fontId="27" fillId="0" borderId="0" xfId="0" applyNumberFormat="1" applyFont="1" applyFill="1"/>
    <xf numFmtId="0" fontId="15" fillId="0" borderId="0" xfId="0" applyNumberFormat="1" applyFont="1" applyFill="1"/>
    <xf numFmtId="0" fontId="15" fillId="0" borderId="0" xfId="0" applyNumberFormat="1" applyFont="1" applyFill="1" applyAlignment="1">
      <alignment horizontal="centerContinuous"/>
    </xf>
    <xf numFmtId="0" fontId="15" fillId="0" borderId="0" xfId="8" applyFont="1" applyFill="1" applyAlignment="1">
      <alignment horizontal="centerContinuous"/>
    </xf>
    <xf numFmtId="0" fontId="59" fillId="0" borderId="0" xfId="8" applyFont="1" applyFill="1" applyAlignment="1">
      <alignment horizontal="centerContinuous"/>
    </xf>
    <xf numFmtId="37" fontId="15" fillId="0" borderId="0" xfId="8" applyNumberFormat="1" applyFont="1"/>
    <xf numFmtId="37" fontId="60" fillId="0" borderId="0" xfId="8" applyNumberFormat="1" applyFont="1"/>
    <xf numFmtId="37" fontId="15" fillId="0" borderId="0" xfId="0" applyNumberFormat="1" applyFont="1" applyFill="1"/>
    <xf numFmtId="37" fontId="15" fillId="0" borderId="0" xfId="8" applyNumberFormat="1" applyFont="1" applyFill="1"/>
    <xf numFmtId="0" fontId="15" fillId="0" borderId="0" xfId="0" applyNumberFormat="1" applyFont="1" applyFill="1" applyAlignment="1">
      <alignment horizontal="center" wrapText="1"/>
    </xf>
    <xf numFmtId="3" fontId="15" fillId="0" borderId="9" xfId="0" applyNumberFormat="1" applyFont="1" applyFill="1" applyBorder="1"/>
    <xf numFmtId="3" fontId="15" fillId="0" borderId="32" xfId="0" applyNumberFormat="1" applyFont="1" applyFill="1" applyBorder="1"/>
    <xf numFmtId="0" fontId="15" fillId="0" borderId="0" xfId="0" applyNumberFormat="1" applyFont="1" applyFill="1" applyAlignment="1">
      <alignment horizontal="center"/>
    </xf>
    <xf numFmtId="0" fontId="61" fillId="0" borderId="0" xfId="0" applyFont="1" applyFill="1" applyAlignment="1">
      <alignment horizontal="centerContinuous"/>
    </xf>
    <xf numFmtId="0" fontId="0" fillId="0" borderId="0" xfId="0" applyFill="1" applyAlignment="1">
      <alignment horizontal="centerContinuous"/>
    </xf>
    <xf numFmtId="0" fontId="43" fillId="0" borderId="29" xfId="0" applyFont="1" applyFill="1" applyBorder="1"/>
    <xf numFmtId="174" fontId="62" fillId="0" borderId="29" xfId="0" applyNumberFormat="1" applyFont="1" applyFill="1" applyBorder="1"/>
    <xf numFmtId="0" fontId="0" fillId="0" borderId="29" xfId="0" applyFill="1" applyBorder="1"/>
    <xf numFmtId="173" fontId="0" fillId="0" borderId="29" xfId="0" applyNumberFormat="1" applyFill="1" applyBorder="1"/>
    <xf numFmtId="173" fontId="0" fillId="0" borderId="0" xfId="0" applyNumberFormat="1" applyFill="1"/>
    <xf numFmtId="173" fontId="0" fillId="0" borderId="14" xfId="0" applyNumberFormat="1" applyFill="1" applyBorder="1"/>
    <xf numFmtId="0" fontId="42" fillId="0" borderId="29" xfId="0" applyFont="1" applyFill="1" applyBorder="1" applyAlignment="1">
      <alignment horizontal="center"/>
    </xf>
    <xf numFmtId="0" fontId="37" fillId="0" borderId="29" xfId="0" applyFont="1" applyFill="1" applyBorder="1" applyAlignment="1">
      <alignment horizontal="center"/>
    </xf>
    <xf numFmtId="0" fontId="37" fillId="0" borderId="29" xfId="0" applyFont="1" applyFill="1" applyBorder="1" applyAlignment="1">
      <alignment horizontal="right"/>
    </xf>
    <xf numFmtId="10" fontId="0" fillId="0" borderId="29" xfId="0" applyNumberFormat="1" applyFill="1" applyBorder="1"/>
    <xf numFmtId="4" fontId="0" fillId="0" borderId="0" xfId="0" applyNumberFormat="1" applyFill="1"/>
    <xf numFmtId="0" fontId="56" fillId="0" borderId="0" xfId="0" applyFont="1" applyFill="1" applyAlignment="1">
      <alignment horizontal="centerContinuous"/>
    </xf>
    <xf numFmtId="0" fontId="36" fillId="0" borderId="0" xfId="0" applyFont="1" applyFill="1" applyAlignment="1">
      <alignment horizontal="centerContinuous"/>
    </xf>
    <xf numFmtId="0" fontId="35" fillId="0" borderId="19" xfId="0" applyFont="1" applyFill="1" applyBorder="1" applyAlignment="1">
      <alignment horizontal="centerContinuous"/>
    </xf>
    <xf numFmtId="0" fontId="35" fillId="0" borderId="33" xfId="0" applyFont="1" applyFill="1" applyBorder="1" applyAlignment="1">
      <alignment horizontal="centerContinuous"/>
    </xf>
    <xf numFmtId="0" fontId="35" fillId="0" borderId="21" xfId="0" applyFont="1" applyFill="1" applyBorder="1" applyAlignment="1">
      <alignment horizontal="centerContinuous"/>
    </xf>
    <xf numFmtId="0" fontId="63" fillId="0" borderId="34" xfId="0" applyFont="1" applyFill="1" applyBorder="1" applyAlignment="1">
      <alignment vertical="center"/>
    </xf>
    <xf numFmtId="0" fontId="63" fillId="0" borderId="17" xfId="0" applyFont="1" applyFill="1" applyBorder="1" applyAlignment="1">
      <alignment horizontal="center" vertical="center"/>
    </xf>
    <xf numFmtId="0" fontId="63" fillId="0" borderId="17" xfId="0" applyFont="1" applyFill="1" applyBorder="1" applyAlignment="1">
      <alignment vertical="center"/>
    </xf>
    <xf numFmtId="0" fontId="63" fillId="0" borderId="8" xfId="0" applyFont="1" applyFill="1" applyBorder="1" applyAlignment="1">
      <alignment vertical="center"/>
    </xf>
    <xf numFmtId="0" fontId="63" fillId="0" borderId="9" xfId="0" applyFont="1" applyFill="1" applyBorder="1" applyAlignment="1">
      <alignment vertical="center"/>
    </xf>
    <xf numFmtId="0" fontId="63" fillId="0" borderId="10" xfId="0" applyFont="1" applyFill="1" applyBorder="1" applyAlignment="1">
      <alignment vertical="center"/>
    </xf>
    <xf numFmtId="0" fontId="63" fillId="0" borderId="35" xfId="0" applyFont="1" applyFill="1" applyBorder="1" applyAlignment="1">
      <alignment vertical="center"/>
    </xf>
    <xf numFmtId="40" fontId="63" fillId="0" borderId="36" xfId="0" applyNumberFormat="1" applyFont="1" applyFill="1" applyBorder="1" applyAlignment="1">
      <alignment horizontal="right" vertical="center"/>
    </xf>
    <xf numFmtId="0" fontId="63" fillId="0" borderId="36" xfId="0" applyFont="1" applyFill="1" applyBorder="1" applyAlignment="1">
      <alignment vertical="center"/>
    </xf>
    <xf numFmtId="9" fontId="63" fillId="0" borderId="36" xfId="0" applyNumberFormat="1" applyFont="1" applyFill="1" applyBorder="1" applyAlignment="1">
      <alignment horizontal="center" vertical="center"/>
    </xf>
    <xf numFmtId="9" fontId="0" fillId="0" borderId="0" xfId="0" applyNumberFormat="1" applyFill="1"/>
    <xf numFmtId="40" fontId="63" fillId="0" borderId="36" xfId="0" applyNumberFormat="1" applyFont="1" applyFill="1" applyBorder="1" applyAlignment="1">
      <alignment vertical="center"/>
    </xf>
    <xf numFmtId="0" fontId="63" fillId="0" borderId="36" xfId="0" applyFont="1" applyFill="1" applyBorder="1" applyAlignment="1">
      <alignment horizontal="center" vertical="center"/>
    </xf>
    <xf numFmtId="8" fontId="0" fillId="0" borderId="0" xfId="0" applyNumberFormat="1" applyFill="1"/>
    <xf numFmtId="40" fontId="37" fillId="0" borderId="0" xfId="0" applyNumberFormat="1" applyFont="1" applyFill="1" applyAlignment="1">
      <alignment vertical="top"/>
    </xf>
    <xf numFmtId="10" fontId="37" fillId="0" borderId="0" xfId="0" applyNumberFormat="1" applyFont="1" applyFill="1"/>
    <xf numFmtId="3" fontId="0" fillId="0" borderId="0" xfId="0" applyNumberFormat="1" applyFill="1"/>
    <xf numFmtId="0" fontId="66" fillId="0" borderId="0" xfId="0" applyFont="1" applyFill="1" applyAlignment="1">
      <alignment horizontal="centerContinuous"/>
    </xf>
    <xf numFmtId="0" fontId="67" fillId="0" borderId="0" xfId="0" applyFont="1" applyFill="1" applyAlignment="1">
      <alignment horizontal="centerContinuous"/>
    </xf>
    <xf numFmtId="0" fontId="67" fillId="0" borderId="0" xfId="0" applyFont="1" applyFill="1"/>
    <xf numFmtId="0" fontId="68" fillId="0" borderId="0" xfId="0" applyFont="1" applyFill="1" applyAlignment="1">
      <alignment horizontal="centerContinuous"/>
    </xf>
    <xf numFmtId="0" fontId="67" fillId="0" borderId="29" xfId="0" applyFont="1" applyFill="1" applyBorder="1" applyAlignment="1">
      <alignment horizontal="center"/>
    </xf>
    <xf numFmtId="0" fontId="67" fillId="0" borderId="29" xfId="0" applyFont="1" applyFill="1" applyBorder="1"/>
    <xf numFmtId="173" fontId="67" fillId="0" borderId="29" xfId="0" applyNumberFormat="1" applyFont="1" applyFill="1" applyBorder="1"/>
    <xf numFmtId="173" fontId="67" fillId="0" borderId="0" xfId="0" applyNumberFormat="1" applyFont="1" applyFill="1"/>
    <xf numFmtId="173" fontId="67" fillId="0" borderId="9" xfId="0" applyNumberFormat="1" applyFont="1" applyFill="1" applyBorder="1"/>
    <xf numFmtId="3" fontId="67" fillId="0" borderId="0" xfId="0" applyNumberFormat="1" applyFont="1" applyFill="1"/>
    <xf numFmtId="10" fontId="67" fillId="0" borderId="0" xfId="0" applyNumberFormat="1" applyFont="1" applyFill="1"/>
    <xf numFmtId="4" fontId="67" fillId="0" borderId="0" xfId="0" applyNumberFormat="1" applyFont="1" applyFill="1"/>
    <xf numFmtId="0" fontId="67" fillId="0" borderId="9" xfId="0" applyFont="1" applyFill="1" applyBorder="1"/>
    <xf numFmtId="0" fontId="64" fillId="0" borderId="29" xfId="0" applyFont="1" applyFill="1" applyBorder="1" applyAlignment="1">
      <alignment horizontal="center"/>
    </xf>
    <xf numFmtId="17" fontId="64" fillId="0" borderId="29" xfId="0" applyNumberFormat="1" applyFont="1" applyFill="1" applyBorder="1" applyAlignment="1">
      <alignment horizontal="center"/>
    </xf>
    <xf numFmtId="2" fontId="67" fillId="0" borderId="29" xfId="0" applyNumberFormat="1" applyFont="1" applyFill="1" applyBorder="1"/>
    <xf numFmtId="0" fontId="65" fillId="0" borderId="0" xfId="0" applyFont="1" applyFill="1"/>
    <xf numFmtId="0" fontId="69" fillId="0" borderId="0" xfId="0" applyNumberFormat="1" applyFont="1" applyFill="1"/>
    <xf numFmtId="0" fontId="36" fillId="0" borderId="0" xfId="0" applyFont="1" applyFill="1"/>
    <xf numFmtId="0" fontId="36" fillId="0" borderId="9" xfId="0" applyFont="1" applyFill="1" applyBorder="1"/>
    <xf numFmtId="10" fontId="36" fillId="0" borderId="0" xfId="0" applyNumberFormat="1" applyFont="1" applyFill="1"/>
    <xf numFmtId="10" fontId="36" fillId="0" borderId="9" xfId="0" applyNumberFormat="1" applyFont="1" applyFill="1" applyBorder="1"/>
    <xf numFmtId="3" fontId="37" fillId="0" borderId="0" xfId="0" applyNumberFormat="1" applyFont="1" applyFill="1"/>
    <xf numFmtId="0" fontId="66" fillId="0" borderId="0" xfId="0" applyFont="1" applyFill="1" applyAlignment="1" applyProtection="1">
      <alignment horizontal="centerContinuous"/>
      <protection locked="0"/>
    </xf>
    <xf numFmtId="0" fontId="67" fillId="0" borderId="6" xfId="0" applyFont="1" applyFill="1" applyBorder="1"/>
    <xf numFmtId="0" fontId="67" fillId="0" borderId="0" xfId="0" applyFont="1" applyFill="1" applyProtection="1">
      <protection locked="0"/>
    </xf>
    <xf numFmtId="0" fontId="66" fillId="0" borderId="0" xfId="0" applyFont="1" applyFill="1" applyAlignment="1" applyProtection="1">
      <alignment horizontal="center"/>
      <protection locked="0"/>
    </xf>
    <xf numFmtId="0" fontId="67" fillId="0" borderId="0" xfId="0" applyFont="1" applyFill="1" applyAlignment="1">
      <alignment horizontal="center"/>
    </xf>
    <xf numFmtId="0" fontId="67" fillId="0" borderId="6" xfId="0" applyFont="1" applyFill="1" applyBorder="1" applyAlignment="1">
      <alignment horizontal="center"/>
    </xf>
    <xf numFmtId="0" fontId="67" fillId="0" borderId="0" xfId="0" applyFont="1" applyFill="1" applyAlignment="1" applyProtection="1">
      <alignment horizontal="center"/>
      <protection locked="0"/>
    </xf>
    <xf numFmtId="0" fontId="66" fillId="0" borderId="0" xfId="0" applyFont="1" applyFill="1"/>
    <xf numFmtId="176" fontId="67" fillId="0" borderId="0" xfId="0" applyNumberFormat="1" applyFont="1" applyFill="1" applyAlignment="1" applyProtection="1">
      <alignment horizontal="center"/>
      <protection locked="0"/>
    </xf>
    <xf numFmtId="0" fontId="67" fillId="0" borderId="6" xfId="0" applyFont="1" applyFill="1" applyBorder="1" applyAlignment="1" applyProtection="1">
      <alignment horizontal="center"/>
      <protection locked="0"/>
    </xf>
    <xf numFmtId="174" fontId="67" fillId="0" borderId="0" xfId="0" applyNumberFormat="1" applyFont="1" applyFill="1" applyProtection="1">
      <protection locked="0"/>
    </xf>
    <xf numFmtId="4" fontId="67" fillId="0" borderId="0" xfId="0" applyNumberFormat="1" applyFont="1" applyFill="1" applyAlignment="1">
      <alignment vertical="center" wrapText="1"/>
    </xf>
    <xf numFmtId="0" fontId="67" fillId="0" borderId="0" xfId="0" applyFont="1" applyFill="1" applyAlignment="1">
      <alignment vertical="center" wrapText="1"/>
    </xf>
    <xf numFmtId="39" fontId="67" fillId="0" borderId="0" xfId="0" applyNumberFormat="1" applyFont="1" applyFill="1"/>
    <xf numFmtId="39" fontId="67" fillId="0" borderId="0" xfId="0" applyNumberFormat="1" applyFont="1" applyFill="1" applyProtection="1">
      <protection locked="0"/>
    </xf>
    <xf numFmtId="4" fontId="67" fillId="0" borderId="0" xfId="0" applyNumberFormat="1" applyFont="1" applyFill="1" applyProtection="1">
      <protection locked="0"/>
    </xf>
    <xf numFmtId="0" fontId="67" fillId="0" borderId="29" xfId="0" applyFont="1" applyFill="1" applyBorder="1" applyAlignment="1">
      <alignment horizontal="center"/>
    </xf>
    <xf numFmtId="3" fontId="38" fillId="0" borderId="0" xfId="0" applyNumberFormat="1" applyFont="1" applyFill="1" applyAlignment="1">
      <alignment horizontal="center"/>
    </xf>
    <xf numFmtId="3" fontId="38" fillId="0" borderId="9" xfId="0" applyNumberFormat="1" applyFont="1" applyFill="1" applyBorder="1" applyAlignment="1">
      <alignment horizontal="center"/>
    </xf>
    <xf numFmtId="2" fontId="70" fillId="0" borderId="0" xfId="0" applyNumberFormat="1" applyFont="1" applyFill="1" applyAlignment="1">
      <alignment horizontal="centerContinuous"/>
    </xf>
    <xf numFmtId="4" fontId="37" fillId="0" borderId="0" xfId="0" applyNumberFormat="1" applyFont="1" applyFill="1" applyAlignment="1">
      <alignment horizontal="centerContinuous"/>
    </xf>
    <xf numFmtId="4" fontId="37" fillId="0" borderId="29" xfId="0" applyNumberFormat="1" applyFont="1" applyFill="1" applyBorder="1" applyAlignment="1">
      <alignment horizontal="center"/>
    </xf>
    <xf numFmtId="4" fontId="71" fillId="0" borderId="0" xfId="0" applyNumberFormat="1" applyFont="1" applyFill="1" applyAlignment="1">
      <alignment horizontal="centerContinuous"/>
    </xf>
    <xf numFmtId="4" fontId="65" fillId="0" borderId="0" xfId="0" applyNumberFormat="1" applyFont="1" applyFill="1"/>
    <xf numFmtId="3" fontId="69" fillId="0" borderId="0" xfId="0" applyNumberFormat="1" applyFont="1" applyFill="1"/>
    <xf numFmtId="0" fontId="67" fillId="0" borderId="0" xfId="0" applyNumberFormat="1" applyFont="1" applyFill="1"/>
    <xf numFmtId="10" fontId="38" fillId="0" borderId="0" xfId="0" applyNumberFormat="1" applyFont="1" applyFill="1"/>
    <xf numFmtId="3" fontId="66" fillId="0" borderId="0" xfId="9" applyNumberFormat="1" applyFont="1" applyFill="1" applyAlignment="1">
      <alignment horizontal="centerContinuous"/>
    </xf>
    <xf numFmtId="0" fontId="67" fillId="0" borderId="0" xfId="0" applyNumberFormat="1" applyFont="1" applyFill="1" applyAlignment="1">
      <alignment horizontal="centerContinuous"/>
    </xf>
    <xf numFmtId="4" fontId="67" fillId="0" borderId="9" xfId="0" applyNumberFormat="1" applyFont="1" applyFill="1" applyBorder="1"/>
    <xf numFmtId="0" fontId="36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0" fillId="0" borderId="0" xfId="0" applyFill="1"/>
    <xf numFmtId="0" fontId="34" fillId="0" borderId="0" xfId="0" applyFont="1" applyFill="1" applyAlignment="1">
      <alignment horizontal="center"/>
    </xf>
    <xf numFmtId="0" fontId="37" fillId="0" borderId="0" xfId="0" applyFont="1" applyFill="1" applyAlignment="1">
      <alignment horizontal="center"/>
    </xf>
    <xf numFmtId="0" fontId="37" fillId="0" borderId="0" xfId="0" applyFont="1" applyFill="1"/>
    <xf numFmtId="0" fontId="0" fillId="2" borderId="15" xfId="0" applyNumberFormat="1" applyBorder="1" applyAlignment="1">
      <alignment horizontal="center"/>
    </xf>
    <xf numFmtId="0" fontId="0" fillId="2" borderId="16" xfId="0" applyNumberFormat="1" applyBorder="1" applyAlignment="1">
      <alignment horizontal="center"/>
    </xf>
    <xf numFmtId="0" fontId="0" fillId="2" borderId="17" xfId="0" applyNumberFormat="1" applyBorder="1" applyAlignment="1">
      <alignment horizontal="center"/>
    </xf>
    <xf numFmtId="0" fontId="13" fillId="4" borderId="0" xfId="0" applyNumberFormat="1" applyFont="1" applyFill="1" applyAlignment="1">
      <alignment horizontal="center"/>
    </xf>
    <xf numFmtId="0" fontId="15" fillId="4" borderId="20" xfId="0" applyNumberFormat="1" applyFont="1" applyFill="1" applyBorder="1" applyAlignment="1">
      <alignment horizontal="center"/>
    </xf>
    <xf numFmtId="0" fontId="15" fillId="4" borderId="0" xfId="0" applyNumberFormat="1" applyFont="1" applyFill="1" applyBorder="1" applyAlignment="1">
      <alignment horizontal="center"/>
    </xf>
    <xf numFmtId="0" fontId="15" fillId="4" borderId="30" xfId="0" applyNumberFormat="1" applyFont="1" applyFill="1" applyBorder="1" applyAlignment="1">
      <alignment horizontal="center"/>
    </xf>
    <xf numFmtId="0" fontId="15" fillId="4" borderId="0" xfId="0" applyNumberFormat="1" applyFont="1" applyFill="1" applyAlignment="1">
      <alignment horizontal="center"/>
    </xf>
    <xf numFmtId="0" fontId="37" fillId="0" borderId="29" xfId="0" applyFont="1" applyFill="1" applyBorder="1" applyAlignment="1">
      <alignment horizontal="center"/>
    </xf>
    <xf numFmtId="0" fontId="37" fillId="7" borderId="11" xfId="0" applyFont="1" applyFill="1" applyBorder="1" applyAlignment="1">
      <alignment horizontal="center"/>
    </xf>
    <xf numFmtId="0" fontId="37" fillId="7" borderId="30" xfId="0" applyFont="1" applyFill="1" applyBorder="1" applyAlignment="1">
      <alignment horizontal="center"/>
    </xf>
    <xf numFmtId="0" fontId="37" fillId="9" borderId="11" xfId="0" applyFont="1" applyFill="1" applyBorder="1" applyAlignment="1">
      <alignment horizontal="center"/>
    </xf>
    <xf numFmtId="0" fontId="37" fillId="9" borderId="30" xfId="0" applyFont="1" applyFill="1" applyBorder="1" applyAlignment="1">
      <alignment horizontal="center"/>
    </xf>
    <xf numFmtId="0" fontId="37" fillId="10" borderId="29" xfId="0" applyFont="1" applyFill="1" applyBorder="1" applyAlignment="1">
      <alignment horizontal="center"/>
    </xf>
    <xf numFmtId="0" fontId="37" fillId="10" borderId="11" xfId="0" applyFont="1" applyFill="1" applyBorder="1" applyAlignment="1">
      <alignment horizontal="center"/>
    </xf>
    <xf numFmtId="173" fontId="37" fillId="11" borderId="11" xfId="0" applyNumberFormat="1" applyFont="1" applyFill="1" applyBorder="1" applyAlignment="1">
      <alignment horizontal="center"/>
    </xf>
    <xf numFmtId="173" fontId="37" fillId="11" borderId="30" xfId="0" applyNumberFormat="1" applyFont="1" applyFill="1" applyBorder="1" applyAlignment="1">
      <alignment horizontal="center"/>
    </xf>
    <xf numFmtId="173" fontId="37" fillId="11" borderId="22" xfId="0" applyNumberFormat="1" applyFont="1" applyFill="1" applyBorder="1" applyAlignment="1">
      <alignment horizontal="center"/>
    </xf>
    <xf numFmtId="0" fontId="67" fillId="0" borderId="29" xfId="0" applyFont="1" applyFill="1" applyBorder="1" applyAlignment="1">
      <alignment horizontal="center"/>
    </xf>
    <xf numFmtId="0" fontId="67" fillId="0" borderId="19" xfId="0" applyFont="1" applyFill="1" applyBorder="1" applyAlignment="1">
      <alignment horizontal="center"/>
    </xf>
    <xf numFmtId="0" fontId="67" fillId="0" borderId="21" xfId="0" applyFont="1" applyFill="1" applyBorder="1" applyAlignment="1">
      <alignment horizontal="center"/>
    </xf>
    <xf numFmtId="0" fontId="67" fillId="0" borderId="8" xfId="0" applyFont="1" applyFill="1" applyBorder="1" applyAlignment="1">
      <alignment horizontal="center"/>
    </xf>
    <xf numFmtId="0" fontId="67" fillId="0" borderId="10" xfId="0" applyFont="1" applyFill="1" applyBorder="1" applyAlignment="1">
      <alignment horizontal="center"/>
    </xf>
    <xf numFmtId="0" fontId="67" fillId="0" borderId="11" xfId="0" applyFont="1" applyFill="1" applyBorder="1" applyAlignment="1">
      <alignment horizontal="center"/>
    </xf>
    <xf numFmtId="0" fontId="67" fillId="0" borderId="32" xfId="0" applyFont="1" applyFill="1" applyBorder="1" applyAlignment="1">
      <alignment horizontal="center"/>
    </xf>
    <xf numFmtId="0" fontId="67" fillId="0" borderId="22" xfId="0" applyFont="1" applyFill="1" applyBorder="1" applyAlignment="1">
      <alignment horizontal="center"/>
    </xf>
    <xf numFmtId="0" fontId="67" fillId="0" borderId="26" xfId="0" applyFont="1" applyFill="1" applyBorder="1" applyAlignment="1">
      <alignment horizontal="center"/>
    </xf>
    <xf numFmtId="0" fontId="67" fillId="0" borderId="14" xfId="0" applyFont="1" applyFill="1" applyBorder="1" applyAlignment="1">
      <alignment horizontal="center"/>
    </xf>
    <xf numFmtId="0" fontId="67" fillId="0" borderId="18" xfId="0" applyFont="1" applyFill="1" applyBorder="1" applyAlignment="1">
      <alignment horizontal="center"/>
    </xf>
  </cellXfs>
  <cellStyles count="11">
    <cellStyle name="Accent5" xfId="1" builtinId="45"/>
    <cellStyle name="Comma" xfId="2" builtinId="3"/>
    <cellStyle name="Comma 2" xfId="7"/>
    <cellStyle name="Normal" xfId="0" builtinId="0"/>
    <cellStyle name="Normal 2" xfId="5"/>
    <cellStyle name="Normal 3" xfId="6"/>
    <cellStyle name="Normal_Depr Sch" xfId="10"/>
    <cellStyle name="Normal_Sheet2" xfId="9"/>
    <cellStyle name="Normal_Sheet3" xfId="8"/>
    <cellStyle name="Percent" xfId="3" builtinId="5"/>
    <cellStyle name="Percent 2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14</xdr:row>
          <xdr:rowOff>171450</xdr:rowOff>
        </xdr:from>
        <xdr:to>
          <xdr:col>2</xdr:col>
          <xdr:colOff>352425</xdr:colOff>
          <xdr:row>16</xdr:row>
          <xdr:rowOff>19050</xdr:rowOff>
        </xdr:to>
        <xdr:sp macro="" textlink="">
          <xdr:nvSpPr>
            <xdr:cNvPr id="2051" name="CheckBox1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="" xmlns:a16="http://schemas.microsoft.com/office/drawing/2014/main" id="{00000000-0008-0000-04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495300</xdr:colOff>
          <xdr:row>39</xdr:row>
          <xdr:rowOff>114300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="" xmlns:a16="http://schemas.microsoft.com/office/drawing/2014/main" id="{00000000-0008-0000-07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8</xdr:col>
          <xdr:colOff>504825</xdr:colOff>
          <xdr:row>47</xdr:row>
          <xdr:rowOff>142875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="" xmlns:a16="http://schemas.microsoft.com/office/drawing/2014/main" id="{00000000-0008-0000-0A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0</xdr:rowOff>
        </xdr:from>
        <xdr:to>
          <xdr:col>8</xdr:col>
          <xdr:colOff>504825</xdr:colOff>
          <xdr:row>87</xdr:row>
          <xdr:rowOff>142875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="" xmlns:a16="http://schemas.microsoft.com/office/drawing/2014/main" id="{00000000-0008-0000-0A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89</xdr:row>
          <xdr:rowOff>0</xdr:rowOff>
        </xdr:from>
        <xdr:to>
          <xdr:col>8</xdr:col>
          <xdr:colOff>504825</xdr:colOff>
          <xdr:row>127</xdr:row>
          <xdr:rowOff>95250</xdr:rowOff>
        </xdr:to>
        <xdr:sp macro="" textlink="">
          <xdr:nvSpPr>
            <xdr:cNvPr id="57347" name="Object 3" hidden="1">
              <a:extLst>
                <a:ext uri="{63B3BB69-23CF-44E3-9099-C40C66FF867C}">
                  <a14:compatExt spid="_x0000_s57347"/>
                </a:ext>
                <a:ext uri="{FF2B5EF4-FFF2-40B4-BE49-F238E27FC236}">
                  <a16:creationId xmlns="" xmlns:a16="http://schemas.microsoft.com/office/drawing/2014/main" id="{00000000-0008-0000-0A00-00000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129</xdr:row>
          <xdr:rowOff>0</xdr:rowOff>
        </xdr:from>
        <xdr:to>
          <xdr:col>8</xdr:col>
          <xdr:colOff>495300</xdr:colOff>
          <xdr:row>168</xdr:row>
          <xdr:rowOff>114300</xdr:rowOff>
        </xdr:to>
        <xdr:sp macro="" textlink="">
          <xdr:nvSpPr>
            <xdr:cNvPr id="57348" name="Object 4" hidden="1">
              <a:extLst>
                <a:ext uri="{63B3BB69-23CF-44E3-9099-C40C66FF867C}">
                  <a14:compatExt spid="_x0000_s57348"/>
                </a:ext>
                <a:ext uri="{FF2B5EF4-FFF2-40B4-BE49-F238E27FC236}">
                  <a16:creationId xmlns="" xmlns:a16="http://schemas.microsoft.com/office/drawing/2014/main" id="{00000000-0008-0000-0A00-00000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8</xdr:col>
          <xdr:colOff>495300</xdr:colOff>
          <xdr:row>40</xdr:row>
          <xdr:rowOff>114300</xdr:rowOff>
        </xdr:to>
        <xdr:sp macro="" textlink="">
          <xdr:nvSpPr>
            <xdr:cNvPr id="73729" name="Object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="" xmlns:a16="http://schemas.microsoft.com/office/drawing/2014/main" id="{00000000-0008-0000-0B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0</xdr:rowOff>
        </xdr:from>
        <xdr:to>
          <xdr:col>8</xdr:col>
          <xdr:colOff>495300</xdr:colOff>
          <xdr:row>80</xdr:row>
          <xdr:rowOff>114300</xdr:rowOff>
        </xdr:to>
        <xdr:sp macro="" textlink="">
          <xdr:nvSpPr>
            <xdr:cNvPr id="73730" name="Object 2" hidden="1">
              <a:extLst>
                <a:ext uri="{63B3BB69-23CF-44E3-9099-C40C66FF867C}">
                  <a14:compatExt spid="_x0000_s73730"/>
                </a:ext>
                <a:ext uri="{FF2B5EF4-FFF2-40B4-BE49-F238E27FC236}">
                  <a16:creationId xmlns="" xmlns:a16="http://schemas.microsoft.com/office/drawing/2014/main" id="{00000000-0008-0000-0B00-000002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8</xdr:col>
          <xdr:colOff>495300</xdr:colOff>
          <xdr:row>41</xdr:row>
          <xdr:rowOff>114300</xdr:rowOff>
        </xdr:to>
        <xdr:sp macro="" textlink="">
          <xdr:nvSpPr>
            <xdr:cNvPr id="74753" name="Object 1" hidden="1">
              <a:extLst>
                <a:ext uri="{63B3BB69-23CF-44E3-9099-C40C66FF867C}">
                  <a14:compatExt spid="_x0000_s74753"/>
                </a:ext>
                <a:ext uri="{FF2B5EF4-FFF2-40B4-BE49-F238E27FC236}">
                  <a16:creationId xmlns="" xmlns:a16="http://schemas.microsoft.com/office/drawing/2014/main" id="{00000000-0008-0000-1400-0000012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%20Data/WasteWise%20Methow/2014%20WUTC%20Rate%20Case/Results%2012-31-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%20Data/WasteWise%20Methow/2014%20WUTC%20Rate%20Case/Documents%20to%20WUTC%20on%205-15-14/Results%2012-31-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 P&amp;L"/>
      <sheetName val="Pro Forma Results"/>
      <sheetName val="Restating Adj"/>
      <sheetName val="Pro Forma Adj"/>
      <sheetName val="Lurito - Refuse"/>
      <sheetName val="Disposal Tonnage-Historical"/>
      <sheetName val="Fuel Cost"/>
      <sheetName val="Depr Schedule-G Activity"/>
      <sheetName val="Can Count"/>
      <sheetName val="Payroll by Employee"/>
      <sheetName val="Labor &amp; Industries Adjustment"/>
      <sheetName val="Unemployment Tax Adj"/>
      <sheetName val="Legal &amp; Accounting "/>
      <sheetName val="Tax Analysis"/>
      <sheetName val="Revenue Adj"/>
      <sheetName val="Rent Expense"/>
      <sheetName val="Rate Case Expense"/>
    </sheetNames>
    <sheetDataSet>
      <sheetData sheetId="0">
        <row r="18">
          <cell r="C18" t="str">
            <v>Truck &amp; Cart Maint/Shop Expenses</v>
          </cell>
        </row>
        <row r="19">
          <cell r="C19" t="str">
            <v>Shop Supplies</v>
          </cell>
        </row>
        <row r="20">
          <cell r="C20" t="str">
            <v>Snow Removal</v>
          </cell>
        </row>
        <row r="21">
          <cell r="C21" t="str">
            <v>Driver payroll</v>
          </cell>
        </row>
        <row r="22">
          <cell r="C22" t="str">
            <v>Fuel &amp; Oil</v>
          </cell>
        </row>
        <row r="23">
          <cell r="C23" t="str">
            <v>Disposal Fees &amp; Charges</v>
          </cell>
        </row>
        <row r="24">
          <cell r="C24" t="str">
            <v>Advertising</v>
          </cell>
        </row>
        <row r="25">
          <cell r="C25" t="str">
            <v>Insurance</v>
          </cell>
        </row>
        <row r="26">
          <cell r="C26" t="str">
            <v>Officer payroll</v>
          </cell>
        </row>
        <row r="27">
          <cell r="C27" t="str">
            <v>Office supplies</v>
          </cell>
        </row>
        <row r="28">
          <cell r="C28" t="str">
            <v>Drug Testing</v>
          </cell>
        </row>
        <row r="29">
          <cell r="C29" t="str">
            <v>Dues</v>
          </cell>
        </row>
        <row r="30">
          <cell r="C30" t="str">
            <v xml:space="preserve">Legal &amp; accounting-regulatory </v>
          </cell>
        </row>
        <row r="31">
          <cell r="C31" t="str">
            <v>Communications and utilities</v>
          </cell>
        </row>
        <row r="32">
          <cell r="C32" t="str">
            <v>Employee welfare</v>
          </cell>
        </row>
        <row r="33">
          <cell r="C33" t="str">
            <v>Travel</v>
          </cell>
        </row>
        <row r="34">
          <cell r="C34" t="str">
            <v>Other General Expenses</v>
          </cell>
        </row>
        <row r="35">
          <cell r="C35" t="str">
            <v>Depreciation</v>
          </cell>
        </row>
        <row r="36">
          <cell r="C36" t="str">
            <v>Operating Taxes &amp; Licenses</v>
          </cell>
        </row>
        <row r="37">
          <cell r="C37" t="str">
            <v>Vehicle Licenses &amp; Registration</v>
          </cell>
        </row>
        <row r="38">
          <cell r="C38" t="str">
            <v>Real &amp; Personal Property Taxes</v>
          </cell>
        </row>
        <row r="39">
          <cell r="C39" t="str">
            <v>Payroll Taxes</v>
          </cell>
        </row>
        <row r="40">
          <cell r="C40" t="str">
            <v>Building rent</v>
          </cell>
        </row>
        <row r="41">
          <cell r="C41" t="str">
            <v>Other Disposal Expense</v>
          </cell>
        </row>
        <row r="42">
          <cell r="C42" t="str">
            <v>Total expenses</v>
          </cell>
        </row>
        <row r="43">
          <cell r="B43" t="str">
            <v>Operating Income</v>
          </cell>
        </row>
        <row r="45">
          <cell r="B45" t="str">
            <v>Other Income/(Expense)</v>
          </cell>
        </row>
        <row r="46">
          <cell r="C46" t="str">
            <v>Interest Income</v>
          </cell>
        </row>
        <row r="47">
          <cell r="C47" t="str">
            <v>Interest expense</v>
          </cell>
        </row>
        <row r="48">
          <cell r="C48" t="str">
            <v>Rent Income</v>
          </cell>
        </row>
        <row r="49">
          <cell r="C49" t="str">
            <v>Total other income (expense)</v>
          </cell>
        </row>
        <row r="50">
          <cell r="B50" t="str">
            <v>Net Income Before taxes</v>
          </cell>
        </row>
        <row r="51">
          <cell r="B51" t="str">
            <v>Provision for income tax</v>
          </cell>
        </row>
        <row r="52">
          <cell r="B52" t="str">
            <v>Net Income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 P&amp;L"/>
      <sheetName val="Pro Forma Results"/>
      <sheetName val="Restating Adj"/>
      <sheetName val="Pro Forma Adj"/>
      <sheetName val="Lurito - Refuse"/>
      <sheetName val="Disposal Tonnage-Historical"/>
      <sheetName val="Fuel Cost"/>
      <sheetName val="Depr Schedule-G Activity"/>
      <sheetName val="Can Count"/>
      <sheetName val="Payroll by Employee"/>
      <sheetName val="Labor &amp; Industries Adjustment"/>
      <sheetName val="Unemployment Tax Adj"/>
      <sheetName val="Legal &amp; Accounting "/>
      <sheetName val="Tax Analysis"/>
      <sheetName val="Revenue Adj"/>
      <sheetName val="Rent Expense"/>
      <sheetName val="Rate Case Expense"/>
    </sheetNames>
    <sheetDataSet>
      <sheetData sheetId="0">
        <row r="7">
          <cell r="C7" t="str">
            <v>Residential</v>
          </cell>
        </row>
        <row r="8">
          <cell r="C8" t="str">
            <v>Commercial</v>
          </cell>
        </row>
        <row r="9">
          <cell r="C9" t="str">
            <v>Drop Box Revenue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WasteWise Methow</v>
          </cell>
        </row>
        <row r="2">
          <cell r="A2" t="str">
            <v>Analysis of Taxes</v>
          </cell>
        </row>
        <row r="3">
          <cell r="A3" t="str">
            <v>For the year ended December 31, 2013</v>
          </cell>
        </row>
      </sheetData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3.bin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2.bin"/><Relationship Id="rId9" Type="http://schemas.openxmlformats.org/officeDocument/2006/relationships/image" Target="../media/image5.emf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8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7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56"/>
  <sheetViews>
    <sheetView topLeftCell="A103" zoomScaleNormal="100" workbookViewId="0">
      <selection activeCell="A3" sqref="A3:N3"/>
    </sheetView>
  </sheetViews>
  <sheetFormatPr defaultRowHeight="15"/>
  <cols>
    <col min="1" max="1" width="29" bestFit="1" customWidth="1"/>
    <col min="2" max="13" width="9.77734375" bestFit="1" customWidth="1"/>
    <col min="14" max="14" width="10.77734375" bestFit="1" customWidth="1"/>
    <col min="15" max="15" width="10.33203125" bestFit="1" customWidth="1"/>
  </cols>
  <sheetData>
    <row r="1" spans="1:18" ht="18.75">
      <c r="A1" s="441" t="s">
        <v>128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203"/>
      <c r="P1" s="203"/>
      <c r="Q1" s="203"/>
      <c r="R1" s="203"/>
    </row>
    <row r="2" spans="1:18" ht="18.75">
      <c r="A2" s="441" t="s">
        <v>129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203"/>
      <c r="P2" s="203"/>
      <c r="Q2" s="203"/>
      <c r="R2" s="203"/>
    </row>
    <row r="3" spans="1:18">
      <c r="A3" s="443" t="s">
        <v>130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203"/>
      <c r="P3" s="203"/>
      <c r="Q3" s="203"/>
      <c r="R3" s="203"/>
    </row>
    <row r="4" spans="1:18">
      <c r="A4" s="204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3"/>
      <c r="P4" s="203"/>
      <c r="Q4" s="203"/>
      <c r="R4" s="203"/>
    </row>
    <row r="5" spans="1:18" ht="15.75">
      <c r="A5" s="205"/>
      <c r="B5" s="206" t="s">
        <v>131</v>
      </c>
      <c r="C5" s="206" t="s">
        <v>132</v>
      </c>
      <c r="D5" s="206" t="s">
        <v>133</v>
      </c>
      <c r="E5" s="206" t="s">
        <v>134</v>
      </c>
      <c r="F5" s="206" t="s">
        <v>135</v>
      </c>
      <c r="G5" s="206" t="s">
        <v>136</v>
      </c>
      <c r="H5" s="206" t="s">
        <v>137</v>
      </c>
      <c r="I5" s="206" t="s">
        <v>138</v>
      </c>
      <c r="J5" s="206" t="s">
        <v>139</v>
      </c>
      <c r="K5" s="206" t="s">
        <v>140</v>
      </c>
      <c r="L5" s="206" t="s">
        <v>141</v>
      </c>
      <c r="M5" s="206" t="s">
        <v>142</v>
      </c>
      <c r="N5" s="206" t="s">
        <v>103</v>
      </c>
      <c r="O5" s="203"/>
      <c r="P5" s="203"/>
      <c r="Q5" s="203"/>
      <c r="R5" s="203"/>
    </row>
    <row r="6" spans="1:18" ht="15.75">
      <c r="A6" s="207" t="s">
        <v>143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3"/>
      <c r="P6" s="203"/>
      <c r="Q6" s="203"/>
      <c r="R6" s="203"/>
    </row>
    <row r="7" spans="1:18" ht="15.75">
      <c r="A7" s="207" t="s">
        <v>144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9">
        <f t="shared" ref="N7:N20" si="0">(((((((((((B7)+(C7))+(D7))+(E7))+(F7))+(G7))+(H7))+(I7))+(J7))+(K7))+(L7))+(M7)</f>
        <v>0</v>
      </c>
      <c r="O7" s="203"/>
      <c r="P7" s="203"/>
      <c r="Q7" s="203"/>
      <c r="R7" s="203"/>
    </row>
    <row r="8" spans="1:18" ht="15.75">
      <c r="A8" s="207" t="s">
        <v>145</v>
      </c>
      <c r="B8" s="209">
        <f>16459.98</f>
        <v>16459.98</v>
      </c>
      <c r="C8" s="209">
        <f>11797.91</f>
        <v>11797.91</v>
      </c>
      <c r="D8" s="209">
        <f>13269.27</f>
        <v>13269.27</v>
      </c>
      <c r="E8" s="209">
        <f>15679.57</f>
        <v>15679.57</v>
      </c>
      <c r="F8" s="209">
        <f>14132.68</f>
        <v>14132.68</v>
      </c>
      <c r="G8" s="209">
        <f>15188.6</f>
        <v>15188.6</v>
      </c>
      <c r="H8" s="209">
        <f>14097.89</f>
        <v>14097.89</v>
      </c>
      <c r="I8" s="209">
        <f>16135.63</f>
        <v>16135.63</v>
      </c>
      <c r="J8" s="209">
        <f>15639.09</f>
        <v>15639.09</v>
      </c>
      <c r="K8" s="209">
        <f>15920.39</f>
        <v>15920.39</v>
      </c>
      <c r="L8" s="209">
        <f>15071.48</f>
        <v>15071.48</v>
      </c>
      <c r="M8" s="209">
        <f>14531.03</f>
        <v>14531.03</v>
      </c>
      <c r="N8" s="209">
        <f t="shared" si="0"/>
        <v>177923.52000000002</v>
      </c>
      <c r="O8" s="203"/>
      <c r="P8" s="203"/>
      <c r="Q8" s="203"/>
      <c r="R8" s="203"/>
    </row>
    <row r="9" spans="1:18" ht="15.75">
      <c r="A9" s="207" t="s">
        <v>146</v>
      </c>
      <c r="B9" s="209">
        <f>8061.78</f>
        <v>8061.78</v>
      </c>
      <c r="C9" s="209">
        <f>5781.76</f>
        <v>5781.76</v>
      </c>
      <c r="D9" s="209">
        <f>7598.87</f>
        <v>7598.87</v>
      </c>
      <c r="E9" s="209">
        <f>8254.42</f>
        <v>8254.42</v>
      </c>
      <c r="F9" s="209">
        <f>7697.64</f>
        <v>7697.64</v>
      </c>
      <c r="G9" s="209">
        <f>7636.67</f>
        <v>7636.67</v>
      </c>
      <c r="H9" s="209">
        <f>8202.07</f>
        <v>8202.07</v>
      </c>
      <c r="I9" s="209">
        <f>10120.61</f>
        <v>10120.61</v>
      </c>
      <c r="J9" s="209">
        <f>7864.88</f>
        <v>7864.88</v>
      </c>
      <c r="K9" s="209">
        <f>9467.6</f>
        <v>9467.6</v>
      </c>
      <c r="L9" s="209">
        <f>7603.19</f>
        <v>7603.19</v>
      </c>
      <c r="M9" s="209">
        <f>8452.56</f>
        <v>8452.56</v>
      </c>
      <c r="N9" s="209">
        <f t="shared" si="0"/>
        <v>96742.05</v>
      </c>
      <c r="O9" s="203"/>
      <c r="P9" s="203"/>
      <c r="Q9" s="203"/>
      <c r="R9" s="203"/>
    </row>
    <row r="10" spans="1:18" ht="15.75">
      <c r="A10" s="207" t="s">
        <v>147</v>
      </c>
      <c r="B10" s="209">
        <f>31389.45</f>
        <v>31389.45</v>
      </c>
      <c r="C10" s="209">
        <f>25334.55</f>
        <v>25334.55</v>
      </c>
      <c r="D10" s="209">
        <f>27523.82</f>
        <v>27523.82</v>
      </c>
      <c r="E10" s="209">
        <f>34490.5</f>
        <v>34490.5</v>
      </c>
      <c r="F10" s="209">
        <f>39492.82</f>
        <v>39492.82</v>
      </c>
      <c r="G10" s="209">
        <f>38378.7</f>
        <v>38378.699999999997</v>
      </c>
      <c r="H10" s="209">
        <f>30673.63</f>
        <v>30673.63</v>
      </c>
      <c r="I10" s="209">
        <f>65842.63</f>
        <v>65842.63</v>
      </c>
      <c r="J10" s="209">
        <f>44438.81</f>
        <v>44438.81</v>
      </c>
      <c r="K10" s="209">
        <f>45354.07</f>
        <v>45354.07</v>
      </c>
      <c r="L10" s="209">
        <f>43031</f>
        <v>43031</v>
      </c>
      <c r="M10" s="209">
        <f>29160.24</f>
        <v>29160.240000000002</v>
      </c>
      <c r="N10" s="209">
        <f t="shared" si="0"/>
        <v>455110.22000000003</v>
      </c>
      <c r="O10" s="203"/>
      <c r="P10" s="203"/>
      <c r="Q10" s="203"/>
      <c r="R10" s="203"/>
    </row>
    <row r="11" spans="1:18" ht="15.75">
      <c r="A11" s="207" t="s">
        <v>148</v>
      </c>
      <c r="B11" s="209">
        <f>5177.01</f>
        <v>5177.01</v>
      </c>
      <c r="C11" s="209">
        <f>1292.96</f>
        <v>1292.96</v>
      </c>
      <c r="D11" s="209">
        <f>4207.25</f>
        <v>4207.25</v>
      </c>
      <c r="E11" s="209">
        <f>3088.8</f>
        <v>3088.8</v>
      </c>
      <c r="F11" s="209">
        <f>8772.08</f>
        <v>8772.08</v>
      </c>
      <c r="G11" s="209">
        <f>10004.59</f>
        <v>10004.59</v>
      </c>
      <c r="H11" s="209">
        <f>9951.61</f>
        <v>9951.61</v>
      </c>
      <c r="I11" s="209">
        <f>12480.32</f>
        <v>12480.32</v>
      </c>
      <c r="J11" s="209">
        <f>19948.7</f>
        <v>19948.7</v>
      </c>
      <c r="K11" s="209">
        <f>11588.79</f>
        <v>11588.79</v>
      </c>
      <c r="L11" s="209">
        <f>9549.01</f>
        <v>9549.01</v>
      </c>
      <c r="M11" s="209">
        <f>6520.21</f>
        <v>6520.21</v>
      </c>
      <c r="N11" s="209">
        <f t="shared" si="0"/>
        <v>102581.33000000002</v>
      </c>
      <c r="O11" s="203"/>
      <c r="P11" s="203"/>
      <c r="Q11" s="203"/>
      <c r="R11" s="203"/>
    </row>
    <row r="12" spans="1:18" ht="15.75">
      <c r="A12" s="207" t="s">
        <v>149</v>
      </c>
      <c r="B12" s="208"/>
      <c r="C12" s="208"/>
      <c r="D12" s="208"/>
      <c r="E12" s="208"/>
      <c r="F12" s="209">
        <f>4700</f>
        <v>4700</v>
      </c>
      <c r="G12" s="208"/>
      <c r="H12" s="208"/>
      <c r="I12" s="208"/>
      <c r="J12" s="208"/>
      <c r="K12" s="208"/>
      <c r="L12" s="208"/>
      <c r="M12" s="208"/>
      <c r="N12" s="209">
        <f t="shared" si="0"/>
        <v>4700</v>
      </c>
      <c r="O12" s="203"/>
      <c r="P12" s="203"/>
      <c r="Q12" s="203"/>
      <c r="R12" s="203"/>
    </row>
    <row r="13" spans="1:18" ht="15.75">
      <c r="A13" s="207" t="s">
        <v>150</v>
      </c>
      <c r="B13" s="209">
        <f>909.7</f>
        <v>909.7</v>
      </c>
      <c r="C13" s="209">
        <f>1074.6</f>
        <v>1074.5999999999999</v>
      </c>
      <c r="D13" s="209">
        <f>854.26</f>
        <v>854.26</v>
      </c>
      <c r="E13" s="209">
        <f>931.09</f>
        <v>931.09</v>
      </c>
      <c r="F13" s="209">
        <f>1465.39</f>
        <v>1465.39</v>
      </c>
      <c r="G13" s="209">
        <f>2641.16</f>
        <v>2641.16</v>
      </c>
      <c r="H13" s="209">
        <f>3233.18</f>
        <v>3233.18</v>
      </c>
      <c r="I13" s="209">
        <f>4239.25</f>
        <v>4239.25</v>
      </c>
      <c r="J13" s="209">
        <f>3593.56</f>
        <v>3593.56</v>
      </c>
      <c r="K13" s="209">
        <f>3131.96</f>
        <v>3131.96</v>
      </c>
      <c r="L13" s="209">
        <f>2285.28</f>
        <v>2285.2800000000002</v>
      </c>
      <c r="M13" s="209">
        <f>800.84</f>
        <v>800.84</v>
      </c>
      <c r="N13" s="209">
        <f t="shared" si="0"/>
        <v>25160.269999999997</v>
      </c>
      <c r="O13" s="203"/>
      <c r="P13" s="203"/>
      <c r="Q13" s="203"/>
      <c r="R13" s="203"/>
    </row>
    <row r="14" spans="1:18" ht="15.75">
      <c r="A14" s="207" t="s">
        <v>151</v>
      </c>
      <c r="B14" s="210">
        <f t="shared" ref="B14:M14" si="1">((((((B7)+(B8))+(B9))+(B10))+(B11))+(B12))+(B13)</f>
        <v>61997.919999999998</v>
      </c>
      <c r="C14" s="210">
        <f t="shared" si="1"/>
        <v>45281.78</v>
      </c>
      <c r="D14" s="210">
        <f t="shared" si="1"/>
        <v>53453.47</v>
      </c>
      <c r="E14" s="210">
        <f t="shared" si="1"/>
        <v>62444.38</v>
      </c>
      <c r="F14" s="210">
        <f t="shared" si="1"/>
        <v>76260.61</v>
      </c>
      <c r="G14" s="210">
        <f t="shared" si="1"/>
        <v>73849.72</v>
      </c>
      <c r="H14" s="210">
        <f t="shared" si="1"/>
        <v>66158.37999999999</v>
      </c>
      <c r="I14" s="210">
        <f t="shared" si="1"/>
        <v>108818.44</v>
      </c>
      <c r="J14" s="210">
        <f t="shared" si="1"/>
        <v>91485.04</v>
      </c>
      <c r="K14" s="210">
        <f t="shared" si="1"/>
        <v>85462.810000000012</v>
      </c>
      <c r="L14" s="210">
        <f t="shared" si="1"/>
        <v>77539.959999999992</v>
      </c>
      <c r="M14" s="210">
        <f t="shared" si="1"/>
        <v>59464.88</v>
      </c>
      <c r="N14" s="210">
        <f t="shared" si="0"/>
        <v>862217.39</v>
      </c>
      <c r="O14" s="203"/>
      <c r="P14" s="203"/>
      <c r="Q14" s="203"/>
      <c r="R14" s="203"/>
    </row>
    <row r="15" spans="1:18" ht="15.75">
      <c r="A15" s="207" t="s">
        <v>152</v>
      </c>
      <c r="B15" s="209">
        <f>5913.7</f>
        <v>5913.7</v>
      </c>
      <c r="C15" s="209">
        <f>4283.6</f>
        <v>4283.6000000000004</v>
      </c>
      <c r="D15" s="209">
        <f>5712.8</f>
        <v>5712.8</v>
      </c>
      <c r="E15" s="209">
        <f>7067.6</f>
        <v>7067.6</v>
      </c>
      <c r="F15" s="209">
        <f>7460.2</f>
        <v>7460.2</v>
      </c>
      <c r="G15" s="209">
        <f>9267.6</f>
        <v>9267.6</v>
      </c>
      <c r="H15" s="209">
        <f>5512.98</f>
        <v>5512.98</v>
      </c>
      <c r="I15" s="209">
        <f>10242.6</f>
        <v>10242.6</v>
      </c>
      <c r="J15" s="209">
        <f>7700.2</f>
        <v>7700.2</v>
      </c>
      <c r="K15" s="209">
        <f>9097.6</f>
        <v>9097.6</v>
      </c>
      <c r="L15" s="209">
        <f>8397.45</f>
        <v>8397.4500000000007</v>
      </c>
      <c r="M15" s="209">
        <f>6337.8</f>
        <v>6337.8</v>
      </c>
      <c r="N15" s="209">
        <f t="shared" si="0"/>
        <v>86994.12999999999</v>
      </c>
      <c r="O15" s="203"/>
      <c r="P15" s="203"/>
      <c r="Q15" s="203"/>
      <c r="R15" s="203"/>
    </row>
    <row r="16" spans="1:18" ht="15.75">
      <c r="A16" s="207" t="s">
        <v>153</v>
      </c>
      <c r="B16" s="209">
        <f>1595</f>
        <v>1595</v>
      </c>
      <c r="C16" s="209">
        <f>1285</f>
        <v>1285</v>
      </c>
      <c r="D16" s="209">
        <f>490</f>
        <v>490</v>
      </c>
      <c r="E16" s="209">
        <f>1835</f>
        <v>1835</v>
      </c>
      <c r="F16" s="209">
        <f>1390</f>
        <v>1390</v>
      </c>
      <c r="G16" s="209">
        <f>1908.5</f>
        <v>1908.5</v>
      </c>
      <c r="H16" s="209">
        <f>1009.75</f>
        <v>1009.75</v>
      </c>
      <c r="I16" s="209">
        <f>2796.99</f>
        <v>2796.99</v>
      </c>
      <c r="J16" s="209">
        <f>1595</f>
        <v>1595</v>
      </c>
      <c r="K16" s="209">
        <f>1322</f>
        <v>1322</v>
      </c>
      <c r="L16" s="209">
        <f>787.5</f>
        <v>787.5</v>
      </c>
      <c r="M16" s="209">
        <f>627.72</f>
        <v>627.72</v>
      </c>
      <c r="N16" s="209">
        <f t="shared" si="0"/>
        <v>16642.46</v>
      </c>
      <c r="O16" s="203"/>
      <c r="P16" s="203"/>
      <c r="Q16" s="203"/>
      <c r="R16" s="203"/>
    </row>
    <row r="17" spans="1:18" ht="15.75">
      <c r="A17" s="207" t="s">
        <v>154</v>
      </c>
      <c r="B17" s="209">
        <f>6348.98</f>
        <v>6348.98</v>
      </c>
      <c r="C17" s="209">
        <f>6081.6</f>
        <v>6081.6</v>
      </c>
      <c r="D17" s="209">
        <f>5582.2</f>
        <v>5582.2</v>
      </c>
      <c r="E17" s="209">
        <f>6601.2</f>
        <v>6601.2</v>
      </c>
      <c r="F17" s="209">
        <f>6192.4</f>
        <v>6192.4</v>
      </c>
      <c r="G17" s="209">
        <f>6638.2</f>
        <v>6638.2</v>
      </c>
      <c r="H17" s="209">
        <f>6192.4</f>
        <v>6192.4</v>
      </c>
      <c r="I17" s="209">
        <f>7179.2</f>
        <v>7179.2</v>
      </c>
      <c r="J17" s="209">
        <f>6727.2</f>
        <v>6727.2</v>
      </c>
      <c r="K17" s="209">
        <f>7751.8</f>
        <v>7751.8</v>
      </c>
      <c r="L17" s="209">
        <f>7273</f>
        <v>7273</v>
      </c>
      <c r="M17" s="209">
        <f>6933</f>
        <v>6933</v>
      </c>
      <c r="N17" s="209">
        <f t="shared" si="0"/>
        <v>79501.179999999993</v>
      </c>
      <c r="O17" s="203"/>
      <c r="P17" s="203"/>
      <c r="Q17" s="203"/>
      <c r="R17" s="203"/>
    </row>
    <row r="18" spans="1:18" ht="15.75">
      <c r="A18" s="207" t="s">
        <v>155</v>
      </c>
      <c r="B18" s="210">
        <f t="shared" ref="B18:M18" si="2">((B15)+(B16))+(B17)</f>
        <v>13857.68</v>
      </c>
      <c r="C18" s="210">
        <f t="shared" si="2"/>
        <v>11650.2</v>
      </c>
      <c r="D18" s="210">
        <f t="shared" si="2"/>
        <v>11785</v>
      </c>
      <c r="E18" s="210">
        <f t="shared" si="2"/>
        <v>15503.8</v>
      </c>
      <c r="F18" s="210">
        <f t="shared" si="2"/>
        <v>15042.6</v>
      </c>
      <c r="G18" s="210">
        <f t="shared" si="2"/>
        <v>17814.3</v>
      </c>
      <c r="H18" s="210">
        <f t="shared" si="2"/>
        <v>12715.13</v>
      </c>
      <c r="I18" s="210">
        <f t="shared" si="2"/>
        <v>20218.79</v>
      </c>
      <c r="J18" s="210">
        <f t="shared" si="2"/>
        <v>16022.400000000001</v>
      </c>
      <c r="K18" s="210">
        <f t="shared" si="2"/>
        <v>18171.400000000001</v>
      </c>
      <c r="L18" s="210">
        <f t="shared" si="2"/>
        <v>16457.95</v>
      </c>
      <c r="M18" s="210">
        <f t="shared" si="2"/>
        <v>13898.52</v>
      </c>
      <c r="N18" s="210">
        <f t="shared" si="0"/>
        <v>183137.77000000002</v>
      </c>
      <c r="O18" s="203"/>
      <c r="P18" s="203"/>
      <c r="Q18" s="203"/>
      <c r="R18" s="203"/>
    </row>
    <row r="19" spans="1:18" ht="15.75">
      <c r="A19" s="207" t="s">
        <v>156</v>
      </c>
      <c r="B19" s="210">
        <f t="shared" ref="B19:M19" si="3">(B14)+(B18)</f>
        <v>75855.600000000006</v>
      </c>
      <c r="C19" s="210">
        <f t="shared" si="3"/>
        <v>56931.979999999996</v>
      </c>
      <c r="D19" s="210">
        <f t="shared" si="3"/>
        <v>65238.47</v>
      </c>
      <c r="E19" s="210">
        <f t="shared" si="3"/>
        <v>77948.179999999993</v>
      </c>
      <c r="F19" s="210">
        <f t="shared" si="3"/>
        <v>91303.21</v>
      </c>
      <c r="G19" s="210">
        <f t="shared" si="3"/>
        <v>91664.02</v>
      </c>
      <c r="H19" s="210">
        <f t="shared" si="3"/>
        <v>78873.509999999995</v>
      </c>
      <c r="I19" s="210">
        <f t="shared" si="3"/>
        <v>129037.23000000001</v>
      </c>
      <c r="J19" s="210">
        <f t="shared" si="3"/>
        <v>107507.44</v>
      </c>
      <c r="K19" s="210">
        <f t="shared" si="3"/>
        <v>103634.21000000002</v>
      </c>
      <c r="L19" s="210">
        <f t="shared" si="3"/>
        <v>93997.909999999989</v>
      </c>
      <c r="M19" s="210">
        <f t="shared" si="3"/>
        <v>73363.399999999994</v>
      </c>
      <c r="N19" s="210">
        <f t="shared" si="0"/>
        <v>1045355.1599999999</v>
      </c>
      <c r="O19" s="203"/>
      <c r="P19" s="203"/>
      <c r="Q19" s="203"/>
      <c r="R19" s="203"/>
    </row>
    <row r="20" spans="1:18" ht="15.75">
      <c r="A20" s="207" t="s">
        <v>157</v>
      </c>
      <c r="B20" s="210">
        <f t="shared" ref="B20:M20" si="4">(B19)-(0)</f>
        <v>75855.600000000006</v>
      </c>
      <c r="C20" s="210">
        <f t="shared" si="4"/>
        <v>56931.979999999996</v>
      </c>
      <c r="D20" s="210">
        <f t="shared" si="4"/>
        <v>65238.47</v>
      </c>
      <c r="E20" s="210">
        <f t="shared" si="4"/>
        <v>77948.179999999993</v>
      </c>
      <c r="F20" s="210">
        <f t="shared" si="4"/>
        <v>91303.21</v>
      </c>
      <c r="G20" s="210">
        <f t="shared" si="4"/>
        <v>91664.02</v>
      </c>
      <c r="H20" s="210">
        <f t="shared" si="4"/>
        <v>78873.509999999995</v>
      </c>
      <c r="I20" s="210">
        <f t="shared" si="4"/>
        <v>129037.23000000001</v>
      </c>
      <c r="J20" s="210">
        <f t="shared" si="4"/>
        <v>107507.44</v>
      </c>
      <c r="K20" s="210">
        <f t="shared" si="4"/>
        <v>103634.21000000002</v>
      </c>
      <c r="L20" s="210">
        <f t="shared" si="4"/>
        <v>93997.909999999989</v>
      </c>
      <c r="M20" s="210">
        <f t="shared" si="4"/>
        <v>73363.399999999994</v>
      </c>
      <c r="N20" s="210">
        <f t="shared" si="0"/>
        <v>1045355.1599999999</v>
      </c>
      <c r="O20" s="203"/>
      <c r="P20" s="203"/>
      <c r="Q20" s="203"/>
      <c r="R20" s="203"/>
    </row>
    <row r="21" spans="1:18" ht="15.75">
      <c r="A21" s="207" t="s">
        <v>158</v>
      </c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3"/>
      <c r="P21" s="203"/>
      <c r="Q21" s="203"/>
      <c r="R21" s="203"/>
    </row>
    <row r="22" spans="1:18" ht="15.75">
      <c r="A22" s="207" t="s">
        <v>159</v>
      </c>
      <c r="B22" s="208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9">
        <f t="shared" ref="N22:N85" si="5">(((((((((((B22)+(C22))+(D22))+(E22))+(F22))+(G22))+(H22))+(I22))+(J22))+(K22))+(L22))+(M22)</f>
        <v>0</v>
      </c>
      <c r="O22" s="203"/>
      <c r="P22" s="203"/>
      <c r="Q22" s="203"/>
      <c r="R22" s="203"/>
    </row>
    <row r="23" spans="1:18" ht="15.75">
      <c r="A23" s="207" t="s">
        <v>160</v>
      </c>
      <c r="B23" s="209">
        <f>60</f>
        <v>60</v>
      </c>
      <c r="C23" s="209">
        <f>865.6</f>
        <v>865.6</v>
      </c>
      <c r="D23" s="209">
        <f>60</f>
        <v>60</v>
      </c>
      <c r="E23" s="209">
        <f>60</f>
        <v>60</v>
      </c>
      <c r="F23" s="209">
        <f>60</f>
        <v>60</v>
      </c>
      <c r="G23" s="209">
        <f>470</f>
        <v>470</v>
      </c>
      <c r="H23" s="209">
        <f>60</f>
        <v>60</v>
      </c>
      <c r="I23" s="209">
        <f>75</f>
        <v>75</v>
      </c>
      <c r="J23" s="209">
        <f>60</f>
        <v>60</v>
      </c>
      <c r="K23" s="209">
        <f>135</f>
        <v>135</v>
      </c>
      <c r="L23" s="208"/>
      <c r="M23" s="209">
        <f>60</f>
        <v>60</v>
      </c>
      <c r="N23" s="209">
        <f t="shared" si="5"/>
        <v>1965.6</v>
      </c>
      <c r="O23" s="203"/>
      <c r="P23" s="203"/>
      <c r="Q23" s="203"/>
      <c r="R23" s="203"/>
    </row>
    <row r="24" spans="1:18" ht="15.75">
      <c r="A24" s="207" t="s">
        <v>161</v>
      </c>
      <c r="B24" s="208"/>
      <c r="C24" s="209">
        <f>150</f>
        <v>150</v>
      </c>
      <c r="D24" s="209">
        <f>300</f>
        <v>300</v>
      </c>
      <c r="E24" s="208"/>
      <c r="F24" s="209">
        <f>200</f>
        <v>200</v>
      </c>
      <c r="G24" s="209">
        <f>150</f>
        <v>150</v>
      </c>
      <c r="H24" s="209">
        <f>300</f>
        <v>300</v>
      </c>
      <c r="I24" s="209">
        <f>150</f>
        <v>150</v>
      </c>
      <c r="J24" s="208"/>
      <c r="K24" s="209">
        <f>150</f>
        <v>150</v>
      </c>
      <c r="L24" s="209">
        <f>150</f>
        <v>150</v>
      </c>
      <c r="M24" s="209">
        <f>300</f>
        <v>300</v>
      </c>
      <c r="N24" s="209">
        <f t="shared" si="5"/>
        <v>1850</v>
      </c>
      <c r="O24" s="203"/>
      <c r="P24" s="203"/>
      <c r="Q24" s="203"/>
      <c r="R24" s="203"/>
    </row>
    <row r="25" spans="1:18" ht="15.75">
      <c r="A25" s="207" t="s">
        <v>162</v>
      </c>
      <c r="B25" s="208"/>
      <c r="C25" s="208"/>
      <c r="D25" s="209">
        <f>395</f>
        <v>395</v>
      </c>
      <c r="E25" s="209">
        <f>750</f>
        <v>750</v>
      </c>
      <c r="F25" s="208"/>
      <c r="G25" s="209">
        <f>100</f>
        <v>100</v>
      </c>
      <c r="H25" s="209">
        <f>100</f>
        <v>100</v>
      </c>
      <c r="I25" s="209">
        <f>895</f>
        <v>895</v>
      </c>
      <c r="J25" s="208"/>
      <c r="K25" s="208"/>
      <c r="L25" s="208"/>
      <c r="M25" s="208"/>
      <c r="N25" s="209">
        <f t="shared" si="5"/>
        <v>2240</v>
      </c>
      <c r="O25" s="203"/>
      <c r="P25" s="203"/>
      <c r="Q25" s="203"/>
      <c r="R25" s="203"/>
    </row>
    <row r="26" spans="1:18" ht="15.75">
      <c r="A26" s="207" t="s">
        <v>163</v>
      </c>
      <c r="B26" s="208"/>
      <c r="C26" s="209">
        <f>484.86</f>
        <v>484.86</v>
      </c>
      <c r="D26" s="209">
        <f>-435.57</f>
        <v>-435.57</v>
      </c>
      <c r="E26" s="208"/>
      <c r="F26" s="209">
        <f>75</f>
        <v>75</v>
      </c>
      <c r="G26" s="208"/>
      <c r="H26" s="208"/>
      <c r="I26" s="208"/>
      <c r="J26" s="208"/>
      <c r="K26" s="208"/>
      <c r="L26" s="208"/>
      <c r="M26" s="209">
        <f>233.47</f>
        <v>233.47</v>
      </c>
      <c r="N26" s="209">
        <f t="shared" si="5"/>
        <v>357.76</v>
      </c>
      <c r="O26" s="203"/>
      <c r="P26" s="203"/>
      <c r="Q26" s="203"/>
      <c r="R26" s="203"/>
    </row>
    <row r="27" spans="1:18" ht="15.75">
      <c r="A27" s="207" t="s">
        <v>164</v>
      </c>
      <c r="B27" s="210">
        <f t="shared" ref="B27:M27" si="6">((((B22)+(B23))+(B24))+(B25))+(B26)</f>
        <v>60</v>
      </c>
      <c r="C27" s="210">
        <f t="shared" si="6"/>
        <v>1500.46</v>
      </c>
      <c r="D27" s="210">
        <f t="shared" si="6"/>
        <v>319.43</v>
      </c>
      <c r="E27" s="210">
        <f t="shared" si="6"/>
        <v>810</v>
      </c>
      <c r="F27" s="210">
        <f t="shared" si="6"/>
        <v>335</v>
      </c>
      <c r="G27" s="210">
        <f t="shared" si="6"/>
        <v>720</v>
      </c>
      <c r="H27" s="210">
        <f t="shared" si="6"/>
        <v>460</v>
      </c>
      <c r="I27" s="210">
        <f t="shared" si="6"/>
        <v>1120</v>
      </c>
      <c r="J27" s="210">
        <f t="shared" si="6"/>
        <v>60</v>
      </c>
      <c r="K27" s="210">
        <f t="shared" si="6"/>
        <v>285</v>
      </c>
      <c r="L27" s="210">
        <f t="shared" si="6"/>
        <v>150</v>
      </c>
      <c r="M27" s="210">
        <f t="shared" si="6"/>
        <v>593.47</v>
      </c>
      <c r="N27" s="210">
        <f t="shared" si="5"/>
        <v>6413.3600000000006</v>
      </c>
      <c r="O27" s="203"/>
      <c r="P27" s="203"/>
      <c r="Q27" s="203"/>
      <c r="R27" s="203"/>
    </row>
    <row r="28" spans="1:18" ht="15.75">
      <c r="A28" s="207" t="s">
        <v>165</v>
      </c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9">
        <f>65</f>
        <v>65</v>
      </c>
      <c r="N28" s="209">
        <f t="shared" si="5"/>
        <v>65</v>
      </c>
      <c r="O28" s="203"/>
      <c r="P28" s="203"/>
      <c r="Q28" s="203"/>
      <c r="R28" s="203"/>
    </row>
    <row r="29" spans="1:18" ht="15.75">
      <c r="A29" s="207" t="s">
        <v>166</v>
      </c>
      <c r="B29" s="208"/>
      <c r="C29" s="209">
        <f>100</f>
        <v>100</v>
      </c>
      <c r="D29" s="209">
        <f>600</f>
        <v>600</v>
      </c>
      <c r="E29" s="209">
        <f>100</f>
        <v>100</v>
      </c>
      <c r="F29" s="208"/>
      <c r="G29" s="208"/>
      <c r="H29" s="208"/>
      <c r="I29" s="208"/>
      <c r="J29" s="208"/>
      <c r="K29" s="209">
        <f>100</f>
        <v>100</v>
      </c>
      <c r="L29" s="208"/>
      <c r="M29" s="209">
        <f>500</f>
        <v>500</v>
      </c>
      <c r="N29" s="209">
        <f t="shared" si="5"/>
        <v>1400</v>
      </c>
      <c r="O29" s="203"/>
      <c r="P29" s="203"/>
      <c r="Q29" s="203"/>
      <c r="R29" s="203"/>
    </row>
    <row r="30" spans="1:18" ht="15.75">
      <c r="A30" s="207" t="s">
        <v>167</v>
      </c>
      <c r="B30" s="209">
        <f>267.8</f>
        <v>267.8</v>
      </c>
      <c r="C30" s="208"/>
      <c r="D30" s="209">
        <f>73.08</f>
        <v>73.08</v>
      </c>
      <c r="E30" s="208"/>
      <c r="F30" s="209">
        <f>73.08</f>
        <v>73.08</v>
      </c>
      <c r="G30" s="208"/>
      <c r="H30" s="208"/>
      <c r="I30" s="208"/>
      <c r="J30" s="209">
        <f>73.08</f>
        <v>73.08</v>
      </c>
      <c r="K30" s="209">
        <f>103</f>
        <v>103</v>
      </c>
      <c r="L30" s="208"/>
      <c r="M30" s="208"/>
      <c r="N30" s="209">
        <f t="shared" si="5"/>
        <v>590.04</v>
      </c>
      <c r="O30" s="203"/>
      <c r="P30" s="203"/>
      <c r="Q30" s="203"/>
      <c r="R30" s="203"/>
    </row>
    <row r="31" spans="1:18" ht="15.75">
      <c r="A31" s="207" t="s">
        <v>168</v>
      </c>
      <c r="B31" s="208"/>
      <c r="C31" s="208"/>
      <c r="D31" s="208"/>
      <c r="E31" s="208"/>
      <c r="F31" s="209">
        <f>75</f>
        <v>75</v>
      </c>
      <c r="G31" s="208"/>
      <c r="H31" s="208"/>
      <c r="I31" s="208"/>
      <c r="J31" s="208"/>
      <c r="K31" s="208"/>
      <c r="L31" s="208"/>
      <c r="M31" s="208"/>
      <c r="N31" s="209">
        <f t="shared" si="5"/>
        <v>75</v>
      </c>
      <c r="O31" s="203"/>
      <c r="P31" s="203"/>
      <c r="Q31" s="203"/>
      <c r="R31" s="203"/>
    </row>
    <row r="32" spans="1:18" ht="15.75">
      <c r="A32" s="207" t="s">
        <v>169</v>
      </c>
      <c r="B32" s="208"/>
      <c r="C32" s="208"/>
      <c r="D32" s="209">
        <f>150</f>
        <v>150</v>
      </c>
      <c r="E32" s="208"/>
      <c r="F32" s="209">
        <f>75</f>
        <v>75</v>
      </c>
      <c r="G32" s="208"/>
      <c r="H32" s="208"/>
      <c r="I32" s="208"/>
      <c r="J32" s="208"/>
      <c r="K32" s="208"/>
      <c r="L32" s="208"/>
      <c r="M32" s="208"/>
      <c r="N32" s="209">
        <f t="shared" si="5"/>
        <v>225</v>
      </c>
      <c r="O32" s="203"/>
      <c r="P32" s="203"/>
      <c r="Q32" s="203"/>
      <c r="R32" s="203"/>
    </row>
    <row r="33" spans="1:18" ht="15.75">
      <c r="A33" s="207" t="s">
        <v>170</v>
      </c>
      <c r="B33" s="209">
        <f>350</f>
        <v>350</v>
      </c>
      <c r="C33" s="209">
        <f>350</f>
        <v>350</v>
      </c>
      <c r="D33" s="209">
        <f>350</f>
        <v>350</v>
      </c>
      <c r="E33" s="209">
        <f>350</f>
        <v>350</v>
      </c>
      <c r="F33" s="209">
        <f>350</f>
        <v>350</v>
      </c>
      <c r="G33" s="209">
        <f>350</f>
        <v>350</v>
      </c>
      <c r="H33" s="209">
        <f>350</f>
        <v>350</v>
      </c>
      <c r="I33" s="209">
        <f>350</f>
        <v>350</v>
      </c>
      <c r="J33" s="209">
        <f>350</f>
        <v>350</v>
      </c>
      <c r="K33" s="209">
        <f>350</f>
        <v>350</v>
      </c>
      <c r="L33" s="209">
        <f>350</f>
        <v>350</v>
      </c>
      <c r="M33" s="209">
        <f>350</f>
        <v>350</v>
      </c>
      <c r="N33" s="209">
        <f t="shared" si="5"/>
        <v>4200</v>
      </c>
      <c r="O33" s="203"/>
      <c r="P33" s="203"/>
      <c r="Q33" s="203"/>
      <c r="R33" s="203"/>
    </row>
    <row r="34" spans="1:18" ht="15.75">
      <c r="A34" s="207" t="s">
        <v>171</v>
      </c>
      <c r="B34" s="210">
        <f t="shared" ref="B34:M34" si="7">((B31)+(B32))+(B33)</f>
        <v>350</v>
      </c>
      <c r="C34" s="210">
        <f t="shared" si="7"/>
        <v>350</v>
      </c>
      <c r="D34" s="210">
        <f t="shared" si="7"/>
        <v>500</v>
      </c>
      <c r="E34" s="210">
        <f t="shared" si="7"/>
        <v>350</v>
      </c>
      <c r="F34" s="210">
        <f t="shared" si="7"/>
        <v>500</v>
      </c>
      <c r="G34" s="210">
        <f t="shared" si="7"/>
        <v>350</v>
      </c>
      <c r="H34" s="210">
        <f t="shared" si="7"/>
        <v>350</v>
      </c>
      <c r="I34" s="210">
        <f t="shared" si="7"/>
        <v>350</v>
      </c>
      <c r="J34" s="210">
        <f t="shared" si="7"/>
        <v>350</v>
      </c>
      <c r="K34" s="210">
        <f t="shared" si="7"/>
        <v>350</v>
      </c>
      <c r="L34" s="210">
        <f t="shared" si="7"/>
        <v>350</v>
      </c>
      <c r="M34" s="210">
        <f t="shared" si="7"/>
        <v>350</v>
      </c>
      <c r="N34" s="210">
        <f t="shared" si="5"/>
        <v>4500</v>
      </c>
      <c r="O34" s="203"/>
      <c r="P34" s="203"/>
      <c r="Q34" s="203"/>
      <c r="R34" s="203"/>
    </row>
    <row r="35" spans="1:18" ht="15.75">
      <c r="A35" s="207" t="s">
        <v>172</v>
      </c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9">
        <f t="shared" si="5"/>
        <v>0</v>
      </c>
      <c r="O35" s="203"/>
      <c r="P35" s="203"/>
      <c r="Q35" s="203"/>
      <c r="R35" s="203"/>
    </row>
    <row r="36" spans="1:18" ht="15.75">
      <c r="A36" s="207" t="s">
        <v>173</v>
      </c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9">
        <f t="shared" si="5"/>
        <v>0</v>
      </c>
      <c r="O36" s="203"/>
      <c r="P36" s="203"/>
      <c r="Q36" s="203"/>
      <c r="R36" s="203"/>
    </row>
    <row r="37" spans="1:18" ht="15.75">
      <c r="A37" s="207" t="s">
        <v>174</v>
      </c>
      <c r="B37" s="208"/>
      <c r="C37" s="209">
        <f>1769.07</f>
        <v>1769.07</v>
      </c>
      <c r="D37" s="209">
        <f>1413.6</f>
        <v>1413.6</v>
      </c>
      <c r="E37" s="209">
        <f>1481.09</f>
        <v>1481.09</v>
      </c>
      <c r="F37" s="209">
        <f>1754</f>
        <v>1754</v>
      </c>
      <c r="G37" s="209">
        <f>2067.38</f>
        <v>2067.38</v>
      </c>
      <c r="H37" s="209">
        <f>2022.43</f>
        <v>2022.43</v>
      </c>
      <c r="I37" s="209">
        <f>2530.08</f>
        <v>2530.08</v>
      </c>
      <c r="J37" s="209">
        <f>1999.98</f>
        <v>1999.98</v>
      </c>
      <c r="K37" s="209">
        <f>3992.04</f>
        <v>3992.04</v>
      </c>
      <c r="L37" s="209">
        <f>1828.27</f>
        <v>1828.27</v>
      </c>
      <c r="M37" s="209">
        <f>1506.37</f>
        <v>1506.37</v>
      </c>
      <c r="N37" s="209">
        <f t="shared" si="5"/>
        <v>22364.309999999998</v>
      </c>
      <c r="O37" s="203"/>
      <c r="P37" s="203"/>
      <c r="Q37" s="203"/>
      <c r="R37" s="203"/>
    </row>
    <row r="38" spans="1:18" ht="15.75">
      <c r="A38" s="207" t="s">
        <v>175</v>
      </c>
      <c r="B38" s="208"/>
      <c r="C38" s="209">
        <f>95.67</f>
        <v>95.67</v>
      </c>
      <c r="D38" s="209">
        <f>110.03</f>
        <v>110.03</v>
      </c>
      <c r="E38" s="209">
        <f>120.8</f>
        <v>120.8</v>
      </c>
      <c r="F38" s="209">
        <f>94.61</f>
        <v>94.61</v>
      </c>
      <c r="G38" s="209">
        <f>101.99</f>
        <v>101.99</v>
      </c>
      <c r="H38" s="209">
        <f>104.5</f>
        <v>104.5</v>
      </c>
      <c r="I38" s="209">
        <f>92.88</f>
        <v>92.88</v>
      </c>
      <c r="J38" s="209">
        <f>101.98</f>
        <v>101.98</v>
      </c>
      <c r="K38" s="209">
        <f>206.86</f>
        <v>206.86</v>
      </c>
      <c r="L38" s="209">
        <f>103.01</f>
        <v>103.01</v>
      </c>
      <c r="M38" s="209">
        <f>94.38</f>
        <v>94.38</v>
      </c>
      <c r="N38" s="209">
        <f t="shared" si="5"/>
        <v>1226.71</v>
      </c>
      <c r="O38" s="203"/>
      <c r="P38" s="203"/>
      <c r="Q38" s="203"/>
      <c r="R38" s="203"/>
    </row>
    <row r="39" spans="1:18" ht="15.75">
      <c r="A39" s="207" t="s">
        <v>176</v>
      </c>
      <c r="B39" s="208"/>
      <c r="C39" s="209">
        <f>70.31</f>
        <v>70.31</v>
      </c>
      <c r="D39" s="209">
        <f>51.06</f>
        <v>51.06</v>
      </c>
      <c r="E39" s="209">
        <f>78.84</f>
        <v>78.84</v>
      </c>
      <c r="F39" s="208"/>
      <c r="G39" s="209">
        <f>76.89</f>
        <v>76.89</v>
      </c>
      <c r="H39" s="209">
        <f>72.47</f>
        <v>72.47</v>
      </c>
      <c r="I39" s="208"/>
      <c r="J39" s="208"/>
      <c r="K39" s="209">
        <f>87.54</f>
        <v>87.54</v>
      </c>
      <c r="L39" s="208"/>
      <c r="M39" s="209">
        <f>72.97</f>
        <v>72.97</v>
      </c>
      <c r="N39" s="209">
        <f t="shared" si="5"/>
        <v>510.08000000000004</v>
      </c>
      <c r="O39" s="203"/>
      <c r="P39" s="203"/>
      <c r="Q39" s="203"/>
      <c r="R39" s="203"/>
    </row>
    <row r="40" spans="1:18" ht="15.75">
      <c r="A40" s="207" t="s">
        <v>177</v>
      </c>
      <c r="B40" s="208"/>
      <c r="C40" s="209">
        <f>184.88</f>
        <v>184.88</v>
      </c>
      <c r="D40" s="209">
        <f>179.81</f>
        <v>179.81</v>
      </c>
      <c r="E40" s="209">
        <f>222.17</f>
        <v>222.17</v>
      </c>
      <c r="F40" s="209">
        <f>490.59</f>
        <v>490.59</v>
      </c>
      <c r="G40" s="209">
        <f>480.19</f>
        <v>480.19</v>
      </c>
      <c r="H40" s="209">
        <f>398.03</f>
        <v>398.03</v>
      </c>
      <c r="I40" s="209">
        <f>629.51</f>
        <v>629.51</v>
      </c>
      <c r="J40" s="209">
        <f>599.43</f>
        <v>599.42999999999995</v>
      </c>
      <c r="K40" s="209">
        <f>1110.26</f>
        <v>1110.26</v>
      </c>
      <c r="L40" s="209">
        <f>457.57</f>
        <v>457.57</v>
      </c>
      <c r="M40" s="209">
        <f>611.57</f>
        <v>611.57000000000005</v>
      </c>
      <c r="N40" s="209">
        <f t="shared" si="5"/>
        <v>5364.0099999999993</v>
      </c>
      <c r="O40" s="203"/>
      <c r="P40" s="203"/>
      <c r="Q40" s="203"/>
      <c r="R40" s="203"/>
    </row>
    <row r="41" spans="1:18" ht="15.75">
      <c r="A41" s="207" t="s">
        <v>178</v>
      </c>
      <c r="B41" s="208"/>
      <c r="C41" s="209">
        <f>484.2</f>
        <v>484.2</v>
      </c>
      <c r="D41" s="209">
        <f>265.8</f>
        <v>265.8</v>
      </c>
      <c r="E41" s="209">
        <f>477.28</f>
        <v>477.28</v>
      </c>
      <c r="F41" s="209">
        <f>452.25</f>
        <v>452.25</v>
      </c>
      <c r="G41" s="209">
        <f>577.06</f>
        <v>577.05999999999995</v>
      </c>
      <c r="H41" s="209">
        <f>622.71</f>
        <v>622.71</v>
      </c>
      <c r="I41" s="209">
        <f>484.31</f>
        <v>484.31</v>
      </c>
      <c r="J41" s="209">
        <f>563.55</f>
        <v>563.54999999999995</v>
      </c>
      <c r="K41" s="209">
        <f>1556.93</f>
        <v>1556.93</v>
      </c>
      <c r="L41" s="209">
        <f>749.55</f>
        <v>749.55</v>
      </c>
      <c r="M41" s="209">
        <f>486.78</f>
        <v>486.78</v>
      </c>
      <c r="N41" s="209">
        <f t="shared" si="5"/>
        <v>6720.42</v>
      </c>
      <c r="O41" s="203"/>
      <c r="P41" s="203"/>
      <c r="Q41" s="203"/>
      <c r="R41" s="203"/>
    </row>
    <row r="42" spans="1:18" ht="15.75">
      <c r="A42" s="207" t="s">
        <v>179</v>
      </c>
      <c r="B42" s="210">
        <f t="shared" ref="B42:M42" si="8">(((((B36)+(B37))+(B38))+(B39))+(B40))+(B41)</f>
        <v>0</v>
      </c>
      <c r="C42" s="210">
        <f t="shared" si="8"/>
        <v>2604.1299999999997</v>
      </c>
      <c r="D42" s="210">
        <f t="shared" si="8"/>
        <v>2020.2999999999997</v>
      </c>
      <c r="E42" s="210">
        <f t="shared" si="8"/>
        <v>2380.1799999999998</v>
      </c>
      <c r="F42" s="210">
        <f t="shared" si="8"/>
        <v>2791.45</v>
      </c>
      <c r="G42" s="210">
        <f t="shared" si="8"/>
        <v>3303.5099999999998</v>
      </c>
      <c r="H42" s="210">
        <f t="shared" si="8"/>
        <v>3220.1400000000003</v>
      </c>
      <c r="I42" s="210">
        <f t="shared" si="8"/>
        <v>3736.78</v>
      </c>
      <c r="J42" s="210">
        <f t="shared" si="8"/>
        <v>3264.9399999999996</v>
      </c>
      <c r="K42" s="210">
        <f t="shared" si="8"/>
        <v>6953.63</v>
      </c>
      <c r="L42" s="210">
        <f t="shared" si="8"/>
        <v>3138.3999999999996</v>
      </c>
      <c r="M42" s="210">
        <f t="shared" si="8"/>
        <v>2772.0699999999997</v>
      </c>
      <c r="N42" s="210">
        <f t="shared" si="5"/>
        <v>36185.53</v>
      </c>
      <c r="O42" s="203"/>
      <c r="P42" s="203"/>
      <c r="Q42" s="203"/>
      <c r="R42" s="203"/>
    </row>
    <row r="43" spans="1:18" ht="15.75">
      <c r="A43" s="207" t="s">
        <v>180</v>
      </c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9">
        <f t="shared" si="5"/>
        <v>0</v>
      </c>
      <c r="O43" s="203"/>
      <c r="P43" s="203"/>
      <c r="Q43" s="203"/>
      <c r="R43" s="203"/>
    </row>
    <row r="44" spans="1:18" ht="15.75">
      <c r="A44" s="207" t="s">
        <v>181</v>
      </c>
      <c r="B44" s="208"/>
      <c r="C44" s="209">
        <f>283.61</f>
        <v>283.61</v>
      </c>
      <c r="D44" s="209">
        <f>162.66</f>
        <v>162.66</v>
      </c>
      <c r="E44" s="209">
        <f>100.19</f>
        <v>100.19</v>
      </c>
      <c r="F44" s="209">
        <f>288.68</f>
        <v>288.68</v>
      </c>
      <c r="G44" s="209">
        <f>286.64</f>
        <v>286.64</v>
      </c>
      <c r="H44" s="209">
        <f>264.97</f>
        <v>264.97000000000003</v>
      </c>
      <c r="I44" s="209">
        <f>339.15</f>
        <v>339.15</v>
      </c>
      <c r="J44" s="209">
        <f>206.94</f>
        <v>206.94</v>
      </c>
      <c r="K44" s="209">
        <f>585.61</f>
        <v>585.61</v>
      </c>
      <c r="L44" s="209">
        <f>235.15</f>
        <v>235.15</v>
      </c>
      <c r="M44" s="209">
        <f>199.97</f>
        <v>199.97</v>
      </c>
      <c r="N44" s="209">
        <f t="shared" si="5"/>
        <v>2953.57</v>
      </c>
      <c r="O44" s="203"/>
      <c r="P44" s="203"/>
      <c r="Q44" s="203"/>
      <c r="R44" s="203"/>
    </row>
    <row r="45" spans="1:18" ht="15.75">
      <c r="A45" s="207" t="s">
        <v>175</v>
      </c>
      <c r="B45" s="208"/>
      <c r="C45" s="208"/>
      <c r="D45" s="208"/>
      <c r="E45" s="208"/>
      <c r="F45" s="209">
        <f>8.16</f>
        <v>8.16</v>
      </c>
      <c r="G45" s="208"/>
      <c r="H45" s="208"/>
      <c r="I45" s="208"/>
      <c r="J45" s="208"/>
      <c r="K45" s="208"/>
      <c r="L45" s="208"/>
      <c r="M45" s="208"/>
      <c r="N45" s="209">
        <f t="shared" si="5"/>
        <v>8.16</v>
      </c>
      <c r="O45" s="203"/>
      <c r="P45" s="203"/>
      <c r="Q45" s="203"/>
      <c r="R45" s="203"/>
    </row>
    <row r="46" spans="1:18" ht="15.75">
      <c r="A46" s="207" t="s">
        <v>182</v>
      </c>
      <c r="B46" s="208"/>
      <c r="C46" s="209">
        <f>29.49</f>
        <v>29.49</v>
      </c>
      <c r="D46" s="209">
        <f>44.7</f>
        <v>44.7</v>
      </c>
      <c r="E46" s="209">
        <f>28.8</f>
        <v>28.8</v>
      </c>
      <c r="F46" s="209">
        <f>15.4</f>
        <v>15.4</v>
      </c>
      <c r="G46" s="209">
        <f>19.14</f>
        <v>19.14</v>
      </c>
      <c r="H46" s="209">
        <f>50.99</f>
        <v>50.99</v>
      </c>
      <c r="I46" s="209">
        <f>42.31</f>
        <v>42.31</v>
      </c>
      <c r="J46" s="209">
        <f>15.9</f>
        <v>15.9</v>
      </c>
      <c r="K46" s="209">
        <f>88.77</f>
        <v>88.77</v>
      </c>
      <c r="L46" s="209">
        <f>46.97</f>
        <v>46.97</v>
      </c>
      <c r="M46" s="209">
        <f>47.36</f>
        <v>47.36</v>
      </c>
      <c r="N46" s="209">
        <f t="shared" si="5"/>
        <v>429.83000000000004</v>
      </c>
      <c r="O46" s="203"/>
      <c r="P46" s="203"/>
      <c r="Q46" s="203"/>
      <c r="R46" s="203"/>
    </row>
    <row r="47" spans="1:18" ht="15.75">
      <c r="A47" s="207" t="s">
        <v>183</v>
      </c>
      <c r="B47" s="210">
        <f t="shared" ref="B47:M47" si="9">(((B43)+(B44))+(B45))+(B46)</f>
        <v>0</v>
      </c>
      <c r="C47" s="210">
        <f t="shared" si="9"/>
        <v>313.10000000000002</v>
      </c>
      <c r="D47" s="210">
        <f t="shared" si="9"/>
        <v>207.36</v>
      </c>
      <c r="E47" s="210">
        <f t="shared" si="9"/>
        <v>128.99</v>
      </c>
      <c r="F47" s="210">
        <f t="shared" si="9"/>
        <v>312.24</v>
      </c>
      <c r="G47" s="210">
        <f t="shared" si="9"/>
        <v>305.77999999999997</v>
      </c>
      <c r="H47" s="210">
        <f t="shared" si="9"/>
        <v>315.96000000000004</v>
      </c>
      <c r="I47" s="210">
        <f t="shared" si="9"/>
        <v>381.46</v>
      </c>
      <c r="J47" s="210">
        <f t="shared" si="9"/>
        <v>222.84</v>
      </c>
      <c r="K47" s="210">
        <f t="shared" si="9"/>
        <v>674.38</v>
      </c>
      <c r="L47" s="210">
        <f t="shared" si="9"/>
        <v>282.12</v>
      </c>
      <c r="M47" s="210">
        <f t="shared" si="9"/>
        <v>247.32999999999998</v>
      </c>
      <c r="N47" s="210">
        <f t="shared" si="5"/>
        <v>3391.56</v>
      </c>
      <c r="O47" s="203"/>
      <c r="P47" s="203"/>
      <c r="Q47" s="203"/>
      <c r="R47" s="203"/>
    </row>
    <row r="48" spans="1:18" ht="15.75">
      <c r="A48" s="207" t="s">
        <v>184</v>
      </c>
      <c r="B48" s="208"/>
      <c r="C48" s="208"/>
      <c r="D48" s="209">
        <f>330.29</f>
        <v>330.29</v>
      </c>
      <c r="E48" s="208"/>
      <c r="F48" s="208"/>
      <c r="G48" s="209">
        <f>157.88</f>
        <v>157.88</v>
      </c>
      <c r="H48" s="209">
        <f>160.9</f>
        <v>160.9</v>
      </c>
      <c r="I48" s="208"/>
      <c r="J48" s="208"/>
      <c r="K48" s="208"/>
      <c r="L48" s="208"/>
      <c r="M48" s="209">
        <f>942.97</f>
        <v>942.97</v>
      </c>
      <c r="N48" s="209">
        <f t="shared" si="5"/>
        <v>1592.04</v>
      </c>
      <c r="O48" s="203"/>
      <c r="P48" s="203"/>
      <c r="Q48" s="203"/>
      <c r="R48" s="203"/>
    </row>
    <row r="49" spans="1:18" ht="15.75">
      <c r="A49" s="207" t="s">
        <v>185</v>
      </c>
      <c r="B49" s="210">
        <f t="shared" ref="B49:L49" si="10">(((B35)+(B42))+(B47))+(B48)</f>
        <v>0</v>
      </c>
      <c r="C49" s="210">
        <f t="shared" si="10"/>
        <v>2917.2299999999996</v>
      </c>
      <c r="D49" s="210">
        <f t="shared" si="10"/>
        <v>2557.9499999999998</v>
      </c>
      <c r="E49" s="210">
        <f t="shared" si="10"/>
        <v>2509.17</v>
      </c>
      <c r="F49" s="210">
        <f t="shared" si="10"/>
        <v>3103.6899999999996</v>
      </c>
      <c r="G49" s="210">
        <f t="shared" si="10"/>
        <v>3767.17</v>
      </c>
      <c r="H49" s="210">
        <f t="shared" si="10"/>
        <v>3697.0000000000005</v>
      </c>
      <c r="I49" s="210">
        <f t="shared" si="10"/>
        <v>4118.24</v>
      </c>
      <c r="J49" s="210">
        <f t="shared" si="10"/>
        <v>3487.7799999999997</v>
      </c>
      <c r="K49" s="210">
        <f t="shared" si="10"/>
        <v>7628.01</v>
      </c>
      <c r="L49" s="210">
        <f t="shared" si="10"/>
        <v>3420.5199999999995</v>
      </c>
      <c r="M49" s="210">
        <f>(((M35)+(M42))+(M47))+(M48)</f>
        <v>3962.37</v>
      </c>
      <c r="N49" s="210">
        <f t="shared" si="5"/>
        <v>41169.129999999997</v>
      </c>
      <c r="O49" s="203"/>
      <c r="P49" s="203"/>
      <c r="Q49" s="203"/>
      <c r="R49" s="203"/>
    </row>
    <row r="50" spans="1:18" ht="15.75">
      <c r="A50" s="207" t="s">
        <v>186</v>
      </c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9">
        <f t="shared" si="5"/>
        <v>0</v>
      </c>
      <c r="O50" s="203"/>
      <c r="P50" s="203"/>
      <c r="Q50" s="203"/>
      <c r="R50" s="203"/>
    </row>
    <row r="51" spans="1:18" ht="15.75">
      <c r="A51" s="207" t="s">
        <v>187</v>
      </c>
      <c r="B51" s="208"/>
      <c r="C51" s="208"/>
      <c r="D51" s="208"/>
      <c r="E51" s="209">
        <f>3607.8</f>
        <v>3607.8</v>
      </c>
      <c r="F51" s="209">
        <f t="shared" ref="F51:L51" si="11">1807.42</f>
        <v>1807.42</v>
      </c>
      <c r="G51" s="209">
        <f t="shared" si="11"/>
        <v>1807.42</v>
      </c>
      <c r="H51" s="209">
        <f t="shared" si="11"/>
        <v>1807.42</v>
      </c>
      <c r="I51" s="209">
        <f t="shared" si="11"/>
        <v>1807.42</v>
      </c>
      <c r="J51" s="209">
        <f t="shared" si="11"/>
        <v>1807.42</v>
      </c>
      <c r="K51" s="209">
        <f t="shared" si="11"/>
        <v>1807.42</v>
      </c>
      <c r="L51" s="209">
        <f t="shared" si="11"/>
        <v>1807.42</v>
      </c>
      <c r="M51" s="209">
        <f>5408.26</f>
        <v>5408.26</v>
      </c>
      <c r="N51" s="209">
        <f t="shared" si="5"/>
        <v>21668</v>
      </c>
      <c r="O51" s="203"/>
      <c r="P51" s="203"/>
      <c r="Q51" s="203"/>
      <c r="R51" s="203"/>
    </row>
    <row r="52" spans="1:18" ht="15.75">
      <c r="A52" s="207" t="s">
        <v>188</v>
      </c>
      <c r="B52" s="210">
        <f t="shared" ref="B52:M52" si="12">(B50)+(B51)</f>
        <v>0</v>
      </c>
      <c r="C52" s="210">
        <f t="shared" si="12"/>
        <v>0</v>
      </c>
      <c r="D52" s="210">
        <f t="shared" si="12"/>
        <v>0</v>
      </c>
      <c r="E52" s="210">
        <f t="shared" si="12"/>
        <v>3607.8</v>
      </c>
      <c r="F52" s="210">
        <f t="shared" si="12"/>
        <v>1807.42</v>
      </c>
      <c r="G52" s="210">
        <f t="shared" si="12"/>
        <v>1807.42</v>
      </c>
      <c r="H52" s="210">
        <f t="shared" si="12"/>
        <v>1807.42</v>
      </c>
      <c r="I52" s="210">
        <f t="shared" si="12"/>
        <v>1807.42</v>
      </c>
      <c r="J52" s="210">
        <f t="shared" si="12"/>
        <v>1807.42</v>
      </c>
      <c r="K52" s="210">
        <f t="shared" si="12"/>
        <v>1807.42</v>
      </c>
      <c r="L52" s="210">
        <f t="shared" si="12"/>
        <v>1807.42</v>
      </c>
      <c r="M52" s="210">
        <f t="shared" si="12"/>
        <v>5408.26</v>
      </c>
      <c r="N52" s="210">
        <f t="shared" si="5"/>
        <v>21668</v>
      </c>
      <c r="O52" s="203"/>
      <c r="P52" s="203"/>
      <c r="Q52" s="203"/>
      <c r="R52" s="203"/>
    </row>
    <row r="53" spans="1:18" ht="15.75">
      <c r="A53" s="207" t="s">
        <v>189</v>
      </c>
      <c r="B53" s="209">
        <f>959.52</f>
        <v>959.52</v>
      </c>
      <c r="C53" s="209">
        <f>941.42</f>
        <v>941.42</v>
      </c>
      <c r="D53" s="209">
        <f>923.24</f>
        <v>923.24</v>
      </c>
      <c r="E53" s="209">
        <f>905</f>
        <v>905</v>
      </c>
      <c r="F53" s="209">
        <f>886.66</f>
        <v>886.66</v>
      </c>
      <c r="G53" s="209">
        <f>868.26</f>
        <v>868.26</v>
      </c>
      <c r="H53" s="209">
        <f>869.73</f>
        <v>869.73</v>
      </c>
      <c r="I53" s="209">
        <f>844.74</f>
        <v>844.74</v>
      </c>
      <c r="J53" s="209">
        <f>812.6</f>
        <v>812.6</v>
      </c>
      <c r="K53" s="209">
        <f>818.83</f>
        <v>818.83</v>
      </c>
      <c r="L53" s="209">
        <f>756.22</f>
        <v>756.22</v>
      </c>
      <c r="M53" s="209">
        <f>775.1</f>
        <v>775.1</v>
      </c>
      <c r="N53" s="209">
        <f t="shared" si="5"/>
        <v>10361.32</v>
      </c>
      <c r="O53" s="203"/>
      <c r="P53" s="203"/>
      <c r="Q53" s="203"/>
      <c r="R53" s="203"/>
    </row>
    <row r="54" spans="1:18" ht="15.75">
      <c r="A54" s="207" t="s">
        <v>190</v>
      </c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9">
        <f t="shared" si="5"/>
        <v>0</v>
      </c>
      <c r="O54" s="203"/>
      <c r="P54" s="203"/>
      <c r="Q54" s="203"/>
      <c r="R54" s="203"/>
    </row>
    <row r="55" spans="1:18" ht="15.75">
      <c r="A55" s="207" t="s">
        <v>191</v>
      </c>
      <c r="B55" s="208"/>
      <c r="C55" s="208"/>
      <c r="D55" s="208"/>
      <c r="E55" s="208"/>
      <c r="F55" s="208"/>
      <c r="G55" s="209">
        <f>60</f>
        <v>60</v>
      </c>
      <c r="H55" s="209">
        <f>60</f>
        <v>60</v>
      </c>
      <c r="I55" s="208"/>
      <c r="J55" s="208"/>
      <c r="K55" s="208"/>
      <c r="L55" s="208"/>
      <c r="M55" s="209">
        <f>75</f>
        <v>75</v>
      </c>
      <c r="N55" s="209">
        <f t="shared" si="5"/>
        <v>195</v>
      </c>
      <c r="O55" s="203"/>
      <c r="P55" s="203"/>
      <c r="Q55" s="203"/>
      <c r="R55" s="203"/>
    </row>
    <row r="56" spans="1:18" ht="15.75">
      <c r="A56" s="207" t="s">
        <v>192</v>
      </c>
      <c r="B56" s="208"/>
      <c r="C56" s="208"/>
      <c r="D56" s="208"/>
      <c r="E56" s="208"/>
      <c r="F56" s="208"/>
      <c r="G56" s="208"/>
      <c r="H56" s="209">
        <f>1130.75</f>
        <v>1130.75</v>
      </c>
      <c r="I56" s="209">
        <f>105.5</f>
        <v>105.5</v>
      </c>
      <c r="J56" s="208"/>
      <c r="K56" s="209">
        <f>750.97</f>
        <v>750.97</v>
      </c>
      <c r="L56" s="208"/>
      <c r="M56" s="209">
        <f>854.5</f>
        <v>854.5</v>
      </c>
      <c r="N56" s="209">
        <f t="shared" si="5"/>
        <v>2841.7200000000003</v>
      </c>
      <c r="O56" s="203"/>
      <c r="P56" s="203"/>
      <c r="Q56" s="203"/>
      <c r="R56" s="203"/>
    </row>
    <row r="57" spans="1:18" ht="15.75">
      <c r="A57" s="207" t="s">
        <v>193</v>
      </c>
      <c r="B57" s="210">
        <f t="shared" ref="B57:M57" si="13">((B54)+(B55))+(B56)</f>
        <v>0</v>
      </c>
      <c r="C57" s="210">
        <f t="shared" si="13"/>
        <v>0</v>
      </c>
      <c r="D57" s="210">
        <f t="shared" si="13"/>
        <v>0</v>
      </c>
      <c r="E57" s="210">
        <f t="shared" si="13"/>
        <v>0</v>
      </c>
      <c r="F57" s="210">
        <f t="shared" si="13"/>
        <v>0</v>
      </c>
      <c r="G57" s="210">
        <f t="shared" si="13"/>
        <v>60</v>
      </c>
      <c r="H57" s="210">
        <f t="shared" si="13"/>
        <v>1190.75</v>
      </c>
      <c r="I57" s="210">
        <f t="shared" si="13"/>
        <v>105.5</v>
      </c>
      <c r="J57" s="210">
        <f t="shared" si="13"/>
        <v>0</v>
      </c>
      <c r="K57" s="210">
        <f t="shared" si="13"/>
        <v>750.97</v>
      </c>
      <c r="L57" s="210">
        <f t="shared" si="13"/>
        <v>0</v>
      </c>
      <c r="M57" s="210">
        <f t="shared" si="13"/>
        <v>929.5</v>
      </c>
      <c r="N57" s="210">
        <f t="shared" si="5"/>
        <v>3036.7200000000003</v>
      </c>
      <c r="O57" s="203"/>
      <c r="P57" s="203"/>
      <c r="Q57" s="203"/>
      <c r="R57" s="203"/>
    </row>
    <row r="58" spans="1:18" ht="15.75">
      <c r="A58" s="207" t="s">
        <v>194</v>
      </c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9">
        <f t="shared" si="5"/>
        <v>0</v>
      </c>
      <c r="O58" s="203"/>
      <c r="P58" s="203"/>
      <c r="Q58" s="203"/>
      <c r="R58" s="203"/>
    </row>
    <row r="59" spans="1:18" ht="15.75">
      <c r="A59" s="207" t="s">
        <v>195</v>
      </c>
      <c r="B59" s="208"/>
      <c r="C59" s="208"/>
      <c r="D59" s="209">
        <f>235</f>
        <v>235</v>
      </c>
      <c r="E59" s="208"/>
      <c r="F59" s="208"/>
      <c r="G59" s="208"/>
      <c r="H59" s="208"/>
      <c r="I59" s="208"/>
      <c r="J59" s="208"/>
      <c r="K59" s="208"/>
      <c r="L59" s="208"/>
      <c r="M59" s="208"/>
      <c r="N59" s="209">
        <f t="shared" si="5"/>
        <v>235</v>
      </c>
      <c r="O59" s="203"/>
      <c r="P59" s="203"/>
      <c r="Q59" s="203"/>
      <c r="R59" s="203"/>
    </row>
    <row r="60" spans="1:18" ht="15.75">
      <c r="A60" s="207" t="s">
        <v>196</v>
      </c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9">
        <f>1714.3</f>
        <v>1714.3</v>
      </c>
      <c r="N60" s="209">
        <f t="shared" si="5"/>
        <v>1714.3</v>
      </c>
      <c r="O60" s="203"/>
      <c r="P60" s="203"/>
      <c r="Q60" s="203"/>
      <c r="R60" s="203"/>
    </row>
    <row r="61" spans="1:18" ht="15.75">
      <c r="A61" s="207" t="s">
        <v>197</v>
      </c>
      <c r="B61" s="209">
        <f>366.06</f>
        <v>366.06</v>
      </c>
      <c r="C61" s="209">
        <f>367.02</f>
        <v>367.02</v>
      </c>
      <c r="D61" s="209">
        <f>338.49</f>
        <v>338.49</v>
      </c>
      <c r="E61" s="209">
        <f>331.93</f>
        <v>331.93</v>
      </c>
      <c r="F61" s="209">
        <f>332.44</f>
        <v>332.44</v>
      </c>
      <c r="G61" s="209">
        <f>353.16</f>
        <v>353.16</v>
      </c>
      <c r="H61" s="209">
        <f>410.08</f>
        <v>410.08</v>
      </c>
      <c r="I61" s="209">
        <f>399.67</f>
        <v>399.67</v>
      </c>
      <c r="J61" s="209">
        <f>391.84</f>
        <v>391.84</v>
      </c>
      <c r="K61" s="209">
        <f>468.07</f>
        <v>468.07</v>
      </c>
      <c r="L61" s="209">
        <f>304.86</f>
        <v>304.86</v>
      </c>
      <c r="M61" s="209">
        <f>801.28</f>
        <v>801.28</v>
      </c>
      <c r="N61" s="209">
        <f t="shared" si="5"/>
        <v>4864.9000000000005</v>
      </c>
      <c r="O61" s="203"/>
      <c r="P61" s="203"/>
      <c r="Q61" s="203"/>
      <c r="R61" s="203"/>
    </row>
    <row r="62" spans="1:18" ht="15.75">
      <c r="A62" s="207" t="s">
        <v>198</v>
      </c>
      <c r="B62" s="209">
        <f>215.6</f>
        <v>215.6</v>
      </c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9">
        <f t="shared" si="5"/>
        <v>215.6</v>
      </c>
      <c r="O62" s="203"/>
      <c r="P62" s="203"/>
      <c r="Q62" s="203"/>
      <c r="R62" s="203"/>
    </row>
    <row r="63" spans="1:18" ht="15.75">
      <c r="A63" s="207" t="s">
        <v>199</v>
      </c>
      <c r="B63" s="209">
        <f>128.51</f>
        <v>128.51</v>
      </c>
      <c r="C63" s="209">
        <f>125.13</f>
        <v>125.13</v>
      </c>
      <c r="D63" s="209">
        <f>229.04</f>
        <v>229.04</v>
      </c>
      <c r="E63" s="209">
        <f>124.88</f>
        <v>124.88</v>
      </c>
      <c r="F63" s="209">
        <f>124.88</f>
        <v>124.88</v>
      </c>
      <c r="G63" s="209">
        <f>287.6</f>
        <v>287.60000000000002</v>
      </c>
      <c r="H63" s="209">
        <f>189.97</f>
        <v>189.97</v>
      </c>
      <c r="I63" s="209">
        <f>124.88</f>
        <v>124.88</v>
      </c>
      <c r="J63" s="209">
        <f>124.88</f>
        <v>124.88</v>
      </c>
      <c r="K63" s="209">
        <f>124.88</f>
        <v>124.88</v>
      </c>
      <c r="L63" s="209">
        <f>124.88</f>
        <v>124.88</v>
      </c>
      <c r="M63" s="209">
        <f>258.82</f>
        <v>258.82</v>
      </c>
      <c r="N63" s="209">
        <f t="shared" si="5"/>
        <v>1968.3500000000001</v>
      </c>
      <c r="O63" s="203"/>
      <c r="P63" s="203"/>
      <c r="Q63" s="203"/>
      <c r="R63" s="203"/>
    </row>
    <row r="64" spans="1:18" ht="15.75">
      <c r="A64" s="207" t="s">
        <v>200</v>
      </c>
      <c r="B64" s="208"/>
      <c r="C64" s="208"/>
      <c r="D64" s="208"/>
      <c r="E64" s="208"/>
      <c r="F64" s="208"/>
      <c r="G64" s="208"/>
      <c r="H64" s="208"/>
      <c r="I64" s="208"/>
      <c r="J64" s="209">
        <f>100</f>
        <v>100</v>
      </c>
      <c r="K64" s="209">
        <f>190</f>
        <v>190</v>
      </c>
      <c r="L64" s="208"/>
      <c r="M64" s="208"/>
      <c r="N64" s="209">
        <f t="shared" si="5"/>
        <v>290</v>
      </c>
      <c r="O64" s="203"/>
      <c r="P64" s="203"/>
      <c r="Q64" s="203"/>
      <c r="R64" s="203"/>
    </row>
    <row r="65" spans="1:18" ht="15.75">
      <c r="A65" s="207" t="s">
        <v>201</v>
      </c>
      <c r="B65" s="208"/>
      <c r="C65" s="208"/>
      <c r="D65" s="208"/>
      <c r="E65" s="208"/>
      <c r="F65" s="208"/>
      <c r="G65" s="209">
        <f>76</f>
        <v>76</v>
      </c>
      <c r="H65" s="208"/>
      <c r="I65" s="208"/>
      <c r="J65" s="208"/>
      <c r="K65" s="208"/>
      <c r="L65" s="208"/>
      <c r="M65" s="208"/>
      <c r="N65" s="209">
        <f t="shared" si="5"/>
        <v>76</v>
      </c>
      <c r="O65" s="203"/>
      <c r="P65" s="203"/>
      <c r="Q65" s="203"/>
      <c r="R65" s="203"/>
    </row>
    <row r="66" spans="1:18" ht="15.75">
      <c r="A66" s="207" t="s">
        <v>202</v>
      </c>
      <c r="B66" s="209">
        <f>255.08</f>
        <v>255.08</v>
      </c>
      <c r="C66" s="209">
        <f>252.56</f>
        <v>252.56</v>
      </c>
      <c r="D66" s="209">
        <f>360.04</f>
        <v>360.04</v>
      </c>
      <c r="E66" s="209">
        <f>248.36</f>
        <v>248.36</v>
      </c>
      <c r="F66" s="209">
        <f>246.4</f>
        <v>246.4</v>
      </c>
      <c r="G66" s="209">
        <f>252.56</f>
        <v>252.56</v>
      </c>
      <c r="H66" s="209">
        <f>250.04</f>
        <v>250.04</v>
      </c>
      <c r="I66" s="209">
        <f>543.32</f>
        <v>543.32000000000005</v>
      </c>
      <c r="J66" s="208"/>
      <c r="K66" s="209">
        <f>247.37</f>
        <v>247.37</v>
      </c>
      <c r="L66" s="209">
        <f>292.44</f>
        <v>292.44</v>
      </c>
      <c r="M66" s="209">
        <f>484.32</f>
        <v>484.32</v>
      </c>
      <c r="N66" s="209">
        <f t="shared" si="5"/>
        <v>3432.4900000000002</v>
      </c>
      <c r="O66" s="203"/>
      <c r="P66" s="203"/>
      <c r="Q66" s="203"/>
      <c r="R66" s="203"/>
    </row>
    <row r="67" spans="1:18" ht="15.75">
      <c r="A67" s="207" t="s">
        <v>203</v>
      </c>
      <c r="B67" s="208"/>
      <c r="C67" s="209">
        <f>97.66</f>
        <v>97.66</v>
      </c>
      <c r="D67" s="209">
        <f>199.66</f>
        <v>199.66</v>
      </c>
      <c r="E67" s="209">
        <f>102</f>
        <v>102</v>
      </c>
      <c r="F67" s="208"/>
      <c r="G67" s="209">
        <f>102</f>
        <v>102</v>
      </c>
      <c r="H67" s="209">
        <f>102</f>
        <v>102</v>
      </c>
      <c r="I67" s="209">
        <f>214.84</f>
        <v>214.84</v>
      </c>
      <c r="J67" s="208"/>
      <c r="K67" s="209">
        <f>214.84</f>
        <v>214.84</v>
      </c>
      <c r="L67" s="209">
        <f>107.42</f>
        <v>107.42</v>
      </c>
      <c r="M67" s="209">
        <f>107.42</f>
        <v>107.42</v>
      </c>
      <c r="N67" s="209">
        <f t="shared" si="5"/>
        <v>1247.8400000000001</v>
      </c>
      <c r="O67" s="203"/>
      <c r="P67" s="203"/>
      <c r="Q67" s="203"/>
      <c r="R67" s="203"/>
    </row>
    <row r="68" spans="1:18" ht="15.75">
      <c r="A68" s="207" t="s">
        <v>204</v>
      </c>
      <c r="B68" s="209">
        <f>10.81</f>
        <v>10.81</v>
      </c>
      <c r="C68" s="209">
        <f>191.31</f>
        <v>191.31</v>
      </c>
      <c r="D68" s="208"/>
      <c r="E68" s="209">
        <f>761.32</f>
        <v>761.32</v>
      </c>
      <c r="F68" s="208"/>
      <c r="G68" s="209">
        <f>11.22</f>
        <v>11.22</v>
      </c>
      <c r="H68" s="209">
        <f>105.21</f>
        <v>105.21</v>
      </c>
      <c r="I68" s="209">
        <f>35.96</f>
        <v>35.96</v>
      </c>
      <c r="J68" s="209">
        <f>85.66</f>
        <v>85.66</v>
      </c>
      <c r="K68" s="209">
        <f>228.58</f>
        <v>228.58</v>
      </c>
      <c r="L68" s="209">
        <f>105.9</f>
        <v>105.9</v>
      </c>
      <c r="M68" s="209">
        <f>32.52</f>
        <v>32.520000000000003</v>
      </c>
      <c r="N68" s="209">
        <f t="shared" si="5"/>
        <v>1568.4900000000002</v>
      </c>
      <c r="O68" s="203"/>
      <c r="P68" s="203"/>
      <c r="Q68" s="203"/>
      <c r="R68" s="203"/>
    </row>
    <row r="69" spans="1:18" ht="15.75">
      <c r="A69" s="207" t="s">
        <v>205</v>
      </c>
      <c r="B69" s="210">
        <f t="shared" ref="B69:M69" si="14">((((((((((B58)+(B59))+(B60))+(B61))+(B62))+(B63))+(B64))+(B65))+(B66))+(B67))+(B68)</f>
        <v>976.06</v>
      </c>
      <c r="C69" s="210">
        <f t="shared" si="14"/>
        <v>1033.68</v>
      </c>
      <c r="D69" s="210">
        <f t="shared" si="14"/>
        <v>1362.23</v>
      </c>
      <c r="E69" s="210">
        <f t="shared" si="14"/>
        <v>1568.4900000000002</v>
      </c>
      <c r="F69" s="210">
        <f t="shared" si="14"/>
        <v>703.72</v>
      </c>
      <c r="G69" s="210">
        <f t="shared" si="14"/>
        <v>1082.54</v>
      </c>
      <c r="H69" s="210">
        <f t="shared" si="14"/>
        <v>1057.3</v>
      </c>
      <c r="I69" s="210">
        <f t="shared" si="14"/>
        <v>1318.6699999999998</v>
      </c>
      <c r="J69" s="210">
        <f t="shared" si="14"/>
        <v>702.38</v>
      </c>
      <c r="K69" s="210">
        <f t="shared" si="14"/>
        <v>1473.74</v>
      </c>
      <c r="L69" s="210">
        <f t="shared" si="14"/>
        <v>935.5</v>
      </c>
      <c r="M69" s="210">
        <f t="shared" si="14"/>
        <v>3398.6600000000003</v>
      </c>
      <c r="N69" s="210">
        <f t="shared" si="5"/>
        <v>15612.97</v>
      </c>
      <c r="O69" s="203"/>
      <c r="P69" s="203"/>
      <c r="Q69" s="203"/>
      <c r="R69" s="203"/>
    </row>
    <row r="70" spans="1:18" ht="15.75">
      <c r="A70" s="207" t="s">
        <v>206</v>
      </c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9">
        <f t="shared" si="5"/>
        <v>0</v>
      </c>
      <c r="O70" s="203"/>
      <c r="P70" s="203"/>
      <c r="Q70" s="203"/>
      <c r="R70" s="203"/>
    </row>
    <row r="71" spans="1:18" ht="15.75">
      <c r="A71" s="207" t="s">
        <v>207</v>
      </c>
      <c r="B71" s="208"/>
      <c r="C71" s="208"/>
      <c r="D71" s="209">
        <f>121.84</f>
        <v>121.84</v>
      </c>
      <c r="E71" s="209">
        <f>213.45</f>
        <v>213.45</v>
      </c>
      <c r="F71" s="208"/>
      <c r="G71" s="208"/>
      <c r="H71" s="208"/>
      <c r="I71" s="208"/>
      <c r="J71" s="209">
        <f>121.84</f>
        <v>121.84</v>
      </c>
      <c r="K71" s="209">
        <f>213.45</f>
        <v>213.45</v>
      </c>
      <c r="L71" s="208"/>
      <c r="M71" s="208"/>
      <c r="N71" s="209">
        <f t="shared" si="5"/>
        <v>670.57999999999993</v>
      </c>
      <c r="O71" s="203"/>
      <c r="P71" s="203"/>
      <c r="Q71" s="203"/>
      <c r="R71" s="203"/>
    </row>
    <row r="72" spans="1:18" ht="15.75">
      <c r="A72" s="207" t="s">
        <v>208</v>
      </c>
      <c r="B72" s="208"/>
      <c r="C72" s="208"/>
      <c r="D72" s="208"/>
      <c r="E72" s="209">
        <f>1246.6</f>
        <v>1246.5999999999999</v>
      </c>
      <c r="F72" s="208"/>
      <c r="G72" s="208"/>
      <c r="H72" s="209">
        <f>482.83</f>
        <v>482.83</v>
      </c>
      <c r="I72" s="209">
        <f>117.78</f>
        <v>117.78</v>
      </c>
      <c r="J72" s="208"/>
      <c r="K72" s="208"/>
      <c r="L72" s="209">
        <f>1435.26</f>
        <v>1435.26</v>
      </c>
      <c r="M72" s="208"/>
      <c r="N72" s="209">
        <f t="shared" si="5"/>
        <v>3282.47</v>
      </c>
      <c r="O72" s="203"/>
      <c r="P72" s="203"/>
      <c r="Q72" s="203"/>
      <c r="R72" s="203"/>
    </row>
    <row r="73" spans="1:18" ht="15.75">
      <c r="A73" s="207" t="s">
        <v>209</v>
      </c>
      <c r="B73" s="208"/>
      <c r="C73" s="208"/>
      <c r="D73" s="208"/>
      <c r="E73" s="208"/>
      <c r="F73" s="209">
        <f>401.79</f>
        <v>401.79</v>
      </c>
      <c r="G73" s="208"/>
      <c r="H73" s="208"/>
      <c r="I73" s="208"/>
      <c r="J73" s="208"/>
      <c r="K73" s="208"/>
      <c r="L73" s="208"/>
      <c r="M73" s="208"/>
      <c r="N73" s="209">
        <f t="shared" si="5"/>
        <v>401.79</v>
      </c>
      <c r="O73" s="203"/>
      <c r="P73" s="203"/>
      <c r="Q73" s="203"/>
      <c r="R73" s="203"/>
    </row>
    <row r="74" spans="1:18" ht="15.75">
      <c r="A74" s="207" t="s">
        <v>210</v>
      </c>
      <c r="B74" s="208"/>
      <c r="C74" s="209">
        <f>3093.23</f>
        <v>3093.23</v>
      </c>
      <c r="D74" s="209">
        <f>324.9</f>
        <v>324.89999999999998</v>
      </c>
      <c r="E74" s="208"/>
      <c r="F74" s="208"/>
      <c r="G74" s="208"/>
      <c r="H74" s="208"/>
      <c r="I74" s="208"/>
      <c r="J74" s="208"/>
      <c r="K74" s="208"/>
      <c r="L74" s="208"/>
      <c r="M74" s="208"/>
      <c r="N74" s="209">
        <f t="shared" si="5"/>
        <v>3418.13</v>
      </c>
      <c r="O74" s="203"/>
      <c r="P74" s="203"/>
      <c r="Q74" s="203"/>
      <c r="R74" s="203"/>
    </row>
    <row r="75" spans="1:18" ht="15.75">
      <c r="A75" s="207" t="s">
        <v>211</v>
      </c>
      <c r="B75" s="210">
        <f t="shared" ref="B75:M75" si="15">((((B70)+(B71))+(B72))+(B73))+(B74)</f>
        <v>0</v>
      </c>
      <c r="C75" s="210">
        <f t="shared" si="15"/>
        <v>3093.23</v>
      </c>
      <c r="D75" s="210">
        <f t="shared" si="15"/>
        <v>446.74</v>
      </c>
      <c r="E75" s="210">
        <f t="shared" si="15"/>
        <v>1460.05</v>
      </c>
      <c r="F75" s="210">
        <f t="shared" si="15"/>
        <v>401.79</v>
      </c>
      <c r="G75" s="210">
        <f t="shared" si="15"/>
        <v>0</v>
      </c>
      <c r="H75" s="210">
        <f t="shared" si="15"/>
        <v>482.83</v>
      </c>
      <c r="I75" s="210">
        <f t="shared" si="15"/>
        <v>117.78</v>
      </c>
      <c r="J75" s="210">
        <f t="shared" si="15"/>
        <v>121.84</v>
      </c>
      <c r="K75" s="210">
        <f t="shared" si="15"/>
        <v>213.45</v>
      </c>
      <c r="L75" s="210">
        <f t="shared" si="15"/>
        <v>1435.26</v>
      </c>
      <c r="M75" s="210">
        <f t="shared" si="15"/>
        <v>0</v>
      </c>
      <c r="N75" s="210">
        <f t="shared" si="5"/>
        <v>7772.97</v>
      </c>
      <c r="O75" s="203"/>
      <c r="P75" s="203"/>
      <c r="Q75" s="203"/>
      <c r="R75" s="203"/>
    </row>
    <row r="76" spans="1:18" ht="15.75">
      <c r="A76" s="207" t="s">
        <v>212</v>
      </c>
      <c r="B76" s="208"/>
      <c r="C76" s="208"/>
      <c r="D76" s="208"/>
      <c r="E76" s="208"/>
      <c r="F76" s="208"/>
      <c r="G76" s="208"/>
      <c r="H76" s="208"/>
      <c r="I76" s="208"/>
      <c r="J76" s="208"/>
      <c r="K76" s="208"/>
      <c r="L76" s="208"/>
      <c r="M76" s="208"/>
      <c r="N76" s="209">
        <f t="shared" si="5"/>
        <v>0</v>
      </c>
      <c r="O76" s="203"/>
      <c r="P76" s="203"/>
      <c r="Q76" s="203"/>
      <c r="R76" s="203"/>
    </row>
    <row r="77" spans="1:18" ht="15.75">
      <c r="A77" s="207" t="s">
        <v>213</v>
      </c>
      <c r="B77" s="208"/>
      <c r="C77" s="208"/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9">
        <f t="shared" si="5"/>
        <v>0</v>
      </c>
      <c r="O77" s="203"/>
      <c r="P77" s="203"/>
      <c r="Q77" s="203"/>
      <c r="R77" s="203"/>
    </row>
    <row r="78" spans="1:18" ht="15.75">
      <c r="A78" s="207" t="s">
        <v>214</v>
      </c>
      <c r="B78" s="209">
        <f>1246.18</f>
        <v>1246.18</v>
      </c>
      <c r="C78" s="209">
        <f>897.24</f>
        <v>897.24</v>
      </c>
      <c r="D78" s="209">
        <f>1296.02</f>
        <v>1296.02</v>
      </c>
      <c r="E78" s="209">
        <f>1296.02</f>
        <v>1296.02</v>
      </c>
      <c r="F78" s="209">
        <f>1296.02</f>
        <v>1296.02</v>
      </c>
      <c r="G78" s="209">
        <f>1296.02</f>
        <v>1296.02</v>
      </c>
      <c r="H78" s="209">
        <f>1296.02</f>
        <v>1296.02</v>
      </c>
      <c r="I78" s="209">
        <f>1744.64</f>
        <v>1744.64</v>
      </c>
      <c r="J78" s="209">
        <f>1296.02</f>
        <v>1296.02</v>
      </c>
      <c r="K78" s="209">
        <f>1296.02</f>
        <v>1296.02</v>
      </c>
      <c r="L78" s="209">
        <f>1296.02</f>
        <v>1296.02</v>
      </c>
      <c r="M78" s="209">
        <f>1296.02</f>
        <v>1296.02</v>
      </c>
      <c r="N78" s="209">
        <f t="shared" si="5"/>
        <v>15552.240000000002</v>
      </c>
      <c r="O78" s="203"/>
      <c r="P78" s="203"/>
      <c r="Q78" s="203"/>
      <c r="R78" s="203"/>
    </row>
    <row r="79" spans="1:18" ht="15.75">
      <c r="A79" s="207" t="s">
        <v>215</v>
      </c>
      <c r="B79" s="209">
        <f>215.78</f>
        <v>215.78</v>
      </c>
      <c r="C79" s="209">
        <f>145.84</f>
        <v>145.84</v>
      </c>
      <c r="D79" s="209">
        <f>145.84</f>
        <v>145.84</v>
      </c>
      <c r="E79" s="209">
        <f>145.84</f>
        <v>145.84</v>
      </c>
      <c r="F79" s="209">
        <f>145.84</f>
        <v>145.84</v>
      </c>
      <c r="G79" s="209">
        <f>136.88</f>
        <v>136.88</v>
      </c>
      <c r="H79" s="209">
        <f>136.88</f>
        <v>136.88</v>
      </c>
      <c r="I79" s="209">
        <f>205.32</f>
        <v>205.32</v>
      </c>
      <c r="J79" s="209">
        <f>175.78</f>
        <v>175.78</v>
      </c>
      <c r="K79" s="209">
        <f>142.86</f>
        <v>142.86000000000001</v>
      </c>
      <c r="L79" s="209">
        <f>142.86</f>
        <v>142.86000000000001</v>
      </c>
      <c r="M79" s="209">
        <f>142.86</f>
        <v>142.86000000000001</v>
      </c>
      <c r="N79" s="209">
        <f t="shared" si="5"/>
        <v>1882.5800000000004</v>
      </c>
      <c r="O79" s="203"/>
      <c r="P79" s="203"/>
      <c r="Q79" s="203"/>
      <c r="R79" s="203"/>
    </row>
    <row r="80" spans="1:18" ht="15.75">
      <c r="A80" s="207" t="s">
        <v>216</v>
      </c>
      <c r="B80" s="210">
        <f t="shared" ref="B80:M80" si="16">((B77)+(B78))+(B79)</f>
        <v>1461.96</v>
      </c>
      <c r="C80" s="210">
        <f t="shared" si="16"/>
        <v>1043.08</v>
      </c>
      <c r="D80" s="210">
        <f t="shared" si="16"/>
        <v>1441.86</v>
      </c>
      <c r="E80" s="210">
        <f t="shared" si="16"/>
        <v>1441.86</v>
      </c>
      <c r="F80" s="210">
        <f t="shared" si="16"/>
        <v>1441.86</v>
      </c>
      <c r="G80" s="210">
        <f t="shared" si="16"/>
        <v>1432.9</v>
      </c>
      <c r="H80" s="210">
        <f t="shared" si="16"/>
        <v>1432.9</v>
      </c>
      <c r="I80" s="210">
        <f t="shared" si="16"/>
        <v>1949.96</v>
      </c>
      <c r="J80" s="210">
        <f t="shared" si="16"/>
        <v>1471.8</v>
      </c>
      <c r="K80" s="210">
        <f t="shared" si="16"/>
        <v>1438.88</v>
      </c>
      <c r="L80" s="210">
        <f t="shared" si="16"/>
        <v>1438.88</v>
      </c>
      <c r="M80" s="210">
        <f t="shared" si="16"/>
        <v>1438.88</v>
      </c>
      <c r="N80" s="210">
        <f t="shared" si="5"/>
        <v>17434.82</v>
      </c>
      <c r="O80" s="203"/>
      <c r="P80" s="203"/>
      <c r="Q80" s="203"/>
      <c r="R80" s="203"/>
    </row>
    <row r="81" spans="1:18" ht="15.75">
      <c r="A81" s="207" t="s">
        <v>217</v>
      </c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9">
        <f t="shared" si="5"/>
        <v>0</v>
      </c>
      <c r="O81" s="203"/>
      <c r="P81" s="203"/>
      <c r="Q81" s="203"/>
      <c r="R81" s="203"/>
    </row>
    <row r="82" spans="1:18" ht="15.75">
      <c r="A82" s="207" t="s">
        <v>218</v>
      </c>
      <c r="B82" s="209">
        <f>2276.53</f>
        <v>2276.5300000000002</v>
      </c>
      <c r="C82" s="209">
        <f>1820.74</f>
        <v>1820.74</v>
      </c>
      <c r="D82" s="209">
        <f>3383.26</f>
        <v>3383.26</v>
      </c>
      <c r="E82" s="209">
        <f>2189.47</f>
        <v>2189.4699999999998</v>
      </c>
      <c r="F82" s="209">
        <f>2213.63</f>
        <v>2213.63</v>
      </c>
      <c r="G82" s="209">
        <f>2180.66</f>
        <v>2180.66</v>
      </c>
      <c r="H82" s="209">
        <f>2233.47</f>
        <v>2233.4699999999998</v>
      </c>
      <c r="I82" s="209">
        <f>3290.88</f>
        <v>3290.88</v>
      </c>
      <c r="J82" s="209">
        <f>2194.48</f>
        <v>2194.48</v>
      </c>
      <c r="K82" s="209">
        <f>2204.98</f>
        <v>2204.98</v>
      </c>
      <c r="L82" s="209">
        <f>2186.24</f>
        <v>2186.2399999999998</v>
      </c>
      <c r="M82" s="209">
        <f>2814.5</f>
        <v>2814.5</v>
      </c>
      <c r="N82" s="209">
        <f t="shared" si="5"/>
        <v>28988.839999999997</v>
      </c>
      <c r="O82" s="203"/>
      <c r="P82" s="203"/>
      <c r="Q82" s="203"/>
      <c r="R82" s="203"/>
    </row>
    <row r="83" spans="1:18" ht="15.75">
      <c r="A83" s="207" t="s">
        <v>219</v>
      </c>
      <c r="B83" s="209">
        <f>1014.6</f>
        <v>1014.6</v>
      </c>
      <c r="C83" s="209">
        <f>176.05</f>
        <v>176.05</v>
      </c>
      <c r="D83" s="209">
        <f>36.95</f>
        <v>36.950000000000003</v>
      </c>
      <c r="E83" s="208"/>
      <c r="F83" s="209">
        <f>378</f>
        <v>378</v>
      </c>
      <c r="G83" s="208"/>
      <c r="H83" s="208"/>
      <c r="I83" s="209">
        <f>-825.82</f>
        <v>-825.82</v>
      </c>
      <c r="J83" s="208"/>
      <c r="K83" s="208"/>
      <c r="L83" s="208"/>
      <c r="M83" s="208"/>
      <c r="N83" s="209">
        <f t="shared" si="5"/>
        <v>779.78000000000009</v>
      </c>
      <c r="O83" s="203"/>
      <c r="P83" s="203"/>
      <c r="Q83" s="203"/>
      <c r="R83" s="203"/>
    </row>
    <row r="84" spans="1:18" ht="15.75">
      <c r="A84" s="207" t="s">
        <v>220</v>
      </c>
      <c r="B84" s="208"/>
      <c r="C84" s="208"/>
      <c r="D84" s="208"/>
      <c r="E84" s="208"/>
      <c r="F84" s="208"/>
      <c r="G84" s="209">
        <f>-74</f>
        <v>-74</v>
      </c>
      <c r="H84" s="208"/>
      <c r="I84" s="208"/>
      <c r="J84" s="208"/>
      <c r="K84" s="208"/>
      <c r="L84" s="208"/>
      <c r="M84" s="208"/>
      <c r="N84" s="209">
        <f t="shared" si="5"/>
        <v>-74</v>
      </c>
      <c r="O84" s="203"/>
      <c r="P84" s="203"/>
      <c r="Q84" s="203"/>
      <c r="R84" s="203"/>
    </row>
    <row r="85" spans="1:18" ht="15.75">
      <c r="A85" s="207" t="s">
        <v>221</v>
      </c>
      <c r="B85" s="209">
        <f>41.58</f>
        <v>41.58</v>
      </c>
      <c r="C85" s="209">
        <f>30.92</f>
        <v>30.92</v>
      </c>
      <c r="D85" s="209">
        <f>45.93</f>
        <v>45.93</v>
      </c>
      <c r="E85" s="209">
        <f>14.26</f>
        <v>14.26</v>
      </c>
      <c r="F85" s="209">
        <f>30.4</f>
        <v>30.4</v>
      </c>
      <c r="G85" s="209">
        <f>29.32</f>
        <v>29.32</v>
      </c>
      <c r="H85" s="209">
        <f>24.87</f>
        <v>24.87</v>
      </c>
      <c r="I85" s="209">
        <f>44.64</f>
        <v>44.64</v>
      </c>
      <c r="J85" s="209">
        <f>29.75</f>
        <v>29.75</v>
      </c>
      <c r="K85" s="209">
        <f>-29.48</f>
        <v>-29.48</v>
      </c>
      <c r="L85" s="209">
        <f>17.35</f>
        <v>17.350000000000001</v>
      </c>
      <c r="M85" s="209">
        <f>18.85</f>
        <v>18.850000000000001</v>
      </c>
      <c r="N85" s="209">
        <f t="shared" si="5"/>
        <v>298.39000000000004</v>
      </c>
      <c r="O85" s="203"/>
      <c r="P85" s="203"/>
      <c r="Q85" s="203"/>
      <c r="R85" s="203"/>
    </row>
    <row r="86" spans="1:18" ht="15.75">
      <c r="A86" s="207" t="s">
        <v>222</v>
      </c>
      <c r="B86" s="209">
        <f>1065.22</f>
        <v>1065.22</v>
      </c>
      <c r="C86" s="209">
        <f>785.29</f>
        <v>785.29</v>
      </c>
      <c r="D86" s="209">
        <f>27.98</f>
        <v>27.98</v>
      </c>
      <c r="E86" s="209">
        <f>782.34</f>
        <v>782.34</v>
      </c>
      <c r="F86" s="209">
        <f>881.98</f>
        <v>881.98</v>
      </c>
      <c r="G86" s="209">
        <f>229.87</f>
        <v>229.87</v>
      </c>
      <c r="H86" s="209">
        <f>511.66</f>
        <v>511.66</v>
      </c>
      <c r="I86" s="209">
        <f>869.13</f>
        <v>869.13</v>
      </c>
      <c r="J86" s="209">
        <f>633.72</f>
        <v>633.72</v>
      </c>
      <c r="K86" s="209">
        <f>613.12</f>
        <v>613.12</v>
      </c>
      <c r="L86" s="209">
        <f>632.67</f>
        <v>632.66999999999996</v>
      </c>
      <c r="M86" s="209">
        <f>579.19</f>
        <v>579.19000000000005</v>
      </c>
      <c r="N86" s="209">
        <f t="shared" ref="N86:N144" si="17">(((((((((((B86)+(C86))+(D86))+(E86))+(F86))+(G86))+(H86))+(I86))+(J86))+(K86))+(L86))+(M86)</f>
        <v>7612.17</v>
      </c>
      <c r="O86" s="203"/>
      <c r="P86" s="203"/>
      <c r="Q86" s="203"/>
      <c r="R86" s="203"/>
    </row>
    <row r="87" spans="1:18" ht="15.75">
      <c r="A87" s="207" t="s">
        <v>223</v>
      </c>
      <c r="B87" s="210">
        <f t="shared" ref="B87:M87" si="18">(((((B81)+(B82))+(B83))+(B84))+(B85))+(B86)</f>
        <v>4397.93</v>
      </c>
      <c r="C87" s="210">
        <f t="shared" si="18"/>
        <v>2813</v>
      </c>
      <c r="D87" s="210">
        <f t="shared" si="18"/>
        <v>3494.12</v>
      </c>
      <c r="E87" s="210">
        <f t="shared" si="18"/>
        <v>2986.07</v>
      </c>
      <c r="F87" s="210">
        <f t="shared" si="18"/>
        <v>3504.01</v>
      </c>
      <c r="G87" s="210">
        <f t="shared" si="18"/>
        <v>2365.85</v>
      </c>
      <c r="H87" s="210">
        <f t="shared" si="18"/>
        <v>2769.9999999999995</v>
      </c>
      <c r="I87" s="210">
        <f t="shared" si="18"/>
        <v>3378.83</v>
      </c>
      <c r="J87" s="210">
        <f t="shared" si="18"/>
        <v>2857.95</v>
      </c>
      <c r="K87" s="210">
        <f t="shared" si="18"/>
        <v>2788.62</v>
      </c>
      <c r="L87" s="210">
        <f t="shared" si="18"/>
        <v>2836.2599999999998</v>
      </c>
      <c r="M87" s="210">
        <f t="shared" si="18"/>
        <v>3412.54</v>
      </c>
      <c r="N87" s="210">
        <f t="shared" si="17"/>
        <v>37605.18</v>
      </c>
      <c r="O87" s="203"/>
      <c r="P87" s="203"/>
      <c r="Q87" s="203"/>
      <c r="R87" s="203"/>
    </row>
    <row r="88" spans="1:18" ht="15.75">
      <c r="A88" s="207" t="s">
        <v>224</v>
      </c>
      <c r="B88" s="209">
        <f>9446.25</f>
        <v>9446.25</v>
      </c>
      <c r="C88" s="209">
        <f>7507.02</f>
        <v>7507.02</v>
      </c>
      <c r="D88" s="209">
        <f>13509.36</f>
        <v>13509.36</v>
      </c>
      <c r="E88" s="209">
        <f>9442.54</f>
        <v>9442.5400000000009</v>
      </c>
      <c r="F88" s="209">
        <f>9758.8</f>
        <v>9758.7999999999993</v>
      </c>
      <c r="G88" s="209">
        <f>9327.29</f>
        <v>9327.2900000000009</v>
      </c>
      <c r="H88" s="209">
        <f>10017.55</f>
        <v>10017.549999999999</v>
      </c>
      <c r="I88" s="209">
        <f>14251.45</f>
        <v>14251.45</v>
      </c>
      <c r="J88" s="209">
        <f>9508.05</f>
        <v>9508.0499999999993</v>
      </c>
      <c r="K88" s="209">
        <f>9645.17</f>
        <v>9645.17</v>
      </c>
      <c r="L88" s="209">
        <f>9400.55</f>
        <v>9400.5499999999993</v>
      </c>
      <c r="M88" s="209">
        <f>10002.43</f>
        <v>10002.43</v>
      </c>
      <c r="N88" s="209">
        <f t="shared" si="17"/>
        <v>121816.45999999999</v>
      </c>
      <c r="O88" s="203"/>
      <c r="P88" s="203"/>
      <c r="Q88" s="203"/>
      <c r="R88" s="203"/>
    </row>
    <row r="89" spans="1:18" ht="15.75">
      <c r="A89" s="207" t="s">
        <v>225</v>
      </c>
      <c r="B89" s="209">
        <f>7192.73</f>
        <v>7192.73</v>
      </c>
      <c r="C89" s="209">
        <f t="shared" ref="C89:H89" si="19">4861.62</f>
        <v>4861.62</v>
      </c>
      <c r="D89" s="209">
        <f t="shared" si="19"/>
        <v>4861.62</v>
      </c>
      <c r="E89" s="209">
        <f t="shared" si="19"/>
        <v>4861.62</v>
      </c>
      <c r="F89" s="209">
        <f t="shared" si="19"/>
        <v>4861.62</v>
      </c>
      <c r="G89" s="209">
        <f t="shared" si="19"/>
        <v>4861.62</v>
      </c>
      <c r="H89" s="209">
        <f t="shared" si="19"/>
        <v>4861.62</v>
      </c>
      <c r="I89" s="209">
        <f>7292.43</f>
        <v>7292.43</v>
      </c>
      <c r="J89" s="209">
        <f>4861.62</f>
        <v>4861.62</v>
      </c>
      <c r="K89" s="209">
        <f>4861.62</f>
        <v>4861.62</v>
      </c>
      <c r="L89" s="209">
        <f>4861.62</f>
        <v>4861.62</v>
      </c>
      <c r="M89" s="209">
        <f>6024.4</f>
        <v>6024.4</v>
      </c>
      <c r="N89" s="209">
        <f t="shared" si="17"/>
        <v>64264.140000000007</v>
      </c>
      <c r="O89" s="203"/>
      <c r="P89" s="203"/>
      <c r="Q89" s="203"/>
      <c r="R89" s="203"/>
    </row>
    <row r="90" spans="1:18" ht="15.75">
      <c r="A90" s="207" t="s">
        <v>226</v>
      </c>
      <c r="B90" s="209">
        <f>13269.24</f>
        <v>13269.24</v>
      </c>
      <c r="C90" s="209">
        <f>11730.77</f>
        <v>11730.77</v>
      </c>
      <c r="D90" s="209">
        <f>26153.82</f>
        <v>26153.82</v>
      </c>
      <c r="E90" s="209">
        <f>14615.38</f>
        <v>14615.38</v>
      </c>
      <c r="F90" s="209">
        <f>14615.38</f>
        <v>14615.38</v>
      </c>
      <c r="G90" s="209">
        <f>14615.38</f>
        <v>14615.38</v>
      </c>
      <c r="H90" s="209">
        <f>14615.38</f>
        <v>14615.38</v>
      </c>
      <c r="I90" s="209">
        <f>21923.07</f>
        <v>21923.07</v>
      </c>
      <c r="J90" s="209">
        <f>14615.38</f>
        <v>14615.38</v>
      </c>
      <c r="K90" s="209">
        <f>14615.38</f>
        <v>14615.38</v>
      </c>
      <c r="L90" s="209">
        <f>14615.38</f>
        <v>14615.38</v>
      </c>
      <c r="M90" s="209">
        <f>19729.79</f>
        <v>19729.79</v>
      </c>
      <c r="N90" s="209">
        <f t="shared" si="17"/>
        <v>195114.35000000003</v>
      </c>
      <c r="O90" s="203"/>
      <c r="P90" s="203"/>
      <c r="Q90" s="203"/>
      <c r="R90" s="203"/>
    </row>
    <row r="91" spans="1:18" ht="15.75">
      <c r="A91" s="207" t="s">
        <v>227</v>
      </c>
      <c r="B91" s="210">
        <f t="shared" ref="B91:M91" si="20">((B88)+(B89))+(B90)</f>
        <v>29908.22</v>
      </c>
      <c r="C91" s="210">
        <f t="shared" si="20"/>
        <v>24099.41</v>
      </c>
      <c r="D91" s="210">
        <f t="shared" si="20"/>
        <v>44524.800000000003</v>
      </c>
      <c r="E91" s="210">
        <f t="shared" si="20"/>
        <v>28919.54</v>
      </c>
      <c r="F91" s="210">
        <f t="shared" si="20"/>
        <v>29235.799999999996</v>
      </c>
      <c r="G91" s="210">
        <f t="shared" si="20"/>
        <v>28804.29</v>
      </c>
      <c r="H91" s="210">
        <f t="shared" si="20"/>
        <v>29494.549999999996</v>
      </c>
      <c r="I91" s="210">
        <f t="shared" si="20"/>
        <v>43466.95</v>
      </c>
      <c r="J91" s="210">
        <f t="shared" si="20"/>
        <v>28985.049999999996</v>
      </c>
      <c r="K91" s="210">
        <f t="shared" si="20"/>
        <v>29122.17</v>
      </c>
      <c r="L91" s="210">
        <f t="shared" si="20"/>
        <v>28877.549999999996</v>
      </c>
      <c r="M91" s="210">
        <f t="shared" si="20"/>
        <v>35756.620000000003</v>
      </c>
      <c r="N91" s="210">
        <f t="shared" si="17"/>
        <v>381194.94999999995</v>
      </c>
      <c r="O91" s="203"/>
      <c r="P91" s="203"/>
      <c r="Q91" s="203"/>
      <c r="R91" s="203"/>
    </row>
    <row r="92" spans="1:18" ht="15.75">
      <c r="A92" s="207" t="s">
        <v>228</v>
      </c>
      <c r="B92" s="210">
        <f t="shared" ref="B92:M92" si="21">(((B76)+(B80))+(B87))+(B91)</f>
        <v>35768.11</v>
      </c>
      <c r="C92" s="210">
        <f t="shared" si="21"/>
        <v>27955.489999999998</v>
      </c>
      <c r="D92" s="210">
        <f t="shared" si="21"/>
        <v>49460.78</v>
      </c>
      <c r="E92" s="210">
        <f t="shared" si="21"/>
        <v>33347.47</v>
      </c>
      <c r="F92" s="210">
        <f t="shared" si="21"/>
        <v>34181.67</v>
      </c>
      <c r="G92" s="210">
        <f t="shared" si="21"/>
        <v>32603.040000000001</v>
      </c>
      <c r="H92" s="210">
        <f t="shared" si="21"/>
        <v>33697.449999999997</v>
      </c>
      <c r="I92" s="210">
        <f t="shared" si="21"/>
        <v>48795.74</v>
      </c>
      <c r="J92" s="210">
        <f t="shared" si="21"/>
        <v>33314.799999999996</v>
      </c>
      <c r="K92" s="210">
        <f t="shared" si="21"/>
        <v>33349.67</v>
      </c>
      <c r="L92" s="210">
        <f t="shared" si="21"/>
        <v>33152.689999999995</v>
      </c>
      <c r="M92" s="210">
        <f t="shared" si="21"/>
        <v>40608.04</v>
      </c>
      <c r="N92" s="210">
        <f t="shared" si="17"/>
        <v>436234.94999999995</v>
      </c>
      <c r="O92" s="203"/>
      <c r="P92" s="203"/>
      <c r="Q92" s="203"/>
      <c r="R92" s="203"/>
    </row>
    <row r="93" spans="1:18" ht="15.75">
      <c r="A93" s="207" t="s">
        <v>229</v>
      </c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8"/>
      <c r="M93" s="208"/>
      <c r="N93" s="209">
        <f t="shared" si="17"/>
        <v>0</v>
      </c>
      <c r="O93" s="203"/>
      <c r="P93" s="203"/>
      <c r="Q93" s="203"/>
      <c r="R93" s="203"/>
    </row>
    <row r="94" spans="1:18" ht="15.75">
      <c r="A94" s="207" t="s">
        <v>169</v>
      </c>
      <c r="B94" s="209">
        <f>250</f>
        <v>250</v>
      </c>
      <c r="C94" s="209">
        <f>1000</f>
        <v>1000</v>
      </c>
      <c r="D94" s="209">
        <f>1108</f>
        <v>1108</v>
      </c>
      <c r="E94" s="209">
        <f>2255</f>
        <v>2255</v>
      </c>
      <c r="F94" s="208"/>
      <c r="G94" s="208"/>
      <c r="H94" s="208"/>
      <c r="I94" s="209">
        <f>170</f>
        <v>170</v>
      </c>
      <c r="J94" s="208"/>
      <c r="K94" s="209">
        <f>43.4</f>
        <v>43.4</v>
      </c>
      <c r="L94" s="208"/>
      <c r="M94" s="208"/>
      <c r="N94" s="209">
        <f t="shared" si="17"/>
        <v>4826.3999999999996</v>
      </c>
      <c r="O94" s="203"/>
      <c r="P94" s="203"/>
      <c r="Q94" s="203"/>
      <c r="R94" s="203"/>
    </row>
    <row r="95" spans="1:18" ht="15.75">
      <c r="A95" s="207" t="s">
        <v>230</v>
      </c>
      <c r="B95" s="208"/>
      <c r="C95" s="209">
        <f>5197.5</f>
        <v>5197.5</v>
      </c>
      <c r="D95" s="208"/>
      <c r="E95" s="208"/>
      <c r="F95" s="209">
        <f>810</f>
        <v>810</v>
      </c>
      <c r="G95" s="208"/>
      <c r="H95" s="208"/>
      <c r="I95" s="208"/>
      <c r="J95" s="208"/>
      <c r="K95" s="208"/>
      <c r="L95" s="208"/>
      <c r="M95" s="208"/>
      <c r="N95" s="209">
        <f t="shared" si="17"/>
        <v>6007.5</v>
      </c>
      <c r="O95" s="203"/>
      <c r="P95" s="203"/>
      <c r="Q95" s="203"/>
      <c r="R95" s="203"/>
    </row>
    <row r="96" spans="1:18" ht="15.75">
      <c r="A96" s="207" t="s">
        <v>231</v>
      </c>
      <c r="B96" s="208"/>
      <c r="C96" s="208"/>
      <c r="D96" s="208"/>
      <c r="E96" s="209">
        <f>2015</f>
        <v>2015</v>
      </c>
      <c r="F96" s="208"/>
      <c r="G96" s="208"/>
      <c r="H96" s="208"/>
      <c r="I96" s="208"/>
      <c r="J96" s="208"/>
      <c r="K96" s="208"/>
      <c r="L96" s="208"/>
      <c r="M96" s="208"/>
      <c r="N96" s="209">
        <f t="shared" si="17"/>
        <v>2015</v>
      </c>
      <c r="O96" s="203"/>
      <c r="P96" s="203"/>
      <c r="Q96" s="203"/>
      <c r="R96" s="203"/>
    </row>
    <row r="97" spans="1:18" ht="15.75">
      <c r="A97" s="207" t="s">
        <v>232</v>
      </c>
      <c r="B97" s="210">
        <f t="shared" ref="B97:M97" si="22">(((B93)+(B94))+(B95))+(B96)</f>
        <v>250</v>
      </c>
      <c r="C97" s="210">
        <f t="shared" si="22"/>
        <v>6197.5</v>
      </c>
      <c r="D97" s="210">
        <f t="shared" si="22"/>
        <v>1108</v>
      </c>
      <c r="E97" s="210">
        <f t="shared" si="22"/>
        <v>4270</v>
      </c>
      <c r="F97" s="210">
        <f t="shared" si="22"/>
        <v>810</v>
      </c>
      <c r="G97" s="210">
        <f t="shared" si="22"/>
        <v>0</v>
      </c>
      <c r="H97" s="210">
        <f t="shared" si="22"/>
        <v>0</v>
      </c>
      <c r="I97" s="210">
        <f t="shared" si="22"/>
        <v>170</v>
      </c>
      <c r="J97" s="210">
        <f t="shared" si="22"/>
        <v>0</v>
      </c>
      <c r="K97" s="210">
        <f t="shared" si="22"/>
        <v>43.4</v>
      </c>
      <c r="L97" s="210">
        <f t="shared" si="22"/>
        <v>0</v>
      </c>
      <c r="M97" s="210">
        <f t="shared" si="22"/>
        <v>0</v>
      </c>
      <c r="N97" s="210">
        <f t="shared" si="17"/>
        <v>12848.9</v>
      </c>
      <c r="O97" s="203"/>
      <c r="P97" s="203"/>
      <c r="Q97" s="203"/>
      <c r="R97" s="203"/>
    </row>
    <row r="98" spans="1:18" ht="15.75">
      <c r="A98" s="207" t="s">
        <v>233</v>
      </c>
      <c r="B98" s="208"/>
      <c r="C98" s="208"/>
      <c r="D98" s="208"/>
      <c r="E98" s="208"/>
      <c r="F98" s="208"/>
      <c r="G98" s="208"/>
      <c r="H98" s="208"/>
      <c r="I98" s="208"/>
      <c r="J98" s="208"/>
      <c r="K98" s="208"/>
      <c r="L98" s="208"/>
      <c r="M98" s="208"/>
      <c r="N98" s="209">
        <f t="shared" si="17"/>
        <v>0</v>
      </c>
      <c r="O98" s="203"/>
      <c r="P98" s="203"/>
      <c r="Q98" s="203"/>
      <c r="R98" s="203"/>
    </row>
    <row r="99" spans="1:18" ht="15.75">
      <c r="A99" s="207" t="s">
        <v>234</v>
      </c>
      <c r="B99" s="209">
        <f>2388.1</f>
        <v>2388.1</v>
      </c>
      <c r="C99" s="209">
        <f>2388.1</f>
        <v>2388.1</v>
      </c>
      <c r="D99" s="209">
        <f>3000</f>
        <v>3000</v>
      </c>
      <c r="E99" s="209">
        <f>3000</f>
        <v>3000</v>
      </c>
      <c r="F99" s="209">
        <f>3000</f>
        <v>3000</v>
      </c>
      <c r="G99" s="209">
        <f>3000</f>
        <v>3000</v>
      </c>
      <c r="H99" s="209">
        <f>3000</f>
        <v>3000</v>
      </c>
      <c r="I99" s="209">
        <f>3000</f>
        <v>3000</v>
      </c>
      <c r="J99" s="209">
        <f>3000</f>
        <v>3000</v>
      </c>
      <c r="K99" s="209">
        <f>3000</f>
        <v>3000</v>
      </c>
      <c r="L99" s="209">
        <f>3000</f>
        <v>3000</v>
      </c>
      <c r="M99" s="209">
        <f>3000</f>
        <v>3000</v>
      </c>
      <c r="N99" s="209">
        <f t="shared" si="17"/>
        <v>34776.199999999997</v>
      </c>
      <c r="O99" s="203"/>
      <c r="P99" s="203"/>
      <c r="Q99" s="203"/>
      <c r="R99" s="203"/>
    </row>
    <row r="100" spans="1:18" ht="15.75">
      <c r="A100" s="207" t="s">
        <v>235</v>
      </c>
      <c r="B100" s="210">
        <f t="shared" ref="B100:M100" si="23">(B98)+(B99)</f>
        <v>2388.1</v>
      </c>
      <c r="C100" s="210">
        <f t="shared" si="23"/>
        <v>2388.1</v>
      </c>
      <c r="D100" s="210">
        <f t="shared" si="23"/>
        <v>3000</v>
      </c>
      <c r="E100" s="210">
        <f t="shared" si="23"/>
        <v>3000</v>
      </c>
      <c r="F100" s="210">
        <f t="shared" si="23"/>
        <v>3000</v>
      </c>
      <c r="G100" s="210">
        <f t="shared" si="23"/>
        <v>3000</v>
      </c>
      <c r="H100" s="210">
        <f t="shared" si="23"/>
        <v>3000</v>
      </c>
      <c r="I100" s="210">
        <f t="shared" si="23"/>
        <v>3000</v>
      </c>
      <c r="J100" s="210">
        <f t="shared" si="23"/>
        <v>3000</v>
      </c>
      <c r="K100" s="210">
        <f t="shared" si="23"/>
        <v>3000</v>
      </c>
      <c r="L100" s="210">
        <f t="shared" si="23"/>
        <v>3000</v>
      </c>
      <c r="M100" s="210">
        <f t="shared" si="23"/>
        <v>3000</v>
      </c>
      <c r="N100" s="210">
        <f t="shared" si="17"/>
        <v>34776.199999999997</v>
      </c>
      <c r="O100" s="203"/>
      <c r="P100" s="203"/>
      <c r="Q100" s="203"/>
      <c r="R100" s="203"/>
    </row>
    <row r="101" spans="1:18" ht="15.75">
      <c r="A101" s="207" t="s">
        <v>236</v>
      </c>
      <c r="B101" s="208"/>
      <c r="C101" s="208"/>
      <c r="D101" s="208"/>
      <c r="E101" s="208"/>
      <c r="F101" s="208"/>
      <c r="G101" s="208"/>
      <c r="H101" s="208"/>
      <c r="I101" s="208"/>
      <c r="J101" s="208"/>
      <c r="K101" s="208"/>
      <c r="L101" s="208"/>
      <c r="M101" s="208"/>
      <c r="N101" s="209">
        <f t="shared" si="17"/>
        <v>0</v>
      </c>
      <c r="O101" s="203"/>
      <c r="P101" s="203"/>
      <c r="Q101" s="203"/>
      <c r="R101" s="203"/>
    </row>
    <row r="102" spans="1:18" ht="15.75">
      <c r="A102" s="207" t="s">
        <v>237</v>
      </c>
      <c r="B102" s="208"/>
      <c r="C102" s="208"/>
      <c r="D102" s="209">
        <f>364.56</f>
        <v>364.56</v>
      </c>
      <c r="E102" s="208"/>
      <c r="F102" s="208"/>
      <c r="G102" s="208"/>
      <c r="H102" s="208"/>
      <c r="I102" s="208"/>
      <c r="J102" s="208"/>
      <c r="K102" s="208"/>
      <c r="L102" s="208"/>
      <c r="M102" s="208"/>
      <c r="N102" s="209">
        <f t="shared" si="17"/>
        <v>364.56</v>
      </c>
      <c r="O102" s="203"/>
      <c r="P102" s="203"/>
      <c r="Q102" s="203"/>
      <c r="R102" s="203"/>
    </row>
    <row r="103" spans="1:18" ht="15.75">
      <c r="A103" s="207" t="s">
        <v>238</v>
      </c>
      <c r="B103" s="208"/>
      <c r="C103" s="208"/>
      <c r="D103" s="208"/>
      <c r="E103" s="208"/>
      <c r="F103" s="208"/>
      <c r="G103" s="209">
        <f>172.31</f>
        <v>172.31</v>
      </c>
      <c r="H103" s="208"/>
      <c r="I103" s="208"/>
      <c r="J103" s="208"/>
      <c r="K103" s="208"/>
      <c r="L103" s="208"/>
      <c r="M103" s="208"/>
      <c r="N103" s="209">
        <f t="shared" si="17"/>
        <v>172.31</v>
      </c>
      <c r="O103" s="203"/>
      <c r="P103" s="203"/>
      <c r="Q103" s="203"/>
      <c r="R103" s="203"/>
    </row>
    <row r="104" spans="1:18" ht="15.75">
      <c r="A104" s="207" t="s">
        <v>239</v>
      </c>
      <c r="B104" s="208"/>
      <c r="C104" s="209">
        <f>166.67</f>
        <v>166.67</v>
      </c>
      <c r="D104" s="209">
        <f>126.69</f>
        <v>126.69</v>
      </c>
      <c r="E104" s="208"/>
      <c r="F104" s="209">
        <f>273.41</f>
        <v>273.41000000000003</v>
      </c>
      <c r="G104" s="209">
        <f>6294.41</f>
        <v>6294.41</v>
      </c>
      <c r="H104" s="209">
        <f>209.14</f>
        <v>209.14</v>
      </c>
      <c r="I104" s="209">
        <f>1638.91</f>
        <v>1638.91</v>
      </c>
      <c r="J104" s="208"/>
      <c r="K104" s="209">
        <f>465.87</f>
        <v>465.87</v>
      </c>
      <c r="L104" s="208"/>
      <c r="M104" s="209">
        <f>575.05</f>
        <v>575.04999999999995</v>
      </c>
      <c r="N104" s="209">
        <f t="shared" si="17"/>
        <v>9750.1500000000015</v>
      </c>
      <c r="O104" s="203"/>
      <c r="P104" s="203"/>
      <c r="Q104" s="203"/>
      <c r="R104" s="203"/>
    </row>
    <row r="105" spans="1:18" ht="15.75">
      <c r="A105" s="207" t="s">
        <v>240</v>
      </c>
      <c r="B105" s="208"/>
      <c r="C105" s="208"/>
      <c r="D105" s="208"/>
      <c r="E105" s="208"/>
      <c r="F105" s="208"/>
      <c r="G105" s="208"/>
      <c r="H105" s="208"/>
      <c r="I105" s="208"/>
      <c r="J105" s="208"/>
      <c r="K105" s="208"/>
      <c r="L105" s="208"/>
      <c r="M105" s="208"/>
      <c r="N105" s="209">
        <f t="shared" si="17"/>
        <v>0</v>
      </c>
      <c r="O105" s="203"/>
      <c r="P105" s="203"/>
      <c r="Q105" s="203"/>
      <c r="R105" s="203"/>
    </row>
    <row r="106" spans="1:18" ht="15.75">
      <c r="A106" s="207" t="s">
        <v>241</v>
      </c>
      <c r="B106" s="208"/>
      <c r="C106" s="209">
        <f>208.2</f>
        <v>208.2</v>
      </c>
      <c r="D106" s="209">
        <f>5.12</f>
        <v>5.12</v>
      </c>
      <c r="E106" s="209">
        <f>271.11</f>
        <v>271.11</v>
      </c>
      <c r="F106" s="209">
        <f>108.92</f>
        <v>108.92</v>
      </c>
      <c r="G106" s="209">
        <f>3609.99</f>
        <v>3609.99</v>
      </c>
      <c r="H106" s="209">
        <f>1998.93</f>
        <v>1998.93</v>
      </c>
      <c r="I106" s="209">
        <f>2502.38</f>
        <v>2502.38</v>
      </c>
      <c r="J106" s="209">
        <f>1270</f>
        <v>1270</v>
      </c>
      <c r="K106" s="209">
        <f>11128.26</f>
        <v>11128.26</v>
      </c>
      <c r="L106" s="209">
        <f>122.29</f>
        <v>122.29</v>
      </c>
      <c r="M106" s="209">
        <f>370.72</f>
        <v>370.72</v>
      </c>
      <c r="N106" s="209">
        <f t="shared" si="17"/>
        <v>21595.920000000006</v>
      </c>
      <c r="O106" s="203"/>
      <c r="P106" s="203"/>
      <c r="Q106" s="203"/>
      <c r="R106" s="203"/>
    </row>
    <row r="107" spans="1:18" ht="15.75">
      <c r="A107" s="207" t="s">
        <v>242</v>
      </c>
      <c r="B107" s="208"/>
      <c r="C107" s="208"/>
      <c r="D107" s="208"/>
      <c r="E107" s="209">
        <f>6.09</f>
        <v>6.09</v>
      </c>
      <c r="F107" s="208"/>
      <c r="G107" s="208"/>
      <c r="H107" s="208"/>
      <c r="I107" s="208"/>
      <c r="J107" s="208"/>
      <c r="K107" s="208"/>
      <c r="L107" s="208"/>
      <c r="M107" s="209">
        <f>29.26</f>
        <v>29.26</v>
      </c>
      <c r="N107" s="209">
        <f t="shared" si="17"/>
        <v>35.35</v>
      </c>
      <c r="O107" s="203"/>
      <c r="P107" s="203"/>
      <c r="Q107" s="203"/>
      <c r="R107" s="203"/>
    </row>
    <row r="108" spans="1:18" ht="15.75">
      <c r="A108" s="207" t="s">
        <v>243</v>
      </c>
      <c r="B108" s="208"/>
      <c r="C108" s="209">
        <f>26.64</f>
        <v>26.64</v>
      </c>
      <c r="D108" s="209">
        <f>19.63</f>
        <v>19.63</v>
      </c>
      <c r="E108" s="209">
        <f>147.14</f>
        <v>147.13999999999999</v>
      </c>
      <c r="F108" s="208"/>
      <c r="G108" s="209">
        <f>78.12</f>
        <v>78.12</v>
      </c>
      <c r="H108" s="209">
        <f>1038.71</f>
        <v>1038.71</v>
      </c>
      <c r="I108" s="209">
        <f>617.97</f>
        <v>617.97</v>
      </c>
      <c r="J108" s="209">
        <f>1144.01</f>
        <v>1144.01</v>
      </c>
      <c r="K108" s="209">
        <f>319.19</f>
        <v>319.19</v>
      </c>
      <c r="L108" s="209">
        <f>3.2</f>
        <v>3.2</v>
      </c>
      <c r="M108" s="209">
        <f>1212.51</f>
        <v>1212.51</v>
      </c>
      <c r="N108" s="209">
        <f t="shared" si="17"/>
        <v>4607.12</v>
      </c>
      <c r="O108" s="203"/>
      <c r="P108" s="203"/>
      <c r="Q108" s="203"/>
      <c r="R108" s="203"/>
    </row>
    <row r="109" spans="1:18" ht="15.75">
      <c r="A109" s="207" t="s">
        <v>244</v>
      </c>
      <c r="B109" s="208"/>
      <c r="C109" s="208"/>
      <c r="D109" s="208"/>
      <c r="E109" s="208"/>
      <c r="F109" s="209">
        <f>182.09</f>
        <v>182.09</v>
      </c>
      <c r="G109" s="208"/>
      <c r="H109" s="209">
        <f>79.41</f>
        <v>79.41</v>
      </c>
      <c r="I109" s="208"/>
      <c r="J109" s="209">
        <f>73.59</f>
        <v>73.59</v>
      </c>
      <c r="K109" s="209">
        <f>264.19</f>
        <v>264.19</v>
      </c>
      <c r="L109" s="208"/>
      <c r="M109" s="209">
        <f>180.63</f>
        <v>180.63</v>
      </c>
      <c r="N109" s="209">
        <f t="shared" si="17"/>
        <v>779.91</v>
      </c>
      <c r="O109" s="203"/>
      <c r="P109" s="203"/>
      <c r="Q109" s="203"/>
      <c r="R109" s="203"/>
    </row>
    <row r="110" spans="1:18" ht="15.75">
      <c r="A110" s="207" t="s">
        <v>245</v>
      </c>
      <c r="B110" s="208"/>
      <c r="C110" s="208"/>
      <c r="D110" s="209">
        <f>268.54</f>
        <v>268.54000000000002</v>
      </c>
      <c r="E110" s="208"/>
      <c r="F110" s="208"/>
      <c r="G110" s="208"/>
      <c r="H110" s="208"/>
      <c r="I110" s="208"/>
      <c r="J110" s="208"/>
      <c r="K110" s="208"/>
      <c r="L110" s="208"/>
      <c r="M110" s="208"/>
      <c r="N110" s="209">
        <f t="shared" si="17"/>
        <v>268.54000000000002</v>
      </c>
      <c r="O110" s="203"/>
      <c r="P110" s="203"/>
      <c r="Q110" s="203"/>
      <c r="R110" s="203"/>
    </row>
    <row r="111" spans="1:18" ht="15.75">
      <c r="A111" s="207" t="s">
        <v>246</v>
      </c>
      <c r="B111" s="208"/>
      <c r="C111" s="209">
        <f>20</f>
        <v>20</v>
      </c>
      <c r="D111" s="209">
        <f>40</f>
        <v>40</v>
      </c>
      <c r="E111" s="209">
        <f>20</f>
        <v>20</v>
      </c>
      <c r="F111" s="209">
        <f>50</f>
        <v>50</v>
      </c>
      <c r="G111" s="209">
        <f>10</f>
        <v>10</v>
      </c>
      <c r="H111" s="209">
        <f>20</f>
        <v>20</v>
      </c>
      <c r="I111" s="209">
        <f>40</f>
        <v>40</v>
      </c>
      <c r="J111" s="209">
        <f>10</f>
        <v>10</v>
      </c>
      <c r="K111" s="208"/>
      <c r="L111" s="209">
        <f>20</f>
        <v>20</v>
      </c>
      <c r="M111" s="208"/>
      <c r="N111" s="209">
        <f t="shared" si="17"/>
        <v>230</v>
      </c>
      <c r="O111" s="203"/>
      <c r="P111" s="203"/>
      <c r="Q111" s="203"/>
      <c r="R111" s="203"/>
    </row>
    <row r="112" spans="1:18" ht="15.75">
      <c r="A112" s="207" t="s">
        <v>178</v>
      </c>
      <c r="B112" s="208"/>
      <c r="C112" s="209">
        <f>32.3</f>
        <v>32.299999999999997</v>
      </c>
      <c r="D112" s="209">
        <f>3431.55</f>
        <v>3431.55</v>
      </c>
      <c r="E112" s="208"/>
      <c r="F112" s="209">
        <f>1553.82</f>
        <v>1553.82</v>
      </c>
      <c r="G112" s="208"/>
      <c r="H112" s="209">
        <f>2950.69</f>
        <v>2950.69</v>
      </c>
      <c r="I112" s="209">
        <f>2676.83</f>
        <v>2676.83</v>
      </c>
      <c r="J112" s="209">
        <f>2152.36</f>
        <v>2152.36</v>
      </c>
      <c r="K112" s="209">
        <f>108.07</f>
        <v>108.07</v>
      </c>
      <c r="L112" s="209">
        <f>1289.24</f>
        <v>1289.24</v>
      </c>
      <c r="M112" s="209">
        <f>29.58</f>
        <v>29.58</v>
      </c>
      <c r="N112" s="209">
        <f t="shared" si="17"/>
        <v>14224.44</v>
      </c>
      <c r="O112" s="203"/>
      <c r="P112" s="203"/>
      <c r="Q112" s="203"/>
      <c r="R112" s="203"/>
    </row>
    <row r="113" spans="1:18" ht="15.75">
      <c r="A113" s="207" t="s">
        <v>247</v>
      </c>
      <c r="B113" s="210">
        <f t="shared" ref="B113:M113" si="24">(((((((B105)+(B106))+(B107))+(B108))+(B109))+(B110))+(B111))+(B112)</f>
        <v>0</v>
      </c>
      <c r="C113" s="210">
        <f t="shared" si="24"/>
        <v>287.14</v>
      </c>
      <c r="D113" s="210">
        <f t="shared" si="24"/>
        <v>3764.84</v>
      </c>
      <c r="E113" s="210">
        <f t="shared" si="24"/>
        <v>444.34</v>
      </c>
      <c r="F113" s="210">
        <f t="shared" si="24"/>
        <v>1894.83</v>
      </c>
      <c r="G113" s="210">
        <f t="shared" si="24"/>
        <v>3698.1099999999997</v>
      </c>
      <c r="H113" s="210">
        <f t="shared" si="24"/>
        <v>6087.74</v>
      </c>
      <c r="I113" s="210">
        <f t="shared" si="24"/>
        <v>5837.18</v>
      </c>
      <c r="J113" s="210">
        <f t="shared" si="24"/>
        <v>4649.9600000000009</v>
      </c>
      <c r="K113" s="210">
        <f t="shared" si="24"/>
        <v>11819.710000000001</v>
      </c>
      <c r="L113" s="210">
        <f t="shared" si="24"/>
        <v>1434.73</v>
      </c>
      <c r="M113" s="210">
        <f t="shared" si="24"/>
        <v>1822.6999999999998</v>
      </c>
      <c r="N113" s="210">
        <f t="shared" si="17"/>
        <v>41741.279999999999</v>
      </c>
      <c r="O113" s="252">
        <f>SUM(N105:N112)</f>
        <v>41741.280000000006</v>
      </c>
      <c r="P113" s="203"/>
      <c r="Q113" s="203"/>
      <c r="R113" s="203"/>
    </row>
    <row r="114" spans="1:18" ht="15.75">
      <c r="A114" s="207" t="s">
        <v>248</v>
      </c>
      <c r="B114" s="208"/>
      <c r="C114" s="209">
        <f>29.84</f>
        <v>29.84</v>
      </c>
      <c r="D114" s="209">
        <f>198.97</f>
        <v>198.97</v>
      </c>
      <c r="E114" s="209">
        <f>888</f>
        <v>888</v>
      </c>
      <c r="F114" s="209">
        <f>204.86</f>
        <v>204.86</v>
      </c>
      <c r="G114" s="209">
        <f>199.22</f>
        <v>199.22</v>
      </c>
      <c r="H114" s="209">
        <f>192.87</f>
        <v>192.87</v>
      </c>
      <c r="I114" s="209">
        <f>321.33</f>
        <v>321.33</v>
      </c>
      <c r="J114" s="209">
        <f>554.72</f>
        <v>554.72</v>
      </c>
      <c r="K114" s="209">
        <f>35.24</f>
        <v>35.24</v>
      </c>
      <c r="L114" s="209">
        <f>169.96</f>
        <v>169.96</v>
      </c>
      <c r="M114" s="209">
        <f>673.57</f>
        <v>673.57</v>
      </c>
      <c r="N114" s="209">
        <f t="shared" si="17"/>
        <v>3468.5800000000004</v>
      </c>
      <c r="O114" s="203"/>
      <c r="P114" s="203"/>
      <c r="Q114" s="203"/>
      <c r="R114" s="203"/>
    </row>
    <row r="115" spans="1:18" ht="15.75">
      <c r="A115" s="207" t="s">
        <v>249</v>
      </c>
      <c r="B115" s="209">
        <f>179.03</f>
        <v>179.03</v>
      </c>
      <c r="C115" s="208"/>
      <c r="D115" s="209">
        <f>119.35</f>
        <v>119.35</v>
      </c>
      <c r="E115" s="209">
        <f>59.68</f>
        <v>59.68</v>
      </c>
      <c r="F115" s="208"/>
      <c r="G115" s="208"/>
      <c r="H115" s="208"/>
      <c r="I115" s="208"/>
      <c r="J115" s="208"/>
      <c r="K115" s="208"/>
      <c r="L115" s="208"/>
      <c r="M115" s="209">
        <f>108.2</f>
        <v>108.2</v>
      </c>
      <c r="N115" s="209">
        <f t="shared" si="17"/>
        <v>466.26</v>
      </c>
      <c r="O115" s="203"/>
      <c r="P115" s="203"/>
      <c r="Q115" s="203"/>
      <c r="R115" s="203"/>
    </row>
    <row r="116" spans="1:18" ht="15.75">
      <c r="A116" s="207" t="s">
        <v>250</v>
      </c>
      <c r="B116" s="210">
        <f t="shared" ref="B116:M116" si="25">((((((B101)+(B102))+(B103))+(B104))+(B113))+(B114))+(B115)</f>
        <v>179.03</v>
      </c>
      <c r="C116" s="210">
        <f t="shared" si="25"/>
        <v>483.64999999999992</v>
      </c>
      <c r="D116" s="210">
        <f t="shared" si="25"/>
        <v>4574.4100000000008</v>
      </c>
      <c r="E116" s="210">
        <f t="shared" si="25"/>
        <v>1392.02</v>
      </c>
      <c r="F116" s="210">
        <f t="shared" si="25"/>
        <v>2373.1</v>
      </c>
      <c r="G116" s="210">
        <f t="shared" si="25"/>
        <v>10364.049999999999</v>
      </c>
      <c r="H116" s="210">
        <f t="shared" si="25"/>
        <v>6489.75</v>
      </c>
      <c r="I116" s="210">
        <f t="shared" si="25"/>
        <v>7797.42</v>
      </c>
      <c r="J116" s="210">
        <f t="shared" si="25"/>
        <v>5204.6800000000012</v>
      </c>
      <c r="K116" s="210">
        <f t="shared" si="25"/>
        <v>12320.820000000002</v>
      </c>
      <c r="L116" s="210">
        <f t="shared" si="25"/>
        <v>1604.69</v>
      </c>
      <c r="M116" s="210">
        <f t="shared" si="25"/>
        <v>3179.52</v>
      </c>
      <c r="N116" s="210">
        <f t="shared" si="17"/>
        <v>55963.14</v>
      </c>
      <c r="O116" s="203"/>
      <c r="P116" s="203"/>
      <c r="Q116" s="203"/>
      <c r="R116" s="203"/>
    </row>
    <row r="117" spans="1:18" ht="15.75">
      <c r="A117" s="207" t="s">
        <v>251</v>
      </c>
      <c r="B117" s="208"/>
      <c r="C117" s="208"/>
      <c r="D117" s="208"/>
      <c r="E117" s="208"/>
      <c r="F117" s="208"/>
      <c r="G117" s="208"/>
      <c r="H117" s="208"/>
      <c r="I117" s="208"/>
      <c r="J117" s="208"/>
      <c r="K117" s="208"/>
      <c r="L117" s="208"/>
      <c r="M117" s="208"/>
      <c r="N117" s="209">
        <f t="shared" si="17"/>
        <v>0</v>
      </c>
      <c r="O117" s="203"/>
      <c r="P117" s="203"/>
      <c r="Q117" s="203"/>
      <c r="R117" s="203"/>
    </row>
    <row r="118" spans="1:18" ht="15.75">
      <c r="A118" s="207" t="s">
        <v>252</v>
      </c>
      <c r="B118" s="208"/>
      <c r="C118" s="208"/>
      <c r="D118" s="208"/>
      <c r="E118" s="208"/>
      <c r="F118" s="208"/>
      <c r="G118" s="208"/>
      <c r="H118" s="209">
        <f>298</f>
        <v>298</v>
      </c>
      <c r="I118" s="208"/>
      <c r="J118" s="208"/>
      <c r="K118" s="208"/>
      <c r="L118" s="208"/>
      <c r="M118" s="208"/>
      <c r="N118" s="209">
        <f t="shared" si="17"/>
        <v>298</v>
      </c>
      <c r="O118" s="203"/>
      <c r="P118" s="203"/>
      <c r="Q118" s="203"/>
      <c r="R118" s="203"/>
    </row>
    <row r="119" spans="1:18" ht="15.75">
      <c r="A119" s="207" t="s">
        <v>253</v>
      </c>
      <c r="B119" s="208"/>
      <c r="C119" s="208"/>
      <c r="D119" s="208"/>
      <c r="E119" s="209">
        <f>890.34</f>
        <v>890.34</v>
      </c>
      <c r="F119" s="208"/>
      <c r="G119" s="208"/>
      <c r="H119" s="208"/>
      <c r="I119" s="208"/>
      <c r="J119" s="208"/>
      <c r="K119" s="208"/>
      <c r="L119" s="208"/>
      <c r="M119" s="208"/>
      <c r="N119" s="209">
        <f t="shared" si="17"/>
        <v>890.34</v>
      </c>
      <c r="O119" s="203"/>
      <c r="P119" s="203"/>
      <c r="Q119" s="203"/>
      <c r="R119" s="203"/>
    </row>
    <row r="120" spans="1:18" ht="15.75">
      <c r="A120" s="207" t="s">
        <v>254</v>
      </c>
      <c r="B120" s="208"/>
      <c r="C120" s="208"/>
      <c r="D120" s="208"/>
      <c r="E120" s="209">
        <f>2031.06</f>
        <v>2031.06</v>
      </c>
      <c r="F120" s="208"/>
      <c r="G120" s="208"/>
      <c r="H120" s="208"/>
      <c r="I120" s="208"/>
      <c r="J120" s="208"/>
      <c r="K120" s="208"/>
      <c r="L120" s="208"/>
      <c r="M120" s="208"/>
      <c r="N120" s="209">
        <f t="shared" si="17"/>
        <v>2031.06</v>
      </c>
      <c r="O120" s="203"/>
      <c r="P120" s="203"/>
      <c r="Q120" s="203"/>
      <c r="R120" s="203"/>
    </row>
    <row r="121" spans="1:18" ht="15.75">
      <c r="A121" s="207" t="s">
        <v>255</v>
      </c>
      <c r="B121" s="209">
        <f>1139.47</f>
        <v>1139.47</v>
      </c>
      <c r="C121" s="209">
        <f>1068.53</f>
        <v>1068.53</v>
      </c>
      <c r="D121" s="209">
        <f>795.08</f>
        <v>795.08</v>
      </c>
      <c r="E121" s="209">
        <f>915.46</f>
        <v>915.46</v>
      </c>
      <c r="F121" s="209">
        <f>1048.58</f>
        <v>1048.58</v>
      </c>
      <c r="G121" s="209">
        <f>1287.83</f>
        <v>1287.83</v>
      </c>
      <c r="H121" s="209">
        <f>1293.85</f>
        <v>1293.8499999999999</v>
      </c>
      <c r="I121" s="209">
        <f>1181.13</f>
        <v>1181.1300000000001</v>
      </c>
      <c r="J121" s="209">
        <f>1831.35</f>
        <v>1831.35</v>
      </c>
      <c r="K121" s="209">
        <f>1517.67</f>
        <v>1517.67</v>
      </c>
      <c r="L121" s="209">
        <f>1465.96</f>
        <v>1465.96</v>
      </c>
      <c r="M121" s="209">
        <f>1330.97</f>
        <v>1330.97</v>
      </c>
      <c r="N121" s="209">
        <f t="shared" si="17"/>
        <v>14875.88</v>
      </c>
      <c r="O121" s="203"/>
      <c r="P121" s="203"/>
      <c r="Q121" s="203"/>
      <c r="R121" s="203"/>
    </row>
    <row r="122" spans="1:18" ht="15.75">
      <c r="A122" s="207" t="s">
        <v>256</v>
      </c>
      <c r="B122" s="209">
        <f>2157.68</f>
        <v>2157.6799999999998</v>
      </c>
      <c r="C122" s="209">
        <f>1970.74</f>
        <v>1970.74</v>
      </c>
      <c r="D122" s="209">
        <f>1390.11</f>
        <v>1390.11</v>
      </c>
      <c r="E122" s="209">
        <f>1681.26</f>
        <v>1681.26</v>
      </c>
      <c r="F122" s="209">
        <f>1805.79</f>
        <v>1805.79</v>
      </c>
      <c r="G122" s="209">
        <f>2422.77</f>
        <v>2422.77</v>
      </c>
      <c r="H122" s="209">
        <f>2296.2</f>
        <v>2296.1999999999998</v>
      </c>
      <c r="I122" s="209">
        <f>2188.23</f>
        <v>2188.23</v>
      </c>
      <c r="J122" s="209">
        <f>3437.87</f>
        <v>3437.87</v>
      </c>
      <c r="K122" s="209">
        <f>2858.45</f>
        <v>2858.45</v>
      </c>
      <c r="L122" s="209">
        <f>2676.42</f>
        <v>2676.42</v>
      </c>
      <c r="M122" s="209">
        <f>2437.9</f>
        <v>2437.9</v>
      </c>
      <c r="N122" s="209">
        <f t="shared" si="17"/>
        <v>27323.42</v>
      </c>
      <c r="O122" s="203"/>
      <c r="P122" s="203"/>
      <c r="Q122" s="203"/>
      <c r="R122" s="203"/>
    </row>
    <row r="123" spans="1:18" ht="15.75">
      <c r="A123" s="207" t="s">
        <v>257</v>
      </c>
      <c r="B123" s="209">
        <f>0</f>
        <v>0</v>
      </c>
      <c r="C123" s="209">
        <f>0</f>
        <v>0</v>
      </c>
      <c r="D123" s="209">
        <f>0</f>
        <v>0</v>
      </c>
      <c r="E123" s="209">
        <f>0</f>
        <v>0</v>
      </c>
      <c r="F123" s="209">
        <f>0</f>
        <v>0</v>
      </c>
      <c r="G123" s="209">
        <f>0</f>
        <v>0</v>
      </c>
      <c r="H123" s="209">
        <f>0</f>
        <v>0</v>
      </c>
      <c r="I123" s="209">
        <f>0</f>
        <v>0</v>
      </c>
      <c r="J123" s="209">
        <f>0</f>
        <v>0</v>
      </c>
      <c r="K123" s="209">
        <f>0</f>
        <v>0</v>
      </c>
      <c r="L123" s="209">
        <f>0</f>
        <v>0</v>
      </c>
      <c r="M123" s="209">
        <f>0</f>
        <v>0</v>
      </c>
      <c r="N123" s="209">
        <f t="shared" si="17"/>
        <v>0</v>
      </c>
      <c r="O123" s="203"/>
      <c r="P123" s="203"/>
      <c r="Q123" s="203"/>
      <c r="R123" s="203"/>
    </row>
    <row r="124" spans="1:18" ht="15.75">
      <c r="A124" s="207" t="s">
        <v>258</v>
      </c>
      <c r="B124" s="208"/>
      <c r="C124" s="209">
        <f>1167.87</f>
        <v>1167.8699999999999</v>
      </c>
      <c r="D124" s="209">
        <f>958.33</f>
        <v>958.33</v>
      </c>
      <c r="E124" s="209">
        <f>1054.1</f>
        <v>1054.0999999999999</v>
      </c>
      <c r="F124" s="209">
        <f>1111.02</f>
        <v>1111.02</v>
      </c>
      <c r="G124" s="209">
        <f>1260.95</f>
        <v>1260.95</v>
      </c>
      <c r="H124" s="209">
        <f>1132.23</f>
        <v>1132.23</v>
      </c>
      <c r="I124" s="209">
        <f>1217.04</f>
        <v>1217.04</v>
      </c>
      <c r="J124" s="209">
        <f>1223.43</f>
        <v>1223.43</v>
      </c>
      <c r="K124" s="209">
        <f>1183.36</f>
        <v>1183.3599999999999</v>
      </c>
      <c r="L124" s="209">
        <f>1363.46</f>
        <v>1363.46</v>
      </c>
      <c r="M124" s="209">
        <f>2218.1</f>
        <v>2218.1</v>
      </c>
      <c r="N124" s="209">
        <f t="shared" si="17"/>
        <v>13889.890000000001</v>
      </c>
      <c r="O124" s="203"/>
      <c r="P124" s="203"/>
      <c r="Q124" s="203"/>
      <c r="R124" s="203"/>
    </row>
    <row r="125" spans="1:18" ht="15.75">
      <c r="A125" s="207" t="s">
        <v>259</v>
      </c>
      <c r="B125" s="208"/>
      <c r="C125" s="209">
        <f>747.02</f>
        <v>747.02</v>
      </c>
      <c r="D125" s="209">
        <f>586.2</f>
        <v>586.20000000000005</v>
      </c>
      <c r="E125" s="209">
        <f>628.45</f>
        <v>628.45000000000005</v>
      </c>
      <c r="F125" s="209">
        <f>739.51</f>
        <v>739.51</v>
      </c>
      <c r="G125" s="209">
        <f>839.3</f>
        <v>839.3</v>
      </c>
      <c r="H125" s="209">
        <f>839.3</f>
        <v>839.3</v>
      </c>
      <c r="I125" s="209">
        <f>1001.66</f>
        <v>1001.66</v>
      </c>
      <c r="J125" s="209">
        <f>859.61</f>
        <v>859.61</v>
      </c>
      <c r="K125" s="209">
        <f>790.42</f>
        <v>790.42</v>
      </c>
      <c r="L125" s="209">
        <f>884.53</f>
        <v>884.53</v>
      </c>
      <c r="M125" s="209">
        <f>1406.48</f>
        <v>1406.48</v>
      </c>
      <c r="N125" s="209">
        <f t="shared" si="17"/>
        <v>9322.48</v>
      </c>
      <c r="O125" s="203"/>
      <c r="P125" s="203"/>
      <c r="Q125" s="203"/>
      <c r="R125" s="203"/>
    </row>
    <row r="126" spans="1:18" ht="15.75">
      <c r="A126" s="207" t="s">
        <v>260</v>
      </c>
      <c r="B126" s="208"/>
      <c r="C126" s="208"/>
      <c r="D126" s="208"/>
      <c r="E126" s="209">
        <f>4902.45</f>
        <v>4902.45</v>
      </c>
      <c r="F126" s="208"/>
      <c r="G126" s="208"/>
      <c r="H126" s="208"/>
      <c r="I126" s="208"/>
      <c r="J126" s="208"/>
      <c r="K126" s="208"/>
      <c r="L126" s="208"/>
      <c r="M126" s="208"/>
      <c r="N126" s="209">
        <f t="shared" si="17"/>
        <v>4902.45</v>
      </c>
      <c r="O126" s="203"/>
      <c r="P126" s="203"/>
      <c r="Q126" s="203"/>
      <c r="R126" s="203"/>
    </row>
    <row r="127" spans="1:18" ht="15.75">
      <c r="A127" s="207" t="s">
        <v>261</v>
      </c>
      <c r="B127" s="210">
        <f t="shared" ref="B127:M127" si="26">(((((((((B117)+(B118))+(B119))+(B120))+(B121))+(B122))+(B123))+(B124))+(B125))+(B126)</f>
        <v>3297.1499999999996</v>
      </c>
      <c r="C127" s="210">
        <f t="shared" si="26"/>
        <v>4954.16</v>
      </c>
      <c r="D127" s="210">
        <f t="shared" si="26"/>
        <v>3729.7200000000003</v>
      </c>
      <c r="E127" s="210">
        <f t="shared" si="26"/>
        <v>12103.119999999999</v>
      </c>
      <c r="F127" s="210">
        <f t="shared" si="26"/>
        <v>4704.8999999999996</v>
      </c>
      <c r="G127" s="210">
        <f t="shared" si="26"/>
        <v>5810.85</v>
      </c>
      <c r="H127" s="210">
        <f t="shared" si="26"/>
        <v>5859.58</v>
      </c>
      <c r="I127" s="210">
        <f t="shared" si="26"/>
        <v>5588.0599999999995</v>
      </c>
      <c r="J127" s="210">
        <f t="shared" si="26"/>
        <v>7352.2599999999993</v>
      </c>
      <c r="K127" s="210">
        <f t="shared" si="26"/>
        <v>6349.9</v>
      </c>
      <c r="L127" s="210">
        <f t="shared" si="26"/>
        <v>6390.37</v>
      </c>
      <c r="M127" s="210">
        <f t="shared" si="26"/>
        <v>7393.4499999999989</v>
      </c>
      <c r="N127" s="210">
        <f t="shared" si="17"/>
        <v>73533.51999999999</v>
      </c>
      <c r="O127" s="203"/>
      <c r="P127" s="203"/>
      <c r="Q127" s="203"/>
      <c r="R127" s="203"/>
    </row>
    <row r="128" spans="1:18" ht="15.75">
      <c r="A128" s="207" t="s">
        <v>262</v>
      </c>
      <c r="B128" s="208"/>
      <c r="C128" s="209">
        <f>28.76</f>
        <v>28.76</v>
      </c>
      <c r="D128" s="209">
        <f>146.16</f>
        <v>146.16</v>
      </c>
      <c r="E128" s="209">
        <f>119.85</f>
        <v>119.85</v>
      </c>
      <c r="F128" s="208"/>
      <c r="G128" s="209">
        <f>29.9</f>
        <v>29.9</v>
      </c>
      <c r="H128" s="209">
        <f>424.44</f>
        <v>424.44</v>
      </c>
      <c r="I128" s="208"/>
      <c r="J128" s="208"/>
      <c r="K128" s="209">
        <f>1187.91</f>
        <v>1187.9100000000001</v>
      </c>
      <c r="L128" s="208"/>
      <c r="M128" s="208"/>
      <c r="N128" s="209">
        <f t="shared" si="17"/>
        <v>1937.02</v>
      </c>
      <c r="O128" s="203"/>
      <c r="P128" s="203"/>
      <c r="Q128" s="203"/>
      <c r="R128" s="203"/>
    </row>
    <row r="129" spans="1:18" ht="15.75">
      <c r="A129" s="207" t="s">
        <v>263</v>
      </c>
      <c r="B129" s="208"/>
      <c r="C129" s="208"/>
      <c r="D129" s="208"/>
      <c r="E129" s="208"/>
      <c r="F129" s="208"/>
      <c r="G129" s="208"/>
      <c r="H129" s="208"/>
      <c r="I129" s="208"/>
      <c r="J129" s="208"/>
      <c r="K129" s="208"/>
      <c r="L129" s="208"/>
      <c r="M129" s="208"/>
      <c r="N129" s="209">
        <f t="shared" si="17"/>
        <v>0</v>
      </c>
      <c r="O129" s="203"/>
      <c r="P129" s="203"/>
      <c r="Q129" s="203"/>
      <c r="R129" s="203"/>
    </row>
    <row r="130" spans="1:18" ht="15.75">
      <c r="A130" s="207" t="s">
        <v>264</v>
      </c>
      <c r="B130" s="209">
        <f>215.32</f>
        <v>215.32</v>
      </c>
      <c r="C130" s="209">
        <f>202.25</f>
        <v>202.25</v>
      </c>
      <c r="D130" s="209">
        <f>196.75</f>
        <v>196.75</v>
      </c>
      <c r="E130" s="209">
        <f>132.79</f>
        <v>132.79</v>
      </c>
      <c r="F130" s="209">
        <f>67</f>
        <v>67</v>
      </c>
      <c r="G130" s="209">
        <f>130.8</f>
        <v>130.80000000000001</v>
      </c>
      <c r="H130" s="208"/>
      <c r="I130" s="209">
        <f>43.36</f>
        <v>43.36</v>
      </c>
      <c r="J130" s="209">
        <f>62.5</f>
        <v>62.5</v>
      </c>
      <c r="K130" s="209">
        <f>58.6</f>
        <v>58.6</v>
      </c>
      <c r="L130" s="209">
        <f>79.14</f>
        <v>79.14</v>
      </c>
      <c r="M130" s="209">
        <f>124.56</f>
        <v>124.56</v>
      </c>
      <c r="N130" s="209">
        <f t="shared" si="17"/>
        <v>1313.07</v>
      </c>
      <c r="O130" s="203"/>
      <c r="P130" s="203"/>
      <c r="Q130" s="203"/>
      <c r="R130" s="203"/>
    </row>
    <row r="131" spans="1:18" ht="15.75">
      <c r="A131" s="207" t="s">
        <v>265</v>
      </c>
      <c r="B131" s="209">
        <f>154.62</f>
        <v>154.62</v>
      </c>
      <c r="C131" s="209">
        <f>318.01</f>
        <v>318.01</v>
      </c>
      <c r="D131" s="209">
        <f>880.06</f>
        <v>880.06</v>
      </c>
      <c r="E131" s="209">
        <f>254.26</f>
        <v>254.26</v>
      </c>
      <c r="F131" s="209">
        <f>154.37</f>
        <v>154.37</v>
      </c>
      <c r="G131" s="209">
        <f>463.01</f>
        <v>463.01</v>
      </c>
      <c r="H131" s="209">
        <f>471.02</f>
        <v>471.02</v>
      </c>
      <c r="I131" s="209">
        <f>603.72</f>
        <v>603.72</v>
      </c>
      <c r="J131" s="208"/>
      <c r="K131" s="209">
        <f>738.01</f>
        <v>738.01</v>
      </c>
      <c r="L131" s="209">
        <f>212.61</f>
        <v>212.61</v>
      </c>
      <c r="M131" s="209">
        <f>525.45</f>
        <v>525.45000000000005</v>
      </c>
      <c r="N131" s="209">
        <f t="shared" si="17"/>
        <v>4775.1399999999994</v>
      </c>
      <c r="O131" s="203"/>
      <c r="P131" s="203"/>
      <c r="Q131" s="203"/>
      <c r="R131" s="203"/>
    </row>
    <row r="132" spans="1:18" ht="15.75">
      <c r="A132" s="207" t="s">
        <v>266</v>
      </c>
      <c r="B132" s="209">
        <f>53.37</f>
        <v>53.37</v>
      </c>
      <c r="C132" s="209">
        <f>61.91</f>
        <v>61.91</v>
      </c>
      <c r="D132" s="209">
        <f t="shared" ref="D132:M132" si="27">57.64</f>
        <v>57.64</v>
      </c>
      <c r="E132" s="209">
        <f t="shared" si="27"/>
        <v>57.64</v>
      </c>
      <c r="F132" s="209">
        <f t="shared" si="27"/>
        <v>57.64</v>
      </c>
      <c r="G132" s="209">
        <f t="shared" si="27"/>
        <v>57.64</v>
      </c>
      <c r="H132" s="209">
        <f t="shared" si="27"/>
        <v>57.64</v>
      </c>
      <c r="I132" s="209">
        <f t="shared" si="27"/>
        <v>57.64</v>
      </c>
      <c r="J132" s="209">
        <f t="shared" si="27"/>
        <v>57.64</v>
      </c>
      <c r="K132" s="209">
        <f t="shared" si="27"/>
        <v>57.64</v>
      </c>
      <c r="L132" s="209">
        <f t="shared" si="27"/>
        <v>57.64</v>
      </c>
      <c r="M132" s="209">
        <f t="shared" si="27"/>
        <v>57.64</v>
      </c>
      <c r="N132" s="209">
        <f t="shared" si="17"/>
        <v>691.68</v>
      </c>
      <c r="O132" s="203"/>
      <c r="P132" s="203"/>
      <c r="Q132" s="203"/>
      <c r="R132" s="203"/>
    </row>
    <row r="133" spans="1:18" ht="15.75">
      <c r="A133" s="207" t="s">
        <v>267</v>
      </c>
      <c r="B133" s="210">
        <f t="shared" ref="B133:M133" si="28">(((B129)+(B130))+(B131))+(B132)</f>
        <v>423.31</v>
      </c>
      <c r="C133" s="210">
        <f t="shared" si="28"/>
        <v>582.16999999999996</v>
      </c>
      <c r="D133" s="210">
        <f t="shared" si="28"/>
        <v>1134.45</v>
      </c>
      <c r="E133" s="210">
        <f t="shared" si="28"/>
        <v>444.68999999999994</v>
      </c>
      <c r="F133" s="210">
        <f t="shared" si="28"/>
        <v>279.01</v>
      </c>
      <c r="G133" s="210">
        <f t="shared" si="28"/>
        <v>651.44999999999993</v>
      </c>
      <c r="H133" s="210">
        <f t="shared" si="28"/>
        <v>528.66</v>
      </c>
      <c r="I133" s="210">
        <f t="shared" si="28"/>
        <v>704.72</v>
      </c>
      <c r="J133" s="210">
        <f t="shared" si="28"/>
        <v>120.14</v>
      </c>
      <c r="K133" s="210">
        <f t="shared" si="28"/>
        <v>854.25</v>
      </c>
      <c r="L133" s="210">
        <f t="shared" si="28"/>
        <v>349.39</v>
      </c>
      <c r="M133" s="210">
        <f t="shared" si="28"/>
        <v>707.65</v>
      </c>
      <c r="N133" s="210">
        <f t="shared" si="17"/>
        <v>6779.89</v>
      </c>
      <c r="O133" s="203"/>
      <c r="P133" s="203"/>
      <c r="Q133" s="203"/>
      <c r="R133" s="203"/>
    </row>
    <row r="134" spans="1:18" ht="15.75">
      <c r="A134" s="207" t="s">
        <v>268</v>
      </c>
      <c r="B134" s="208"/>
      <c r="C134" s="208"/>
      <c r="D134" s="208"/>
      <c r="E134" s="208"/>
      <c r="F134" s="208"/>
      <c r="G134" s="208"/>
      <c r="H134" s="208"/>
      <c r="I134" s="208"/>
      <c r="J134" s="208"/>
      <c r="K134" s="208"/>
      <c r="L134" s="208"/>
      <c r="M134" s="208"/>
      <c r="N134" s="209">
        <f t="shared" si="17"/>
        <v>0</v>
      </c>
      <c r="O134" s="203"/>
      <c r="P134" s="203"/>
      <c r="Q134" s="203"/>
      <c r="R134" s="203"/>
    </row>
    <row r="135" spans="1:18" ht="15.75">
      <c r="A135" s="207" t="s">
        <v>269</v>
      </c>
      <c r="B135" s="208"/>
      <c r="C135" s="209">
        <f>1425.63</f>
        <v>1425.63</v>
      </c>
      <c r="D135" s="209">
        <f>1237.51</f>
        <v>1237.51</v>
      </c>
      <c r="E135" s="209">
        <f>783.75</f>
        <v>783.75</v>
      </c>
      <c r="F135" s="209">
        <f>1121.25</f>
        <v>1121.25</v>
      </c>
      <c r="G135" s="209">
        <f>1824.39</f>
        <v>1824.39</v>
      </c>
      <c r="H135" s="209">
        <f>1350.02</f>
        <v>1350.02</v>
      </c>
      <c r="I135" s="209">
        <f>1667.03</f>
        <v>1667.03</v>
      </c>
      <c r="J135" s="209">
        <f>1645.01</f>
        <v>1645.01</v>
      </c>
      <c r="K135" s="209">
        <f>1659.38</f>
        <v>1659.38</v>
      </c>
      <c r="L135" s="209">
        <f>3086.27</f>
        <v>3086.27</v>
      </c>
      <c r="M135" s="209">
        <f>1321.89</f>
        <v>1321.89</v>
      </c>
      <c r="N135" s="209">
        <f t="shared" si="17"/>
        <v>17122.13</v>
      </c>
      <c r="O135" s="203"/>
      <c r="P135" s="203"/>
      <c r="Q135" s="203"/>
      <c r="R135" s="203"/>
    </row>
    <row r="136" spans="1:18" ht="15.75">
      <c r="A136" s="207" t="s">
        <v>270</v>
      </c>
      <c r="B136" s="208"/>
      <c r="C136" s="208"/>
      <c r="D136" s="208"/>
      <c r="E136" s="208"/>
      <c r="F136" s="208"/>
      <c r="G136" s="209">
        <f>13.04</f>
        <v>13.04</v>
      </c>
      <c r="H136" s="208"/>
      <c r="I136" s="208"/>
      <c r="J136" s="208"/>
      <c r="K136" s="208"/>
      <c r="L136" s="208"/>
      <c r="M136" s="208"/>
      <c r="N136" s="209">
        <f t="shared" si="17"/>
        <v>13.04</v>
      </c>
      <c r="O136" s="203"/>
      <c r="P136" s="203"/>
      <c r="Q136" s="203"/>
      <c r="R136" s="203"/>
    </row>
    <row r="137" spans="1:18" ht="15.75">
      <c r="A137" s="207" t="s">
        <v>271</v>
      </c>
      <c r="B137" s="208"/>
      <c r="C137" s="209">
        <f>812.5</f>
        <v>812.5</v>
      </c>
      <c r="D137" s="208"/>
      <c r="E137" s="209">
        <f>812.5</f>
        <v>812.5</v>
      </c>
      <c r="F137" s="209">
        <f>812.5</f>
        <v>812.5</v>
      </c>
      <c r="G137" s="208"/>
      <c r="H137" s="209">
        <f>812.5</f>
        <v>812.5</v>
      </c>
      <c r="I137" s="208"/>
      <c r="J137" s="209">
        <f>2161.25</f>
        <v>2161.25</v>
      </c>
      <c r="K137" s="208"/>
      <c r="L137" s="209">
        <f>1625</f>
        <v>1625</v>
      </c>
      <c r="M137" s="208"/>
      <c r="N137" s="209">
        <f t="shared" si="17"/>
        <v>7036.25</v>
      </c>
      <c r="O137" s="203"/>
      <c r="P137" s="203"/>
      <c r="Q137" s="203"/>
      <c r="R137" s="203"/>
    </row>
    <row r="138" spans="1:18" ht="15.75">
      <c r="A138" s="207" t="s">
        <v>272</v>
      </c>
      <c r="B138" s="208"/>
      <c r="C138" s="208"/>
      <c r="D138" s="209">
        <f>-15</f>
        <v>-15</v>
      </c>
      <c r="E138" s="208"/>
      <c r="F138" s="208"/>
      <c r="G138" s="208"/>
      <c r="H138" s="208"/>
      <c r="I138" s="208"/>
      <c r="J138" s="208"/>
      <c r="K138" s="208"/>
      <c r="L138" s="208"/>
      <c r="M138" s="208"/>
      <c r="N138" s="209">
        <f t="shared" si="17"/>
        <v>-15</v>
      </c>
      <c r="O138" s="203"/>
      <c r="P138" s="203"/>
      <c r="Q138" s="203"/>
      <c r="R138" s="203"/>
    </row>
    <row r="139" spans="1:18" ht="15.75">
      <c r="A139" s="207" t="s">
        <v>273</v>
      </c>
      <c r="B139" s="208"/>
      <c r="C139" s="208"/>
      <c r="D139" s="209">
        <f>2079.8</f>
        <v>2079.8000000000002</v>
      </c>
      <c r="E139" s="208"/>
      <c r="F139" s="209">
        <f>2184.98</f>
        <v>2184.98</v>
      </c>
      <c r="G139" s="209">
        <f>2174.13</f>
        <v>2174.13</v>
      </c>
      <c r="H139" s="209">
        <f>2337.2</f>
        <v>2337.1999999999998</v>
      </c>
      <c r="I139" s="208"/>
      <c r="J139" s="209">
        <f>1506.95</f>
        <v>1506.95</v>
      </c>
      <c r="K139" s="209">
        <f>4552.59</f>
        <v>4552.59</v>
      </c>
      <c r="L139" s="209">
        <f>2483.28</f>
        <v>2483.2800000000002</v>
      </c>
      <c r="M139" s="209">
        <f>2392.04</f>
        <v>2392.04</v>
      </c>
      <c r="N139" s="209">
        <f t="shared" si="17"/>
        <v>19710.97</v>
      </c>
      <c r="O139" s="203"/>
      <c r="P139" s="203"/>
      <c r="Q139" s="203"/>
      <c r="R139" s="203"/>
    </row>
    <row r="140" spans="1:18" ht="15.75">
      <c r="A140" s="207" t="s">
        <v>274</v>
      </c>
      <c r="B140" s="210">
        <f t="shared" ref="B140:M140" si="29">((((B135)+(B136))+(B137))+(B138))+(B139)</f>
        <v>0</v>
      </c>
      <c r="C140" s="210">
        <f t="shared" si="29"/>
        <v>2238.13</v>
      </c>
      <c r="D140" s="210">
        <f t="shared" si="29"/>
        <v>3302.3100000000004</v>
      </c>
      <c r="E140" s="210">
        <f t="shared" si="29"/>
        <v>1596.25</v>
      </c>
      <c r="F140" s="210">
        <f t="shared" si="29"/>
        <v>4118.7299999999996</v>
      </c>
      <c r="G140" s="210">
        <f t="shared" si="29"/>
        <v>4011.5600000000004</v>
      </c>
      <c r="H140" s="210">
        <f t="shared" si="29"/>
        <v>4499.7199999999993</v>
      </c>
      <c r="I140" s="210">
        <f t="shared" si="29"/>
        <v>1667.03</v>
      </c>
      <c r="J140" s="210">
        <f t="shared" si="29"/>
        <v>5313.21</v>
      </c>
      <c r="K140" s="210">
        <f t="shared" si="29"/>
        <v>6211.97</v>
      </c>
      <c r="L140" s="210">
        <f t="shared" si="29"/>
        <v>7194.5500000000011</v>
      </c>
      <c r="M140" s="210">
        <f t="shared" si="29"/>
        <v>3713.9300000000003</v>
      </c>
      <c r="N140" s="210">
        <f t="shared" si="17"/>
        <v>43867.39</v>
      </c>
      <c r="O140" s="203"/>
      <c r="P140" s="203"/>
      <c r="Q140" s="203"/>
      <c r="R140" s="203"/>
    </row>
    <row r="141" spans="1:18" ht="15.75">
      <c r="A141" s="207" t="s">
        <v>275</v>
      </c>
      <c r="B141" s="208"/>
      <c r="C141" s="209">
        <f>11774.07</f>
        <v>11774.07</v>
      </c>
      <c r="D141" s="209">
        <f>9523.43</f>
        <v>9523.43</v>
      </c>
      <c r="E141" s="209">
        <f>11941.01</f>
        <v>11941.01</v>
      </c>
      <c r="F141" s="209">
        <f>19304.96</f>
        <v>19304.96</v>
      </c>
      <c r="G141" s="209">
        <f>19191.18</f>
        <v>19191.18</v>
      </c>
      <c r="H141" s="209">
        <f>21727.17</f>
        <v>21727.17</v>
      </c>
      <c r="I141" s="209">
        <f>24779.34</f>
        <v>24779.34</v>
      </c>
      <c r="J141" s="209">
        <f>25968.68</f>
        <v>25968.68</v>
      </c>
      <c r="K141" s="209">
        <f>19152.49</f>
        <v>19152.490000000002</v>
      </c>
      <c r="L141" s="209">
        <f>33255.97</f>
        <v>33255.97</v>
      </c>
      <c r="M141" s="209">
        <f>12967.55</f>
        <v>12967.55</v>
      </c>
      <c r="N141" s="209">
        <f t="shared" si="17"/>
        <v>209585.84999999998</v>
      </c>
      <c r="O141" s="203"/>
      <c r="P141" s="203"/>
      <c r="Q141" s="203"/>
      <c r="R141" s="203"/>
    </row>
    <row r="142" spans="1:18" ht="15.75">
      <c r="A142" s="207" t="s">
        <v>276</v>
      </c>
      <c r="B142" s="210">
        <f t="shared" ref="B142:M142" si="30">((B134)+(B140))+(B141)</f>
        <v>0</v>
      </c>
      <c r="C142" s="210">
        <f t="shared" si="30"/>
        <v>14012.2</v>
      </c>
      <c r="D142" s="210">
        <f t="shared" si="30"/>
        <v>12825.740000000002</v>
      </c>
      <c r="E142" s="210">
        <f t="shared" si="30"/>
        <v>13537.26</v>
      </c>
      <c r="F142" s="210">
        <f t="shared" si="30"/>
        <v>23423.69</v>
      </c>
      <c r="G142" s="210">
        <f t="shared" si="30"/>
        <v>23202.74</v>
      </c>
      <c r="H142" s="210">
        <f t="shared" si="30"/>
        <v>26226.89</v>
      </c>
      <c r="I142" s="210">
        <f t="shared" si="30"/>
        <v>26446.37</v>
      </c>
      <c r="J142" s="210">
        <f t="shared" si="30"/>
        <v>31281.89</v>
      </c>
      <c r="K142" s="210">
        <f t="shared" si="30"/>
        <v>25364.460000000003</v>
      </c>
      <c r="L142" s="210">
        <f t="shared" si="30"/>
        <v>40450.520000000004</v>
      </c>
      <c r="M142" s="210">
        <f t="shared" si="30"/>
        <v>16681.48</v>
      </c>
      <c r="N142" s="210">
        <f t="shared" si="17"/>
        <v>253453.24000000002</v>
      </c>
      <c r="O142" s="203"/>
      <c r="P142" s="203"/>
      <c r="Q142" s="203"/>
      <c r="R142" s="203"/>
    </row>
    <row r="143" spans="1:18" ht="15.75">
      <c r="A143" s="207" t="s">
        <v>277</v>
      </c>
      <c r="B143" s="210">
        <f t="shared" ref="B143:M143" si="31">((((((((((((((((((B27)+(B28))+(B29))+(B30))+(B34))+(B49))+(B52))+(B53))+(B57))+(B69))+(B75))+(B92))+(B97))+(B100))+(B116))+(B127))+(B128))+(B133))+(B142)</f>
        <v>44919.079999999994</v>
      </c>
      <c r="C143" s="210">
        <f t="shared" si="31"/>
        <v>66538.05</v>
      </c>
      <c r="D143" s="210">
        <f t="shared" si="31"/>
        <v>82761.930000000008</v>
      </c>
      <c r="E143" s="210">
        <f t="shared" si="31"/>
        <v>79524.92</v>
      </c>
      <c r="F143" s="210">
        <f t="shared" si="31"/>
        <v>76583.73</v>
      </c>
      <c r="G143" s="210">
        <f t="shared" si="31"/>
        <v>84317.42</v>
      </c>
      <c r="H143" s="210">
        <f t="shared" si="31"/>
        <v>86141.8</v>
      </c>
      <c r="I143" s="210">
        <f t="shared" si="31"/>
        <v>102284.65999999999</v>
      </c>
      <c r="J143" s="210">
        <f t="shared" si="31"/>
        <v>87688.87</v>
      </c>
      <c r="K143" s="210">
        <f t="shared" si="31"/>
        <v>96000.83</v>
      </c>
      <c r="L143" s="210">
        <f t="shared" si="31"/>
        <v>93802.58</v>
      </c>
      <c r="M143" s="210">
        <f t="shared" si="31"/>
        <v>87552.499999999985</v>
      </c>
      <c r="N143" s="210">
        <f t="shared" si="17"/>
        <v>988116.36999999988</v>
      </c>
      <c r="O143" s="203"/>
      <c r="P143" s="203"/>
      <c r="Q143" s="203"/>
      <c r="R143" s="203"/>
    </row>
    <row r="144" spans="1:18" ht="15.75">
      <c r="A144" s="207" t="s">
        <v>278</v>
      </c>
      <c r="B144" s="210">
        <f t="shared" ref="B144:M144" si="32">(B20)-(B143)</f>
        <v>30936.520000000011</v>
      </c>
      <c r="C144" s="210">
        <f t="shared" si="32"/>
        <v>-9606.070000000007</v>
      </c>
      <c r="D144" s="210">
        <f t="shared" si="32"/>
        <v>-17523.460000000006</v>
      </c>
      <c r="E144" s="210">
        <f t="shared" si="32"/>
        <v>-1576.7400000000052</v>
      </c>
      <c r="F144" s="210">
        <f t="shared" si="32"/>
        <v>14719.48000000001</v>
      </c>
      <c r="G144" s="210">
        <f t="shared" si="32"/>
        <v>7346.6000000000058</v>
      </c>
      <c r="H144" s="210">
        <f t="shared" si="32"/>
        <v>-7268.2900000000081</v>
      </c>
      <c r="I144" s="210">
        <f t="shared" si="32"/>
        <v>26752.570000000022</v>
      </c>
      <c r="J144" s="210">
        <f t="shared" si="32"/>
        <v>19818.570000000007</v>
      </c>
      <c r="K144" s="210">
        <f t="shared" si="32"/>
        <v>7633.3800000000192</v>
      </c>
      <c r="L144" s="210">
        <f t="shared" si="32"/>
        <v>195.32999999998719</v>
      </c>
      <c r="M144" s="210">
        <f t="shared" si="32"/>
        <v>-14189.099999999991</v>
      </c>
      <c r="N144" s="210">
        <f t="shared" si="17"/>
        <v>57238.790000000052</v>
      </c>
      <c r="O144" s="203"/>
      <c r="P144" s="203"/>
      <c r="Q144" s="203"/>
      <c r="R144" s="203"/>
    </row>
    <row r="145" spans="1:18" ht="15.75">
      <c r="A145" s="207" t="s">
        <v>279</v>
      </c>
      <c r="B145" s="208"/>
      <c r="C145" s="208"/>
      <c r="D145" s="208"/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3"/>
      <c r="P145" s="203"/>
      <c r="Q145" s="203"/>
      <c r="R145" s="203"/>
    </row>
    <row r="146" spans="1:18" ht="15.75">
      <c r="A146" s="207" t="s">
        <v>280</v>
      </c>
      <c r="B146" s="208"/>
      <c r="C146" s="208"/>
      <c r="D146" s="208"/>
      <c r="E146" s="208"/>
      <c r="F146" s="208"/>
      <c r="G146" s="209">
        <f>131.42</f>
        <v>131.41999999999999</v>
      </c>
      <c r="H146" s="208"/>
      <c r="I146" s="208"/>
      <c r="J146" s="208"/>
      <c r="K146" s="208"/>
      <c r="L146" s="208"/>
      <c r="M146" s="209">
        <f>121.76</f>
        <v>121.76</v>
      </c>
      <c r="N146" s="209">
        <f>(((((((((((B146)+(C146))+(D146))+(E146))+(F146))+(G146))+(H146))+(I146))+(J146))+(K146))+(L146))+(M146)</f>
        <v>253.18</v>
      </c>
      <c r="O146" s="203"/>
      <c r="P146" s="203"/>
      <c r="Q146" s="203"/>
      <c r="R146" s="203"/>
    </row>
    <row r="147" spans="1:18" ht="15.75">
      <c r="A147" s="207" t="s">
        <v>281</v>
      </c>
      <c r="B147" s="210">
        <f t="shared" ref="B147:M147" si="33">B146</f>
        <v>0</v>
      </c>
      <c r="C147" s="210">
        <f t="shared" si="33"/>
        <v>0</v>
      </c>
      <c r="D147" s="210">
        <f t="shared" si="33"/>
        <v>0</v>
      </c>
      <c r="E147" s="210">
        <f t="shared" si="33"/>
        <v>0</v>
      </c>
      <c r="F147" s="210">
        <f t="shared" si="33"/>
        <v>0</v>
      </c>
      <c r="G147" s="210">
        <f t="shared" si="33"/>
        <v>131.41999999999999</v>
      </c>
      <c r="H147" s="210">
        <f t="shared" si="33"/>
        <v>0</v>
      </c>
      <c r="I147" s="210">
        <f t="shared" si="33"/>
        <v>0</v>
      </c>
      <c r="J147" s="210">
        <f t="shared" si="33"/>
        <v>0</v>
      </c>
      <c r="K147" s="210">
        <f t="shared" si="33"/>
        <v>0</v>
      </c>
      <c r="L147" s="210">
        <f t="shared" si="33"/>
        <v>0</v>
      </c>
      <c r="M147" s="210">
        <f t="shared" si="33"/>
        <v>121.76</v>
      </c>
      <c r="N147" s="210">
        <f>(((((((((((B147)+(C147))+(D147))+(E147))+(F147))+(G147))+(H147))+(I147))+(J147))+(K147))+(L147))+(M147)</f>
        <v>253.18</v>
      </c>
      <c r="O147" s="203"/>
      <c r="P147" s="203"/>
      <c r="Q147" s="203"/>
      <c r="R147" s="203"/>
    </row>
    <row r="148" spans="1:18" ht="15.75">
      <c r="A148" s="207" t="s">
        <v>282</v>
      </c>
      <c r="B148" s="210">
        <f t="shared" ref="B148:M148" si="34">(B147)-(0)</f>
        <v>0</v>
      </c>
      <c r="C148" s="210">
        <f t="shared" si="34"/>
        <v>0</v>
      </c>
      <c r="D148" s="210">
        <f t="shared" si="34"/>
        <v>0</v>
      </c>
      <c r="E148" s="210">
        <f t="shared" si="34"/>
        <v>0</v>
      </c>
      <c r="F148" s="210">
        <f t="shared" si="34"/>
        <v>0</v>
      </c>
      <c r="G148" s="210">
        <f t="shared" si="34"/>
        <v>131.41999999999999</v>
      </c>
      <c r="H148" s="210">
        <f t="shared" si="34"/>
        <v>0</v>
      </c>
      <c r="I148" s="210">
        <f t="shared" si="34"/>
        <v>0</v>
      </c>
      <c r="J148" s="210">
        <f t="shared" si="34"/>
        <v>0</v>
      </c>
      <c r="K148" s="210">
        <f t="shared" si="34"/>
        <v>0</v>
      </c>
      <c r="L148" s="210">
        <f t="shared" si="34"/>
        <v>0</v>
      </c>
      <c r="M148" s="210">
        <f t="shared" si="34"/>
        <v>121.76</v>
      </c>
      <c r="N148" s="210">
        <f>(((((((((((B148)+(C148))+(D148))+(E148))+(F148))+(G148))+(H148))+(I148))+(J148))+(K148))+(L148))+(M148)</f>
        <v>253.18</v>
      </c>
      <c r="O148" s="203"/>
      <c r="P148" s="203"/>
      <c r="Q148" s="203"/>
      <c r="R148" s="203"/>
    </row>
    <row r="149" spans="1:18" ht="15.75">
      <c r="A149" s="207" t="s">
        <v>38</v>
      </c>
      <c r="B149" s="210">
        <f t="shared" ref="B149:M149" si="35">(B144)+(B148)</f>
        <v>30936.520000000011</v>
      </c>
      <c r="C149" s="210">
        <f t="shared" si="35"/>
        <v>-9606.070000000007</v>
      </c>
      <c r="D149" s="210">
        <f t="shared" si="35"/>
        <v>-17523.460000000006</v>
      </c>
      <c r="E149" s="210">
        <f t="shared" si="35"/>
        <v>-1576.7400000000052</v>
      </c>
      <c r="F149" s="210">
        <f t="shared" si="35"/>
        <v>14719.48000000001</v>
      </c>
      <c r="G149" s="210">
        <f t="shared" si="35"/>
        <v>7478.0200000000059</v>
      </c>
      <c r="H149" s="210">
        <f t="shared" si="35"/>
        <v>-7268.2900000000081</v>
      </c>
      <c r="I149" s="210">
        <f t="shared" si="35"/>
        <v>26752.570000000022</v>
      </c>
      <c r="J149" s="210">
        <f t="shared" si="35"/>
        <v>19818.570000000007</v>
      </c>
      <c r="K149" s="210">
        <f t="shared" si="35"/>
        <v>7633.3800000000192</v>
      </c>
      <c r="L149" s="210">
        <f t="shared" si="35"/>
        <v>195.32999999998719</v>
      </c>
      <c r="M149" s="210">
        <f t="shared" si="35"/>
        <v>-14067.339999999991</v>
      </c>
      <c r="N149" s="210">
        <f>(((((((((((B149)+(C149))+(D149))+(E149))+(F149))+(G149))+(H149))+(I149))+(J149))+(K149))+(L149))+(M149)</f>
        <v>57491.970000000038</v>
      </c>
      <c r="O149" s="203"/>
      <c r="P149" s="203"/>
      <c r="Q149" s="203"/>
      <c r="R149" s="203"/>
    </row>
    <row r="150" spans="1:18" ht="15.75">
      <c r="A150" s="207"/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3"/>
      <c r="P150" s="203"/>
      <c r="Q150" s="203"/>
      <c r="R150" s="203"/>
    </row>
    <row r="151" spans="1:18" ht="15.75">
      <c r="A151" s="211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03"/>
      <c r="P151" s="203"/>
      <c r="Q151" s="203"/>
      <c r="R151" s="203"/>
    </row>
    <row r="152" spans="1:18" ht="15.75">
      <c r="A152" s="211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03"/>
      <c r="P152" s="203"/>
      <c r="Q152" s="203"/>
      <c r="R152" s="203"/>
    </row>
    <row r="153" spans="1:18" ht="15.75">
      <c r="A153" s="444" t="s">
        <v>283</v>
      </c>
      <c r="B153" s="445"/>
      <c r="C153" s="445"/>
      <c r="D153" s="445"/>
      <c r="E153" s="445"/>
      <c r="F153" s="445"/>
      <c r="G153" s="445"/>
      <c r="H153" s="445"/>
      <c r="I153" s="445"/>
      <c r="J153" s="445"/>
      <c r="K153" s="445"/>
      <c r="L153" s="445"/>
      <c r="M153" s="445"/>
      <c r="N153" s="445"/>
      <c r="O153" s="203"/>
      <c r="P153" s="203"/>
      <c r="Q153" s="203"/>
      <c r="R153" s="203"/>
    </row>
    <row r="154" spans="1:18" ht="15.75">
      <c r="A154" s="212"/>
      <c r="B154" s="212"/>
      <c r="C154" s="212"/>
      <c r="D154" s="212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03"/>
      <c r="P154" s="203"/>
      <c r="Q154" s="203"/>
      <c r="R154" s="203"/>
    </row>
    <row r="155" spans="1:18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</row>
    <row r="156" spans="1:18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</row>
  </sheetData>
  <mergeCells count="4">
    <mergeCell ref="A1:N1"/>
    <mergeCell ref="A2:N2"/>
    <mergeCell ref="A3:N3"/>
    <mergeCell ref="A153:N153"/>
  </mergeCells>
  <printOptions headings="1" gridLines="1"/>
  <pageMargins left="0.2" right="0.2" top="0.75" bottom="0.75" header="0.3" footer="0.3"/>
  <pageSetup scale="70" fitToHeight="0" orientation="landscape" r:id="rId1"/>
  <headerFooter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P37"/>
  <sheetViews>
    <sheetView topLeftCell="A4" workbookViewId="0">
      <selection activeCell="M31" sqref="M31"/>
    </sheetView>
  </sheetViews>
  <sheetFormatPr defaultRowHeight="15"/>
  <cols>
    <col min="1" max="1" width="12.88671875" style="203" bestFit="1" customWidth="1"/>
    <col min="2" max="2" width="9.88671875" style="203" bestFit="1" customWidth="1"/>
    <col min="3" max="3" width="8.88671875" style="203" bestFit="1" customWidth="1"/>
    <col min="4" max="5" width="7.44140625" style="203" bestFit="1" customWidth="1"/>
    <col min="6" max="6" width="9.88671875" style="203" bestFit="1" customWidth="1"/>
    <col min="7" max="9" width="8.88671875" style="203" bestFit="1" customWidth="1"/>
    <col min="10" max="10" width="9" style="203" bestFit="1" customWidth="1"/>
    <col min="11" max="11" width="8.88671875" style="203" bestFit="1" customWidth="1"/>
    <col min="12" max="14" width="9" style="203" bestFit="1" customWidth="1"/>
    <col min="15" max="15" width="10.88671875" style="203" bestFit="1" customWidth="1"/>
    <col min="16" max="16" width="23.44140625" style="203" bestFit="1" customWidth="1"/>
    <col min="17" max="16384" width="8.88671875" style="203"/>
  </cols>
  <sheetData>
    <row r="5" spans="1:16" ht="21">
      <c r="A5" s="277" t="s">
        <v>325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8"/>
    </row>
    <row r="6" spans="1:16" ht="15.75">
      <c r="A6" s="257" t="s">
        <v>326</v>
      </c>
      <c r="B6" s="258" t="s">
        <v>327</v>
      </c>
      <c r="C6" s="258" t="s">
        <v>328</v>
      </c>
      <c r="D6" s="258" t="s">
        <v>329</v>
      </c>
      <c r="E6" s="258" t="s">
        <v>330</v>
      </c>
      <c r="F6" s="258" t="s">
        <v>331</v>
      </c>
      <c r="G6" s="258" t="s">
        <v>332</v>
      </c>
      <c r="H6" s="258" t="s">
        <v>333</v>
      </c>
      <c r="I6" s="258" t="s">
        <v>334</v>
      </c>
      <c r="J6" s="258" t="s">
        <v>335</v>
      </c>
      <c r="K6" s="258" t="s">
        <v>336</v>
      </c>
      <c r="L6" s="258" t="s">
        <v>337</v>
      </c>
      <c r="M6" s="258" t="s">
        <v>338</v>
      </c>
      <c r="N6" s="258" t="s">
        <v>339</v>
      </c>
      <c r="O6" s="257" t="s">
        <v>340</v>
      </c>
      <c r="P6" s="259" t="s">
        <v>341</v>
      </c>
    </row>
    <row r="7" spans="1:16" ht="15.75">
      <c r="A7" s="260" t="s">
        <v>342</v>
      </c>
      <c r="B7" s="261">
        <v>99</v>
      </c>
      <c r="C7" s="261">
        <v>23</v>
      </c>
      <c r="D7" s="261">
        <v>1</v>
      </c>
      <c r="E7" s="261">
        <v>1</v>
      </c>
      <c r="F7" s="261">
        <v>74</v>
      </c>
      <c r="G7" s="261">
        <v>29</v>
      </c>
      <c r="H7" s="261">
        <v>10</v>
      </c>
      <c r="I7" s="261">
        <v>8</v>
      </c>
      <c r="J7" s="261">
        <v>7</v>
      </c>
      <c r="K7" s="261">
        <v>7</v>
      </c>
      <c r="L7" s="261">
        <v>3</v>
      </c>
      <c r="M7" s="261">
        <v>2</v>
      </c>
      <c r="N7" s="262">
        <v>4</v>
      </c>
      <c r="O7" s="263">
        <f>(B7*(B18+B20))+(D7*(D18+D20))+(F7*(F18+F20))+(H7*H19)+(I7*(I18+I20))+(K7*K19)+(M7*M19)+(N7*N19)</f>
        <v>66925</v>
      </c>
      <c r="P7" s="261" t="s">
        <v>343</v>
      </c>
    </row>
    <row r="8" spans="1:16" ht="15.75">
      <c r="A8" s="260" t="s">
        <v>344</v>
      </c>
      <c r="B8" s="261">
        <v>8</v>
      </c>
      <c r="C8" s="261"/>
      <c r="D8" s="261"/>
      <c r="E8" s="261"/>
      <c r="F8" s="261">
        <v>16</v>
      </c>
      <c r="G8" s="261">
        <v>7</v>
      </c>
      <c r="H8" s="261">
        <v>1</v>
      </c>
      <c r="I8" s="261">
        <v>3</v>
      </c>
      <c r="J8" s="261">
        <v>5</v>
      </c>
      <c r="K8" s="261">
        <v>2</v>
      </c>
      <c r="L8" s="261">
        <v>3</v>
      </c>
      <c r="M8" s="261">
        <v>7</v>
      </c>
      <c r="N8" s="262">
        <v>1</v>
      </c>
      <c r="O8" s="263">
        <f>(B8*(B18+B20))+(D8*(D18+D20))+(F8*(F18+F20))+(H8*H19)+(I8*(I18+I20))+(K8*K19)+(M8*M19)+(N8*N19)</f>
        <v>16560</v>
      </c>
      <c r="P8" s="261" t="s">
        <v>345</v>
      </c>
    </row>
    <row r="9" spans="1:16" ht="15.75">
      <c r="A9" s="260" t="s">
        <v>346</v>
      </c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2"/>
      <c r="O9" s="263"/>
      <c r="P9" s="261"/>
    </row>
    <row r="10" spans="1:16" ht="15.75">
      <c r="A10" s="260" t="s">
        <v>347</v>
      </c>
      <c r="B10" s="261">
        <v>26</v>
      </c>
      <c r="C10" s="261">
        <v>1</v>
      </c>
      <c r="D10" s="261"/>
      <c r="E10" s="261"/>
      <c r="F10" s="261">
        <v>7</v>
      </c>
      <c r="G10" s="261">
        <v>1</v>
      </c>
      <c r="H10" s="261">
        <v>1</v>
      </c>
      <c r="I10" s="261"/>
      <c r="J10" s="261">
        <v>0</v>
      </c>
      <c r="K10" s="261">
        <v>1</v>
      </c>
      <c r="L10" s="261">
        <v>0</v>
      </c>
      <c r="M10" s="261"/>
      <c r="N10" s="262"/>
      <c r="O10" s="263">
        <f>(B10*(B18+B20))+(D10*(D18+D20))+(F10*(F18+F20))+(H10*H19)+(I10*(I18+I20))+(K10*K19)+(M10*M19)+(N10*N19)</f>
        <v>10400</v>
      </c>
      <c r="P10" s="261"/>
    </row>
    <row r="11" spans="1:16" ht="15.75">
      <c r="A11" s="264" t="s">
        <v>348</v>
      </c>
      <c r="B11" s="264">
        <f t="shared" ref="B11:N11" si="0">SUM(B7:B10)</f>
        <v>133</v>
      </c>
      <c r="C11" s="265">
        <f t="shared" si="0"/>
        <v>24</v>
      </c>
      <c r="D11" s="264">
        <f t="shared" si="0"/>
        <v>1</v>
      </c>
      <c r="E11" s="265">
        <f t="shared" si="0"/>
        <v>1</v>
      </c>
      <c r="F11" s="264">
        <f t="shared" si="0"/>
        <v>97</v>
      </c>
      <c r="G11" s="265">
        <f t="shared" si="0"/>
        <v>37</v>
      </c>
      <c r="H11" s="264">
        <f t="shared" si="0"/>
        <v>12</v>
      </c>
      <c r="I11" s="264">
        <f t="shared" si="0"/>
        <v>11</v>
      </c>
      <c r="J11" s="265">
        <f t="shared" si="0"/>
        <v>12</v>
      </c>
      <c r="K11" s="264">
        <f t="shared" si="0"/>
        <v>10</v>
      </c>
      <c r="L11" s="265">
        <f t="shared" si="0"/>
        <v>6</v>
      </c>
      <c r="M11" s="264">
        <f t="shared" si="0"/>
        <v>9</v>
      </c>
      <c r="N11" s="266">
        <f t="shared" si="0"/>
        <v>5</v>
      </c>
      <c r="O11" s="263"/>
      <c r="P11" s="261"/>
    </row>
    <row r="12" spans="1:16" ht="15.75">
      <c r="A12" s="264" t="s">
        <v>349</v>
      </c>
      <c r="B12" s="455">
        <f>SUM(B11,D11,F11,H11,I11,K11,M11,N11)</f>
        <v>278</v>
      </c>
      <c r="C12" s="456"/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267">
        <f>SUM(O7:O10)</f>
        <v>93885</v>
      </c>
      <c r="P12" s="261"/>
    </row>
    <row r="13" spans="1:16" ht="15.75">
      <c r="A13" s="265" t="s">
        <v>350</v>
      </c>
      <c r="B13" s="457">
        <f>SUM(C11,E11,G11,J11,L11)</f>
        <v>80</v>
      </c>
      <c r="C13" s="458"/>
      <c r="D13" s="458"/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261"/>
      <c r="P13" s="261"/>
    </row>
    <row r="14" spans="1:16" ht="15.75">
      <c r="A14" s="268" t="s">
        <v>87</v>
      </c>
      <c r="B14" s="459">
        <f>SUM(B12:N13)</f>
        <v>358</v>
      </c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60"/>
      <c r="O14" s="261"/>
      <c r="P14" s="268"/>
    </row>
    <row r="15" spans="1:16" ht="15.75">
      <c r="A15" s="269"/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69"/>
      <c r="P15" s="269"/>
    </row>
    <row r="16" spans="1:16" ht="18.75">
      <c r="A16" s="269"/>
      <c r="B16" s="279" t="s">
        <v>351</v>
      </c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69"/>
    </row>
    <row r="17" spans="1:16" ht="15.75">
      <c r="A17" s="258" t="s">
        <v>352</v>
      </c>
      <c r="B17" s="258" t="s">
        <v>327</v>
      </c>
      <c r="C17" s="258" t="s">
        <v>328</v>
      </c>
      <c r="D17" s="258" t="s">
        <v>329</v>
      </c>
      <c r="E17" s="258" t="s">
        <v>330</v>
      </c>
      <c r="F17" s="258" t="s">
        <v>331</v>
      </c>
      <c r="G17" s="258" t="s">
        <v>332</v>
      </c>
      <c r="H17" s="258" t="s">
        <v>333</v>
      </c>
      <c r="I17" s="258" t="s">
        <v>334</v>
      </c>
      <c r="J17" s="258" t="s">
        <v>335</v>
      </c>
      <c r="K17" s="258" t="s">
        <v>336</v>
      </c>
      <c r="L17" s="258" t="s">
        <v>337</v>
      </c>
      <c r="M17" s="258" t="s">
        <v>338</v>
      </c>
      <c r="N17" s="258" t="s">
        <v>339</v>
      </c>
      <c r="O17" s="258"/>
      <c r="P17" s="270"/>
    </row>
    <row r="18" spans="1:16" ht="15.75">
      <c r="A18" s="271" t="s">
        <v>353</v>
      </c>
      <c r="B18" s="271">
        <v>75</v>
      </c>
      <c r="C18" s="271">
        <v>75</v>
      </c>
      <c r="D18" s="271">
        <v>75</v>
      </c>
      <c r="E18" s="271">
        <v>75</v>
      </c>
      <c r="F18" s="271">
        <v>75</v>
      </c>
      <c r="G18" s="271">
        <v>75</v>
      </c>
      <c r="H18" s="271"/>
      <c r="I18" s="271">
        <v>75</v>
      </c>
      <c r="J18" s="271"/>
      <c r="K18" s="271"/>
      <c r="L18" s="271"/>
      <c r="M18" s="271"/>
      <c r="N18" s="271"/>
      <c r="O18" s="271"/>
      <c r="P18" s="272"/>
    </row>
    <row r="19" spans="1:16" ht="15.75">
      <c r="A19" s="271" t="s">
        <v>354</v>
      </c>
      <c r="B19" s="271">
        <v>620</v>
      </c>
      <c r="C19" s="271">
        <v>620</v>
      </c>
      <c r="D19" s="271">
        <v>625</v>
      </c>
      <c r="E19" s="271">
        <v>625</v>
      </c>
      <c r="F19" s="271">
        <v>655</v>
      </c>
      <c r="G19" s="271">
        <v>655</v>
      </c>
      <c r="H19" s="271">
        <v>630</v>
      </c>
      <c r="I19" s="271">
        <v>630</v>
      </c>
      <c r="J19" s="271">
        <v>630</v>
      </c>
      <c r="K19" s="271">
        <v>695</v>
      </c>
      <c r="L19" s="271">
        <v>695</v>
      </c>
      <c r="M19" s="271">
        <v>875</v>
      </c>
      <c r="N19" s="271">
        <v>990</v>
      </c>
      <c r="O19" s="271"/>
      <c r="P19" s="273"/>
    </row>
    <row r="20" spans="1:16" ht="15.75">
      <c r="A20" s="271" t="s">
        <v>355</v>
      </c>
      <c r="B20" s="271">
        <v>200</v>
      </c>
      <c r="C20" s="271">
        <v>0</v>
      </c>
      <c r="D20" s="271">
        <v>200</v>
      </c>
      <c r="E20" s="271">
        <v>0</v>
      </c>
      <c r="F20" s="271">
        <v>200</v>
      </c>
      <c r="G20" s="271">
        <v>0</v>
      </c>
      <c r="H20" s="271">
        <v>0</v>
      </c>
      <c r="I20" s="271">
        <v>200</v>
      </c>
      <c r="J20" s="461" t="s">
        <v>356</v>
      </c>
      <c r="K20" s="462"/>
      <c r="L20" s="462"/>
      <c r="M20" s="462"/>
      <c r="N20" s="463"/>
      <c r="O20" s="271"/>
      <c r="P20" s="273"/>
    </row>
    <row r="21" spans="1:16" ht="15.75">
      <c r="A21" s="267" t="s">
        <v>357</v>
      </c>
      <c r="B21" s="267">
        <f>B11*(B18+B20)</f>
        <v>36575</v>
      </c>
      <c r="C21" s="267"/>
      <c r="D21" s="267">
        <f>D11*(D18+D20)</f>
        <v>275</v>
      </c>
      <c r="E21" s="267"/>
      <c r="F21" s="267">
        <f>F11*(F18+F20)</f>
        <v>26675</v>
      </c>
      <c r="G21" s="264"/>
      <c r="H21" s="267">
        <f>H11*(H19+H20)</f>
        <v>7560</v>
      </c>
      <c r="I21" s="267">
        <f>I11*(I18+I20)</f>
        <v>3025</v>
      </c>
      <c r="J21" s="264"/>
      <c r="K21" s="267">
        <f>K11*K19</f>
        <v>6950</v>
      </c>
      <c r="L21" s="267"/>
      <c r="M21" s="267">
        <f>M11*M19</f>
        <v>7875</v>
      </c>
      <c r="N21" s="267">
        <f>N11*N19</f>
        <v>4950</v>
      </c>
      <c r="O21" s="267">
        <f>SUM(B21:N21)</f>
        <v>93885</v>
      </c>
      <c r="P21" s="273"/>
    </row>
    <row r="22" spans="1:16" ht="15.75">
      <c r="A22" s="274" t="s">
        <v>350</v>
      </c>
      <c r="B22" s="265"/>
      <c r="C22" s="274">
        <f>C11*(C18+C20)</f>
        <v>1800</v>
      </c>
      <c r="D22" s="274"/>
      <c r="E22" s="274">
        <f>E11*(E18+E20)</f>
        <v>75</v>
      </c>
      <c r="F22" s="274"/>
      <c r="G22" s="274">
        <f>G11*(G18+G20)</f>
        <v>2775</v>
      </c>
      <c r="H22" s="274"/>
      <c r="I22" s="274"/>
      <c r="J22" s="274">
        <f>J11*J19</f>
        <v>7560</v>
      </c>
      <c r="K22" s="274"/>
      <c r="L22" s="274">
        <f>L11*L19</f>
        <v>4170</v>
      </c>
      <c r="M22" s="274"/>
      <c r="N22" s="274"/>
      <c r="O22" s="274">
        <f>SUM(B22:L22)</f>
        <v>16380</v>
      </c>
      <c r="P22" s="272"/>
    </row>
    <row r="23" spans="1:16" ht="15.75">
      <c r="A23" s="272"/>
      <c r="B23" s="272"/>
      <c r="C23" s="272"/>
      <c r="D23" s="272"/>
      <c r="E23" s="272"/>
      <c r="F23" s="272"/>
      <c r="G23" s="272"/>
      <c r="H23" s="272"/>
      <c r="I23" s="272"/>
      <c r="J23" s="272"/>
      <c r="K23" s="272"/>
      <c r="L23" s="272"/>
      <c r="M23" s="272"/>
      <c r="N23" s="272"/>
      <c r="O23" s="273"/>
      <c r="P23" s="272"/>
    </row>
    <row r="24" spans="1:16" ht="15.75">
      <c r="A24" s="272"/>
      <c r="B24" s="272"/>
      <c r="C24" s="272"/>
      <c r="D24" s="272"/>
      <c r="E24" s="272"/>
      <c r="F24" s="272"/>
      <c r="G24" s="272"/>
      <c r="H24" s="272"/>
      <c r="I24" s="272"/>
      <c r="J24" s="272"/>
      <c r="K24" s="272"/>
      <c r="L24" s="272"/>
      <c r="M24" s="272"/>
      <c r="N24" s="272"/>
      <c r="O24" s="272"/>
      <c r="P24" s="272"/>
    </row>
    <row r="25" spans="1:16" ht="21">
      <c r="A25" s="280" t="s">
        <v>358</v>
      </c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2"/>
    </row>
    <row r="26" spans="1:16" ht="15.75">
      <c r="A26" s="272" t="s">
        <v>359</v>
      </c>
      <c r="B26" s="27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</row>
    <row r="27" spans="1:16" ht="15.75">
      <c r="A27" s="272" t="s">
        <v>324</v>
      </c>
      <c r="B27" s="276">
        <f>+B19*B11</f>
        <v>82460</v>
      </c>
      <c r="C27" s="276"/>
      <c r="D27" s="276">
        <f>+D19*D11</f>
        <v>625</v>
      </c>
      <c r="E27" s="276"/>
      <c r="F27" s="276">
        <f>+F19*F11</f>
        <v>63535</v>
      </c>
      <c r="G27" s="276"/>
      <c r="H27" s="276">
        <f>+H19*H11</f>
        <v>7560</v>
      </c>
      <c r="I27" s="276">
        <f>+I19*I11</f>
        <v>6930</v>
      </c>
      <c r="J27" s="276"/>
      <c r="K27" s="276">
        <f>+K19*K11</f>
        <v>6950</v>
      </c>
      <c r="L27" s="276"/>
      <c r="M27" s="276">
        <f>+M19*M11</f>
        <v>7875</v>
      </c>
      <c r="N27" s="276">
        <f>+N11*N19</f>
        <v>4950</v>
      </c>
      <c r="O27" s="276">
        <f>SUM(B27:N27)</f>
        <v>180885</v>
      </c>
      <c r="P27" s="272"/>
    </row>
    <row r="28" spans="1:16" ht="15.75">
      <c r="A28" s="272" t="s">
        <v>360</v>
      </c>
      <c r="B28" s="272"/>
      <c r="C28" s="272"/>
      <c r="D28" s="272"/>
      <c r="E28" s="272"/>
      <c r="F28" s="272"/>
      <c r="G28" s="272"/>
      <c r="H28" s="272"/>
      <c r="I28" s="272"/>
      <c r="J28" s="272"/>
      <c r="K28" s="272"/>
      <c r="L28" s="272"/>
      <c r="M28" s="272"/>
      <c r="N28" s="272"/>
      <c r="O28" s="272"/>
      <c r="P28" s="272"/>
    </row>
    <row r="29" spans="1:16" ht="15.75">
      <c r="A29" s="272" t="s">
        <v>361</v>
      </c>
      <c r="B29" s="272"/>
      <c r="C29" s="272"/>
      <c r="D29" s="272"/>
      <c r="E29" s="272"/>
      <c r="F29" s="272"/>
      <c r="G29" s="272"/>
      <c r="H29" s="272"/>
      <c r="I29" s="272"/>
      <c r="J29" s="272"/>
      <c r="K29" s="272"/>
      <c r="L29" s="272"/>
      <c r="M29" s="272"/>
      <c r="N29" s="272"/>
      <c r="O29" s="272"/>
      <c r="P29" s="272"/>
    </row>
    <row r="30" spans="1:16" ht="15.75">
      <c r="A30" s="272" t="s">
        <v>362</v>
      </c>
      <c r="B30" s="273">
        <f>+B27-B21</f>
        <v>45885</v>
      </c>
      <c r="C30" s="272"/>
      <c r="D30" s="273">
        <f>+D27-D21</f>
        <v>350</v>
      </c>
      <c r="E30" s="272"/>
      <c r="F30" s="273">
        <f>+F27-F21</f>
        <v>36860</v>
      </c>
      <c r="G30" s="272"/>
      <c r="H30" s="273">
        <f>+H27-H21</f>
        <v>0</v>
      </c>
      <c r="I30" s="273">
        <f>+I27-I21</f>
        <v>3905</v>
      </c>
      <c r="J30" s="272"/>
      <c r="K30" s="273">
        <f>+K27-K21</f>
        <v>0</v>
      </c>
      <c r="L30" s="272"/>
      <c r="M30" s="273">
        <f>+M27-M21</f>
        <v>0</v>
      </c>
      <c r="N30" s="273">
        <f>+N27-N21</f>
        <v>0</v>
      </c>
      <c r="O30" s="273">
        <f>+O27-O21</f>
        <v>87000</v>
      </c>
      <c r="P30" s="272"/>
    </row>
    <row r="31" spans="1:16" ht="15.75">
      <c r="A31" s="272"/>
      <c r="B31" s="272"/>
      <c r="C31" s="272"/>
      <c r="D31" s="272"/>
      <c r="E31" s="272"/>
      <c r="F31" s="272"/>
      <c r="G31" s="272"/>
      <c r="H31" s="272"/>
      <c r="I31" s="272"/>
      <c r="J31" s="272"/>
      <c r="K31" s="272"/>
      <c r="L31" s="272"/>
      <c r="M31" s="272"/>
      <c r="N31" s="272"/>
      <c r="O31" s="272"/>
      <c r="P31" s="272"/>
    </row>
    <row r="32" spans="1:16">
      <c r="A32" s="256"/>
      <c r="B32" s="256"/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</row>
    <row r="33" spans="1:16">
      <c r="A33" s="256"/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</row>
    <row r="34" spans="1:16">
      <c r="A34" s="256"/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</row>
    <row r="35" spans="1:16">
      <c r="A35" s="256"/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</row>
    <row r="36" spans="1:16">
      <c r="A36" s="256"/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</row>
    <row r="37" spans="1:16">
      <c r="A37" s="256"/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</row>
  </sheetData>
  <mergeCells count="4">
    <mergeCell ref="B12:N12"/>
    <mergeCell ref="B13:N13"/>
    <mergeCell ref="B14:N14"/>
    <mergeCell ref="J20:N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35"/>
  <sheetViews>
    <sheetView topLeftCell="A4" workbookViewId="0">
      <selection activeCell="M159" sqref="M159"/>
    </sheetView>
  </sheetViews>
  <sheetFormatPr defaultRowHeight="15"/>
  <sheetData>
    <row r="1" spans="1:23" ht="15.75">
      <c r="A1" s="437" t="s">
        <v>365</v>
      </c>
      <c r="B1" s="438"/>
      <c r="C1" s="438"/>
      <c r="D1" s="438"/>
      <c r="E1" s="438"/>
      <c r="F1" s="438"/>
      <c r="G1" s="438"/>
      <c r="H1" s="438"/>
      <c r="I1" s="438"/>
      <c r="J1" s="435"/>
      <c r="K1" s="435"/>
      <c r="L1" s="435"/>
      <c r="M1" s="435"/>
      <c r="N1" s="203"/>
      <c r="O1" s="203"/>
      <c r="P1" s="203"/>
      <c r="Q1" s="203"/>
      <c r="R1" s="203"/>
      <c r="S1" s="203"/>
      <c r="T1" s="203"/>
      <c r="U1" s="203"/>
      <c r="V1" s="203"/>
      <c r="W1" s="203"/>
    </row>
    <row r="2" spans="1:23" ht="15.75">
      <c r="A2" s="387" t="s">
        <v>485</v>
      </c>
      <c r="B2" s="438"/>
      <c r="C2" s="438"/>
      <c r="D2" s="438"/>
      <c r="E2" s="438"/>
      <c r="F2" s="438"/>
      <c r="G2" s="438"/>
      <c r="H2" s="438"/>
      <c r="I2" s="438"/>
      <c r="J2" s="435"/>
      <c r="K2" s="435"/>
      <c r="L2" s="435"/>
      <c r="M2" s="435"/>
      <c r="N2" s="203"/>
      <c r="O2" s="203"/>
      <c r="P2" s="203"/>
      <c r="Q2" s="203"/>
      <c r="R2" s="203"/>
      <c r="S2" s="203"/>
      <c r="T2" s="203"/>
      <c r="U2" s="203"/>
      <c r="V2" s="203"/>
      <c r="W2" s="203"/>
    </row>
    <row r="3" spans="1:23" ht="15.75">
      <c r="A3" s="435"/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203"/>
      <c r="O3" s="203"/>
      <c r="P3" s="203"/>
      <c r="Q3" s="203"/>
      <c r="R3" s="203"/>
      <c r="S3" s="203"/>
      <c r="T3" s="203"/>
      <c r="U3" s="203"/>
      <c r="V3" s="203"/>
      <c r="W3" s="203"/>
    </row>
    <row r="4" spans="1:23" ht="15.75">
      <c r="A4" s="435"/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203"/>
      <c r="O4" s="203"/>
      <c r="P4" s="203"/>
      <c r="Q4" s="203"/>
      <c r="R4" s="203"/>
      <c r="S4" s="203"/>
      <c r="T4" s="203"/>
      <c r="U4" s="203"/>
      <c r="V4" s="203"/>
      <c r="W4" s="203"/>
    </row>
    <row r="5" spans="1:23" ht="15.75">
      <c r="A5" s="435" t="s">
        <v>662</v>
      </c>
      <c r="B5" s="435"/>
      <c r="C5" s="435"/>
      <c r="D5" s="435"/>
      <c r="E5" s="203"/>
      <c r="F5" s="435"/>
      <c r="G5" s="398">
        <v>215808.22</v>
      </c>
      <c r="H5" s="435"/>
      <c r="I5" s="435"/>
      <c r="J5" s="435"/>
      <c r="K5" s="435"/>
      <c r="L5" s="435"/>
      <c r="M5" s="435"/>
      <c r="N5" s="203"/>
      <c r="O5" s="203"/>
      <c r="P5" s="203"/>
      <c r="Q5" s="203"/>
      <c r="R5" s="203"/>
      <c r="S5" s="203"/>
      <c r="T5" s="203"/>
      <c r="U5" s="203"/>
      <c r="V5" s="203"/>
      <c r="W5" s="203"/>
    </row>
    <row r="6" spans="1:23" ht="15.75">
      <c r="A6" s="435" t="s">
        <v>663</v>
      </c>
      <c r="B6" s="435"/>
      <c r="C6" s="435"/>
      <c r="D6" s="435"/>
      <c r="E6" s="203"/>
      <c r="F6" s="435"/>
      <c r="G6" s="398">
        <v>162651.13</v>
      </c>
      <c r="H6" s="435"/>
      <c r="I6" s="435"/>
      <c r="J6" s="435"/>
      <c r="K6" s="435"/>
      <c r="L6" s="435"/>
      <c r="M6" s="435"/>
      <c r="N6" s="203"/>
      <c r="O6" s="203"/>
      <c r="P6" s="203"/>
      <c r="Q6" s="203"/>
      <c r="R6" s="203"/>
      <c r="S6" s="203"/>
      <c r="T6" s="203"/>
      <c r="U6" s="203"/>
      <c r="V6" s="203"/>
      <c r="W6" s="203"/>
    </row>
    <row r="7" spans="1:23" ht="15.75">
      <c r="A7" s="435" t="s">
        <v>664</v>
      </c>
      <c r="B7" s="435"/>
      <c r="C7" s="435"/>
      <c r="D7" s="435"/>
      <c r="E7" s="203"/>
      <c r="F7" s="435"/>
      <c r="G7" s="439">
        <v>38335.230000000003</v>
      </c>
      <c r="H7" s="435"/>
      <c r="I7" s="435"/>
      <c r="J7" s="435"/>
      <c r="K7" s="435"/>
      <c r="L7" s="435"/>
      <c r="M7" s="435"/>
      <c r="N7" s="203"/>
      <c r="O7" s="203"/>
      <c r="P7" s="203"/>
      <c r="Q7" s="203"/>
      <c r="R7" s="203"/>
      <c r="S7" s="203"/>
      <c r="T7" s="203"/>
      <c r="U7" s="203"/>
      <c r="V7" s="203"/>
      <c r="W7" s="203"/>
    </row>
    <row r="8" spans="1:23" ht="15.75">
      <c r="A8" s="435"/>
      <c r="B8" s="435"/>
      <c r="C8" s="435"/>
      <c r="D8" s="435"/>
      <c r="E8" s="203"/>
      <c r="F8" s="435"/>
      <c r="G8" s="398">
        <f>SUM(G5:G7)</f>
        <v>416794.57999999996</v>
      </c>
      <c r="H8" s="435"/>
      <c r="I8" s="435"/>
      <c r="J8" s="435"/>
      <c r="K8" s="435"/>
      <c r="L8" s="435"/>
      <c r="M8" s="435"/>
      <c r="N8" s="203"/>
      <c r="O8" s="203"/>
      <c r="P8" s="203"/>
      <c r="Q8" s="203"/>
      <c r="R8" s="203"/>
      <c r="S8" s="203"/>
      <c r="T8" s="203"/>
      <c r="U8" s="203"/>
      <c r="V8" s="203"/>
      <c r="W8" s="203"/>
    </row>
    <row r="9" spans="1:23" ht="15.75">
      <c r="A9" s="435"/>
      <c r="B9" s="435"/>
      <c r="C9" s="435"/>
      <c r="D9" s="435"/>
      <c r="E9" s="398"/>
      <c r="F9" s="435"/>
      <c r="G9" s="435"/>
      <c r="H9" s="435"/>
      <c r="I9" s="435"/>
      <c r="J9" s="435"/>
      <c r="K9" s="435"/>
      <c r="L9" s="435"/>
      <c r="M9" s="435"/>
      <c r="N9" s="203"/>
      <c r="O9" s="203"/>
      <c r="P9" s="203"/>
      <c r="Q9" s="203"/>
      <c r="R9" s="203"/>
      <c r="S9" s="203"/>
      <c r="T9" s="203"/>
      <c r="U9" s="203"/>
      <c r="V9" s="203"/>
      <c r="W9" s="203"/>
    </row>
    <row r="10" spans="1:23" ht="15.75">
      <c r="A10" s="435"/>
      <c r="B10" s="435"/>
      <c r="C10" s="435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203"/>
      <c r="O10" s="203"/>
      <c r="P10" s="203"/>
      <c r="Q10" s="203"/>
      <c r="R10" s="203"/>
      <c r="S10" s="203"/>
      <c r="T10" s="203"/>
      <c r="U10" s="203"/>
      <c r="V10" s="203"/>
      <c r="W10" s="203"/>
    </row>
    <row r="11" spans="1:23" ht="15.75">
      <c r="A11" s="435"/>
      <c r="B11" s="435"/>
      <c r="C11" s="435"/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203"/>
      <c r="O11" s="203"/>
      <c r="P11" s="203"/>
      <c r="Q11" s="203"/>
      <c r="R11" s="203"/>
      <c r="S11" s="203"/>
      <c r="T11" s="203"/>
      <c r="U11" s="203"/>
      <c r="V11" s="203"/>
      <c r="W11" s="203"/>
    </row>
    <row r="12" spans="1:23" ht="15.75">
      <c r="A12" s="435"/>
      <c r="B12" s="435"/>
      <c r="C12" s="435"/>
      <c r="D12" s="435"/>
      <c r="E12" s="435"/>
      <c r="F12" s="435"/>
      <c r="G12" s="435"/>
      <c r="H12" s="435"/>
      <c r="I12" s="435"/>
      <c r="J12" s="435"/>
      <c r="K12" s="435"/>
      <c r="L12" s="435"/>
      <c r="M12" s="435"/>
      <c r="N12" s="203"/>
      <c r="O12" s="203"/>
      <c r="P12" s="203"/>
      <c r="Q12" s="203"/>
      <c r="R12" s="203"/>
      <c r="S12" s="203"/>
      <c r="T12" s="203"/>
      <c r="U12" s="203"/>
      <c r="V12" s="203"/>
      <c r="W12" s="203"/>
    </row>
    <row r="13" spans="1:23" ht="15.75">
      <c r="A13" s="435"/>
      <c r="B13" s="435"/>
      <c r="C13" s="435"/>
      <c r="D13" s="435"/>
      <c r="E13" s="435"/>
      <c r="F13" s="435"/>
      <c r="G13" s="435"/>
      <c r="H13" s="435"/>
      <c r="I13" s="435"/>
      <c r="J13" s="435"/>
      <c r="K13" s="435"/>
      <c r="L13" s="435"/>
      <c r="M13" s="435"/>
      <c r="N13" s="203"/>
      <c r="O13" s="203"/>
      <c r="P13" s="203"/>
      <c r="Q13" s="203"/>
      <c r="R13" s="203"/>
      <c r="S13" s="203"/>
      <c r="T13" s="203"/>
      <c r="U13" s="203"/>
      <c r="V13" s="203"/>
      <c r="W13" s="203"/>
    </row>
    <row r="14" spans="1:23" ht="15.75">
      <c r="A14" s="435"/>
      <c r="B14" s="435"/>
      <c r="C14" s="435"/>
      <c r="D14" s="435"/>
      <c r="E14" s="435"/>
      <c r="F14" s="435"/>
      <c r="G14" s="435"/>
      <c r="H14" s="435"/>
      <c r="I14" s="435"/>
      <c r="J14" s="435"/>
      <c r="K14" s="435"/>
      <c r="L14" s="435"/>
      <c r="M14" s="435"/>
      <c r="N14" s="203"/>
      <c r="O14" s="203"/>
      <c r="P14" s="203"/>
      <c r="Q14" s="203"/>
      <c r="R14" s="203"/>
      <c r="S14" s="203"/>
      <c r="T14" s="203"/>
      <c r="U14" s="203"/>
      <c r="V14" s="203"/>
      <c r="W14" s="203"/>
    </row>
    <row r="15" spans="1:23" ht="15.75">
      <c r="A15" s="435"/>
      <c r="B15" s="435"/>
      <c r="C15" s="435"/>
      <c r="D15" s="435"/>
      <c r="E15" s="435"/>
      <c r="F15" s="435"/>
      <c r="G15" s="435"/>
      <c r="H15" s="435"/>
      <c r="I15" s="435"/>
      <c r="J15" s="435"/>
      <c r="K15" s="435"/>
      <c r="L15" s="435"/>
      <c r="M15" s="435"/>
      <c r="N15" s="203"/>
      <c r="O15" s="203"/>
      <c r="P15" s="203"/>
      <c r="Q15" s="203"/>
      <c r="R15" s="203"/>
      <c r="S15" s="203"/>
      <c r="T15" s="203"/>
      <c r="U15" s="203"/>
      <c r="V15" s="203"/>
      <c r="W15" s="203"/>
    </row>
    <row r="16" spans="1:23" ht="15.75">
      <c r="A16" s="435"/>
      <c r="B16" s="435"/>
      <c r="C16" s="435"/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203"/>
      <c r="O16" s="203"/>
      <c r="P16" s="203"/>
      <c r="Q16" s="203"/>
      <c r="R16" s="203"/>
      <c r="S16" s="203"/>
      <c r="T16" s="203"/>
      <c r="U16" s="203"/>
      <c r="V16" s="203"/>
      <c r="W16" s="203"/>
    </row>
    <row r="17" spans="1:23" ht="15.75">
      <c r="A17" s="435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35"/>
      <c r="M17" s="435"/>
      <c r="N17" s="203"/>
      <c r="O17" s="203"/>
      <c r="P17" s="203"/>
      <c r="Q17" s="203"/>
      <c r="R17" s="203"/>
      <c r="S17" s="203"/>
      <c r="T17" s="203"/>
      <c r="U17" s="203"/>
      <c r="V17" s="203"/>
      <c r="W17" s="203"/>
    </row>
    <row r="18" spans="1:23" ht="15.75">
      <c r="A18" s="435"/>
      <c r="B18" s="435"/>
      <c r="C18" s="435"/>
      <c r="D18" s="435"/>
      <c r="E18" s="435"/>
      <c r="F18" s="435"/>
      <c r="G18" s="435"/>
      <c r="H18" s="435"/>
      <c r="I18" s="435"/>
      <c r="J18" s="435"/>
      <c r="K18" s="435"/>
      <c r="L18" s="435"/>
      <c r="M18" s="435"/>
      <c r="N18" s="203"/>
      <c r="O18" s="203"/>
      <c r="P18" s="203"/>
      <c r="Q18" s="203"/>
      <c r="R18" s="203"/>
      <c r="S18" s="203"/>
      <c r="T18" s="203"/>
      <c r="U18" s="203"/>
      <c r="V18" s="203"/>
      <c r="W18" s="203"/>
    </row>
    <row r="19" spans="1:23" ht="15.75">
      <c r="A19" s="435"/>
      <c r="B19" s="435"/>
      <c r="C19" s="435"/>
      <c r="D19" s="435"/>
      <c r="E19" s="435"/>
      <c r="F19" s="435"/>
      <c r="G19" s="435"/>
      <c r="H19" s="435"/>
      <c r="I19" s="435"/>
      <c r="J19" s="435"/>
      <c r="K19" s="435"/>
      <c r="L19" s="435"/>
      <c r="M19" s="435"/>
      <c r="N19" s="203"/>
      <c r="O19" s="203"/>
      <c r="P19" s="203"/>
      <c r="Q19" s="203"/>
      <c r="R19" s="203"/>
      <c r="S19" s="203"/>
      <c r="T19" s="203"/>
      <c r="U19" s="203"/>
      <c r="V19" s="203"/>
      <c r="W19" s="203"/>
    </row>
    <row r="20" spans="1:23" ht="15.75">
      <c r="A20" s="435"/>
      <c r="B20" s="435"/>
      <c r="C20" s="435"/>
      <c r="D20" s="435"/>
      <c r="E20" s="435"/>
      <c r="F20" s="435"/>
      <c r="G20" s="435"/>
      <c r="H20" s="435"/>
      <c r="I20" s="435"/>
      <c r="J20" s="435"/>
      <c r="K20" s="435"/>
      <c r="L20" s="435"/>
      <c r="M20" s="435"/>
      <c r="N20" s="203"/>
      <c r="O20" s="203"/>
      <c r="P20" s="203"/>
      <c r="Q20" s="203"/>
      <c r="R20" s="203"/>
      <c r="S20" s="203"/>
      <c r="T20" s="203"/>
      <c r="U20" s="203"/>
      <c r="V20" s="203"/>
      <c r="W20" s="203"/>
    </row>
    <row r="21" spans="1:23" ht="15.75">
      <c r="A21" s="435"/>
      <c r="B21" s="435"/>
      <c r="C21" s="435"/>
      <c r="D21" s="435"/>
      <c r="E21" s="435"/>
      <c r="F21" s="435"/>
      <c r="G21" s="435"/>
      <c r="H21" s="435"/>
      <c r="I21" s="435"/>
      <c r="J21" s="435"/>
      <c r="K21" s="435"/>
      <c r="L21" s="435"/>
      <c r="M21" s="435"/>
      <c r="N21" s="203"/>
      <c r="O21" s="203"/>
      <c r="P21" s="203"/>
      <c r="Q21" s="203"/>
      <c r="R21" s="203"/>
      <c r="S21" s="203"/>
      <c r="T21" s="203"/>
      <c r="U21" s="203"/>
      <c r="V21" s="203"/>
      <c r="W21" s="203"/>
    </row>
    <row r="22" spans="1:23" ht="15.75">
      <c r="A22" s="435"/>
      <c r="B22" s="435"/>
      <c r="C22" s="435"/>
      <c r="D22" s="435"/>
      <c r="E22" s="435"/>
      <c r="F22" s="435"/>
      <c r="G22" s="435"/>
      <c r="H22" s="435"/>
      <c r="I22" s="435"/>
      <c r="J22" s="435"/>
      <c r="K22" s="435"/>
      <c r="L22" s="435"/>
      <c r="M22" s="435"/>
      <c r="N22" s="203"/>
      <c r="O22" s="203"/>
      <c r="P22" s="203"/>
      <c r="Q22" s="203"/>
      <c r="R22" s="203"/>
      <c r="S22" s="203"/>
      <c r="T22" s="203"/>
      <c r="U22" s="203"/>
      <c r="V22" s="203"/>
      <c r="W22" s="203"/>
    </row>
    <row r="23" spans="1:23" ht="15.75">
      <c r="A23" s="435"/>
      <c r="B23" s="435"/>
      <c r="C23" s="435"/>
      <c r="D23" s="435"/>
      <c r="E23" s="435"/>
      <c r="F23" s="435"/>
      <c r="G23" s="435"/>
      <c r="H23" s="435"/>
      <c r="I23" s="435"/>
      <c r="J23" s="435"/>
      <c r="K23" s="435"/>
      <c r="L23" s="435"/>
      <c r="M23" s="435"/>
      <c r="N23" s="203"/>
      <c r="O23" s="203"/>
      <c r="P23" s="203"/>
      <c r="Q23" s="203"/>
      <c r="R23" s="203"/>
      <c r="S23" s="203"/>
      <c r="T23" s="203"/>
      <c r="U23" s="203"/>
      <c r="V23" s="203"/>
      <c r="W23" s="203"/>
    </row>
    <row r="24" spans="1:23" ht="15.75">
      <c r="A24" s="435"/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203"/>
      <c r="O24" s="203"/>
      <c r="P24" s="203"/>
      <c r="Q24" s="203"/>
      <c r="R24" s="203"/>
      <c r="S24" s="203"/>
      <c r="T24" s="203"/>
      <c r="U24" s="203"/>
      <c r="V24" s="203"/>
      <c r="W24" s="203"/>
    </row>
    <row r="25" spans="1:23" ht="15.75">
      <c r="A25" s="435"/>
      <c r="B25" s="435"/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203"/>
      <c r="O25" s="203"/>
      <c r="P25" s="203"/>
      <c r="Q25" s="203"/>
      <c r="R25" s="203"/>
      <c r="S25" s="203"/>
      <c r="T25" s="203"/>
      <c r="U25" s="203"/>
      <c r="V25" s="203"/>
      <c r="W25" s="203"/>
    </row>
    <row r="26" spans="1:23" ht="15.75">
      <c r="A26" s="435"/>
      <c r="B26" s="435"/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203"/>
      <c r="O26" s="203"/>
      <c r="P26" s="203"/>
      <c r="Q26" s="203"/>
      <c r="R26" s="203"/>
      <c r="S26" s="203"/>
      <c r="T26" s="203"/>
      <c r="U26" s="203"/>
      <c r="V26" s="203"/>
      <c r="W26" s="203"/>
    </row>
    <row r="27" spans="1:23" ht="15.75">
      <c r="A27" s="435"/>
      <c r="B27" s="435"/>
      <c r="C27" s="435"/>
      <c r="D27" s="435"/>
      <c r="E27" s="435"/>
      <c r="F27" s="435"/>
      <c r="G27" s="435"/>
      <c r="H27" s="435"/>
      <c r="I27" s="435"/>
      <c r="J27" s="435"/>
      <c r="K27" s="435"/>
      <c r="L27" s="435"/>
      <c r="M27" s="435"/>
      <c r="N27" s="203"/>
      <c r="O27" s="203"/>
      <c r="P27" s="203"/>
      <c r="Q27" s="203"/>
      <c r="R27" s="203"/>
      <c r="S27" s="203"/>
      <c r="T27" s="203"/>
      <c r="U27" s="203"/>
      <c r="V27" s="203"/>
      <c r="W27" s="203"/>
    </row>
    <row r="28" spans="1:23" ht="15.75">
      <c r="A28" s="435"/>
      <c r="B28" s="435"/>
      <c r="C28" s="435"/>
      <c r="D28" s="435"/>
      <c r="E28" s="435"/>
      <c r="F28" s="435"/>
      <c r="G28" s="435"/>
      <c r="H28" s="435"/>
      <c r="I28" s="435"/>
      <c r="J28" s="435"/>
      <c r="K28" s="435"/>
      <c r="L28" s="435"/>
      <c r="M28" s="435"/>
      <c r="N28" s="203"/>
      <c r="O28" s="203"/>
      <c r="P28" s="203"/>
      <c r="Q28" s="203"/>
      <c r="R28" s="203"/>
      <c r="S28" s="203"/>
      <c r="T28" s="203"/>
      <c r="U28" s="203"/>
      <c r="V28" s="203"/>
      <c r="W28" s="203"/>
    </row>
    <row r="29" spans="1:23" ht="15.75">
      <c r="A29" s="435"/>
      <c r="B29" s="435"/>
      <c r="C29" s="435"/>
      <c r="D29" s="435"/>
      <c r="E29" s="435"/>
      <c r="F29" s="435"/>
      <c r="G29" s="435"/>
      <c r="H29" s="435"/>
      <c r="I29" s="435"/>
      <c r="J29" s="435"/>
      <c r="K29" s="435"/>
      <c r="L29" s="435"/>
      <c r="M29" s="435"/>
      <c r="N29" s="203"/>
      <c r="O29" s="203"/>
      <c r="P29" s="203"/>
      <c r="Q29" s="203"/>
      <c r="R29" s="203"/>
      <c r="S29" s="203"/>
      <c r="T29" s="203"/>
      <c r="U29" s="203"/>
      <c r="V29" s="203"/>
      <c r="W29" s="203"/>
    </row>
    <row r="30" spans="1:23" ht="15.75">
      <c r="A30" s="435"/>
      <c r="B30" s="435"/>
      <c r="C30" s="435"/>
      <c r="D30" s="435"/>
      <c r="E30" s="435"/>
      <c r="F30" s="435"/>
      <c r="G30" s="435"/>
      <c r="H30" s="435"/>
      <c r="I30" s="435"/>
      <c r="J30" s="435"/>
      <c r="K30" s="435"/>
      <c r="L30" s="435"/>
      <c r="M30" s="435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ht="15.75">
      <c r="A31" s="435"/>
      <c r="B31" s="435"/>
      <c r="C31" s="435"/>
      <c r="D31" s="435"/>
      <c r="E31" s="435"/>
      <c r="F31" s="435"/>
      <c r="G31" s="435"/>
      <c r="H31" s="435"/>
      <c r="I31" s="435"/>
      <c r="J31" s="435"/>
      <c r="K31" s="435"/>
      <c r="L31" s="435"/>
      <c r="M31" s="435"/>
      <c r="N31" s="203"/>
      <c r="O31" s="203"/>
      <c r="P31" s="203"/>
      <c r="Q31" s="203"/>
      <c r="R31" s="203"/>
      <c r="S31" s="203"/>
      <c r="T31" s="203"/>
      <c r="U31" s="203"/>
      <c r="V31" s="203"/>
      <c r="W31" s="203"/>
    </row>
    <row r="32" spans="1:23" ht="15.75">
      <c r="A32" s="435"/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203"/>
      <c r="O32" s="203"/>
      <c r="P32" s="203"/>
      <c r="Q32" s="203"/>
      <c r="R32" s="203"/>
      <c r="S32" s="203"/>
      <c r="T32" s="203"/>
      <c r="U32" s="203"/>
      <c r="V32" s="203"/>
      <c r="W32" s="203"/>
    </row>
    <row r="33" spans="1:23" ht="15.75">
      <c r="A33" s="435"/>
      <c r="B33" s="435"/>
      <c r="C33" s="435"/>
      <c r="D33" s="435"/>
      <c r="E33" s="435"/>
      <c r="F33" s="435"/>
      <c r="G33" s="435"/>
      <c r="H33" s="435"/>
      <c r="I33" s="435"/>
      <c r="J33" s="435"/>
      <c r="K33" s="435"/>
      <c r="L33" s="435"/>
      <c r="M33" s="435"/>
      <c r="N33" s="203"/>
      <c r="O33" s="203"/>
      <c r="P33" s="203"/>
      <c r="Q33" s="203"/>
      <c r="R33" s="203"/>
      <c r="S33" s="203"/>
      <c r="T33" s="203"/>
      <c r="U33" s="203"/>
      <c r="V33" s="203"/>
      <c r="W33" s="203"/>
    </row>
    <row r="34" spans="1:23" ht="15.75">
      <c r="A34" s="435"/>
      <c r="B34" s="435"/>
      <c r="C34" s="435"/>
      <c r="D34" s="435"/>
      <c r="E34" s="435"/>
      <c r="F34" s="435"/>
      <c r="G34" s="435"/>
      <c r="H34" s="435"/>
      <c r="I34" s="435"/>
      <c r="J34" s="435"/>
      <c r="K34" s="435"/>
      <c r="L34" s="435"/>
      <c r="M34" s="435"/>
      <c r="N34" s="203"/>
      <c r="O34" s="203"/>
      <c r="P34" s="203"/>
      <c r="Q34" s="203"/>
      <c r="R34" s="203"/>
      <c r="S34" s="203"/>
      <c r="T34" s="203"/>
      <c r="U34" s="203"/>
      <c r="V34" s="203"/>
      <c r="W34" s="203"/>
    </row>
    <row r="35" spans="1:23" ht="15.75">
      <c r="A35" s="435"/>
      <c r="B35" s="435"/>
      <c r="C35" s="435"/>
      <c r="D35" s="435"/>
      <c r="E35" s="435"/>
      <c r="F35" s="435"/>
      <c r="G35" s="435"/>
      <c r="H35" s="435"/>
      <c r="I35" s="435"/>
      <c r="J35" s="435"/>
      <c r="K35" s="435"/>
      <c r="L35" s="435"/>
      <c r="M35" s="435"/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ht="15.75">
      <c r="A36" s="435"/>
      <c r="B36" s="435"/>
      <c r="C36" s="435"/>
      <c r="D36" s="435"/>
      <c r="E36" s="435"/>
      <c r="F36" s="435"/>
      <c r="G36" s="435"/>
      <c r="H36" s="435"/>
      <c r="I36" s="435"/>
      <c r="J36" s="435"/>
      <c r="K36" s="435"/>
      <c r="L36" s="435"/>
      <c r="M36" s="435"/>
      <c r="N36" s="203"/>
      <c r="O36" s="203"/>
      <c r="P36" s="203"/>
      <c r="Q36" s="203"/>
      <c r="R36" s="203"/>
      <c r="S36" s="203"/>
      <c r="T36" s="203"/>
      <c r="U36" s="203"/>
      <c r="V36" s="203"/>
      <c r="W36" s="203"/>
    </row>
    <row r="37" spans="1:23" ht="15.75">
      <c r="A37" s="435"/>
      <c r="B37" s="435"/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203"/>
      <c r="O37" s="203"/>
      <c r="P37" s="203"/>
      <c r="Q37" s="203"/>
      <c r="R37" s="203"/>
      <c r="S37" s="203"/>
      <c r="T37" s="203"/>
      <c r="U37" s="203"/>
      <c r="V37" s="203"/>
      <c r="W37" s="203"/>
    </row>
    <row r="38" spans="1:23" ht="15.75">
      <c r="A38" s="435"/>
      <c r="B38" s="435"/>
      <c r="C38" s="435"/>
      <c r="D38" s="435"/>
      <c r="E38" s="435"/>
      <c r="F38" s="435"/>
      <c r="G38" s="435"/>
      <c r="H38" s="435"/>
      <c r="I38" s="435"/>
      <c r="J38" s="435"/>
      <c r="K38" s="435"/>
      <c r="L38" s="435"/>
      <c r="M38" s="435"/>
      <c r="N38" s="203"/>
      <c r="O38" s="203"/>
      <c r="P38" s="203"/>
      <c r="Q38" s="203"/>
      <c r="R38" s="203"/>
      <c r="S38" s="203"/>
      <c r="T38" s="203"/>
      <c r="U38" s="203"/>
      <c r="V38" s="203"/>
      <c r="W38" s="203"/>
    </row>
    <row r="39" spans="1:23" ht="15.75">
      <c r="A39" s="435"/>
      <c r="B39" s="435"/>
      <c r="C39" s="435"/>
      <c r="D39" s="435"/>
      <c r="E39" s="435"/>
      <c r="F39" s="435"/>
      <c r="G39" s="435"/>
      <c r="H39" s="435"/>
      <c r="I39" s="435"/>
      <c r="J39" s="435"/>
      <c r="K39" s="435"/>
      <c r="L39" s="435"/>
      <c r="M39" s="435"/>
      <c r="N39" s="203"/>
      <c r="O39" s="203"/>
      <c r="P39" s="203"/>
      <c r="Q39" s="203"/>
      <c r="R39" s="203"/>
      <c r="S39" s="203"/>
      <c r="T39" s="203"/>
      <c r="U39" s="203"/>
      <c r="V39" s="203"/>
      <c r="W39" s="203"/>
    </row>
    <row r="40" spans="1:23" ht="15.75">
      <c r="A40" s="435"/>
      <c r="B40" s="435"/>
      <c r="C40" s="435"/>
      <c r="D40" s="435"/>
      <c r="E40" s="435"/>
      <c r="F40" s="435"/>
      <c r="G40" s="435"/>
      <c r="H40" s="435"/>
      <c r="I40" s="435"/>
      <c r="J40" s="435"/>
      <c r="K40" s="435"/>
      <c r="L40" s="435"/>
      <c r="M40" s="435"/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ht="15.75">
      <c r="A41" s="435"/>
      <c r="B41" s="435"/>
      <c r="C41" s="435"/>
      <c r="D41" s="435"/>
      <c r="E41" s="435"/>
      <c r="F41" s="435"/>
      <c r="G41" s="435"/>
      <c r="H41" s="435"/>
      <c r="I41" s="435"/>
      <c r="J41" s="435"/>
      <c r="K41" s="435"/>
      <c r="L41" s="435"/>
      <c r="M41" s="435"/>
      <c r="N41" s="203"/>
      <c r="O41" s="203"/>
      <c r="P41" s="203"/>
      <c r="Q41" s="203"/>
      <c r="R41" s="203"/>
      <c r="S41" s="203"/>
      <c r="T41" s="203"/>
      <c r="U41" s="203"/>
      <c r="V41" s="203"/>
      <c r="W41" s="203"/>
    </row>
    <row r="42" spans="1:23" ht="15.75">
      <c r="A42" s="435"/>
      <c r="B42" s="435"/>
      <c r="C42" s="435"/>
      <c r="D42" s="435"/>
      <c r="E42" s="435"/>
      <c r="F42" s="435"/>
      <c r="G42" s="435"/>
      <c r="H42" s="435"/>
      <c r="I42" s="435"/>
      <c r="J42" s="435"/>
      <c r="K42" s="435"/>
      <c r="L42" s="435"/>
      <c r="M42" s="435"/>
      <c r="N42" s="203"/>
      <c r="O42" s="203"/>
      <c r="P42" s="203"/>
      <c r="Q42" s="203"/>
      <c r="R42" s="203"/>
      <c r="S42" s="203"/>
      <c r="T42" s="203"/>
      <c r="U42" s="203"/>
      <c r="V42" s="203"/>
      <c r="W42" s="203"/>
    </row>
    <row r="43" spans="1:23" ht="15.75">
      <c r="A43" s="435"/>
      <c r="B43" s="435"/>
      <c r="C43" s="435"/>
      <c r="D43" s="435"/>
      <c r="E43" s="435"/>
      <c r="F43" s="435"/>
      <c r="G43" s="435"/>
      <c r="H43" s="435"/>
      <c r="I43" s="435"/>
      <c r="J43" s="435"/>
      <c r="K43" s="435"/>
      <c r="L43" s="435"/>
      <c r="M43" s="435"/>
      <c r="N43" s="203"/>
      <c r="O43" s="203"/>
      <c r="P43" s="203"/>
      <c r="Q43" s="203"/>
      <c r="R43" s="203"/>
      <c r="S43" s="203"/>
      <c r="T43" s="203"/>
      <c r="U43" s="203"/>
      <c r="V43" s="203"/>
      <c r="W43" s="203"/>
    </row>
    <row r="44" spans="1:23" ht="15.75">
      <c r="A44" s="435"/>
      <c r="B44" s="435"/>
      <c r="C44" s="435"/>
      <c r="D44" s="435"/>
      <c r="E44" s="435"/>
      <c r="F44" s="435"/>
      <c r="G44" s="435"/>
      <c r="H44" s="435"/>
      <c r="I44" s="435"/>
      <c r="J44" s="435"/>
      <c r="K44" s="435"/>
      <c r="L44" s="435"/>
      <c r="M44" s="435"/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ht="15.75">
      <c r="A45" s="435"/>
      <c r="B45" s="435"/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203"/>
      <c r="O45" s="203"/>
      <c r="P45" s="203"/>
      <c r="Q45" s="203"/>
      <c r="R45" s="203"/>
      <c r="S45" s="203"/>
      <c r="T45" s="203"/>
      <c r="U45" s="203"/>
      <c r="V45" s="203"/>
      <c r="W45" s="203"/>
    </row>
    <row r="46" spans="1:23" ht="15.75">
      <c r="A46" s="435"/>
      <c r="B46" s="435"/>
      <c r="C46" s="435"/>
      <c r="D46" s="435"/>
      <c r="E46" s="435"/>
      <c r="F46" s="435"/>
      <c r="G46" s="435"/>
      <c r="H46" s="435"/>
      <c r="I46" s="435"/>
      <c r="J46" s="435"/>
      <c r="K46" s="435"/>
      <c r="L46" s="435"/>
      <c r="M46" s="435"/>
      <c r="N46" s="203"/>
      <c r="O46" s="203"/>
      <c r="P46" s="203"/>
      <c r="Q46" s="203"/>
      <c r="R46" s="203"/>
      <c r="S46" s="203"/>
      <c r="T46" s="203"/>
      <c r="U46" s="203"/>
      <c r="V46" s="203"/>
      <c r="W46" s="203"/>
    </row>
    <row r="47" spans="1:23" ht="15.75">
      <c r="A47" s="435"/>
      <c r="B47" s="435"/>
      <c r="C47" s="435"/>
      <c r="D47" s="435"/>
      <c r="E47" s="435"/>
      <c r="F47" s="435"/>
      <c r="G47" s="435"/>
      <c r="H47" s="435"/>
      <c r="I47" s="435"/>
      <c r="J47" s="435"/>
      <c r="K47" s="435"/>
      <c r="L47" s="435"/>
      <c r="M47" s="435"/>
      <c r="N47" s="203"/>
      <c r="O47" s="203"/>
      <c r="P47" s="203"/>
      <c r="Q47" s="203"/>
      <c r="R47" s="203"/>
      <c r="S47" s="203"/>
      <c r="T47" s="203"/>
      <c r="U47" s="203"/>
      <c r="V47" s="203"/>
      <c r="W47" s="203"/>
    </row>
    <row r="48" spans="1:23" ht="15.75">
      <c r="A48" s="435"/>
      <c r="B48" s="435"/>
      <c r="C48" s="435"/>
      <c r="D48" s="435"/>
      <c r="E48" s="435"/>
      <c r="F48" s="435"/>
      <c r="G48" s="435"/>
      <c r="H48" s="435"/>
      <c r="I48" s="435"/>
      <c r="J48" s="435"/>
      <c r="K48" s="435"/>
      <c r="L48" s="435"/>
      <c r="M48" s="435"/>
      <c r="N48" s="203"/>
      <c r="O48" s="203"/>
      <c r="P48" s="203"/>
      <c r="Q48" s="203"/>
      <c r="R48" s="203"/>
      <c r="S48" s="203"/>
      <c r="T48" s="203"/>
      <c r="U48" s="203"/>
      <c r="V48" s="203"/>
      <c r="W48" s="203"/>
    </row>
    <row r="49" spans="1:23" ht="15.75">
      <c r="A49" s="435"/>
      <c r="B49" s="435"/>
      <c r="C49" s="435"/>
      <c r="D49" s="435"/>
      <c r="E49" s="435"/>
      <c r="F49" s="435"/>
      <c r="G49" s="435"/>
      <c r="H49" s="435"/>
      <c r="I49" s="435"/>
      <c r="J49" s="435"/>
      <c r="K49" s="435"/>
      <c r="L49" s="435"/>
      <c r="M49" s="435"/>
      <c r="N49" s="203"/>
      <c r="O49" s="203"/>
      <c r="P49" s="203"/>
      <c r="Q49" s="203"/>
      <c r="R49" s="203"/>
      <c r="S49" s="203"/>
      <c r="T49" s="203"/>
      <c r="U49" s="203"/>
      <c r="V49" s="203"/>
      <c r="W49" s="203"/>
    </row>
    <row r="50" spans="1:23" ht="15.75">
      <c r="A50" s="435"/>
      <c r="B50" s="435"/>
      <c r="C50" s="435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ht="15.75">
      <c r="A51" s="435"/>
      <c r="B51" s="435"/>
      <c r="C51" s="435"/>
      <c r="D51" s="435"/>
      <c r="E51" s="435"/>
      <c r="F51" s="435"/>
      <c r="G51" s="435"/>
      <c r="H51" s="435"/>
      <c r="I51" s="435"/>
      <c r="J51" s="435"/>
      <c r="K51" s="435"/>
      <c r="L51" s="435"/>
      <c r="M51" s="435"/>
      <c r="N51" s="203"/>
      <c r="O51" s="203"/>
      <c r="P51" s="203"/>
      <c r="Q51" s="203"/>
      <c r="R51" s="203"/>
      <c r="S51" s="203"/>
      <c r="T51" s="203"/>
      <c r="U51" s="203"/>
      <c r="V51" s="203"/>
      <c r="W51" s="203"/>
    </row>
    <row r="52" spans="1:23" ht="15.75">
      <c r="A52" s="435"/>
      <c r="B52" s="435"/>
      <c r="C52" s="435"/>
      <c r="D52" s="435"/>
      <c r="E52" s="435"/>
      <c r="F52" s="435"/>
      <c r="G52" s="435"/>
      <c r="H52" s="435"/>
      <c r="I52" s="435"/>
      <c r="J52" s="435"/>
      <c r="K52" s="435"/>
      <c r="L52" s="435"/>
      <c r="M52" s="435"/>
      <c r="N52" s="203"/>
      <c r="O52" s="203"/>
      <c r="P52" s="203"/>
      <c r="Q52" s="203"/>
      <c r="R52" s="203"/>
      <c r="S52" s="203"/>
      <c r="T52" s="203"/>
      <c r="U52" s="203"/>
      <c r="V52" s="203"/>
      <c r="W52" s="203"/>
    </row>
    <row r="53" spans="1:23" ht="15.75">
      <c r="A53" s="435"/>
      <c r="B53" s="435"/>
      <c r="C53" s="435"/>
      <c r="D53" s="435"/>
      <c r="E53" s="435"/>
      <c r="F53" s="435"/>
      <c r="G53" s="435"/>
      <c r="H53" s="435"/>
      <c r="I53" s="435"/>
      <c r="J53" s="435"/>
      <c r="K53" s="435"/>
      <c r="L53" s="435"/>
      <c r="M53" s="435"/>
      <c r="N53" s="203"/>
      <c r="O53" s="203"/>
      <c r="P53" s="203"/>
      <c r="Q53" s="203"/>
      <c r="R53" s="203"/>
      <c r="S53" s="203"/>
      <c r="T53" s="203"/>
      <c r="U53" s="203"/>
      <c r="V53" s="203"/>
      <c r="W53" s="203"/>
    </row>
    <row r="54" spans="1:23" ht="15.75">
      <c r="A54" s="435"/>
      <c r="B54" s="435"/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ht="15.75">
      <c r="A55" s="435"/>
      <c r="B55" s="435"/>
      <c r="C55" s="435"/>
      <c r="D55" s="435"/>
      <c r="E55" s="435"/>
      <c r="F55" s="435"/>
      <c r="G55" s="435"/>
      <c r="H55" s="435"/>
      <c r="I55" s="435"/>
      <c r="J55" s="435"/>
      <c r="K55" s="435"/>
      <c r="L55" s="435"/>
      <c r="M55" s="435"/>
      <c r="N55" s="203"/>
      <c r="O55" s="203"/>
      <c r="P55" s="203"/>
      <c r="Q55" s="203"/>
      <c r="R55" s="203"/>
      <c r="S55" s="203"/>
      <c r="T55" s="203"/>
      <c r="U55" s="203"/>
      <c r="V55" s="203"/>
      <c r="W55" s="203"/>
    </row>
    <row r="56" spans="1:23" ht="15.75">
      <c r="A56" s="435"/>
      <c r="B56" s="435"/>
      <c r="C56" s="435"/>
      <c r="D56" s="435"/>
      <c r="E56" s="435"/>
      <c r="F56" s="435"/>
      <c r="G56" s="435"/>
      <c r="H56" s="435"/>
      <c r="I56" s="435"/>
      <c r="J56" s="435"/>
      <c r="K56" s="435"/>
      <c r="L56" s="435"/>
      <c r="M56" s="435"/>
      <c r="N56" s="203"/>
      <c r="O56" s="203"/>
      <c r="P56" s="203"/>
      <c r="Q56" s="203"/>
      <c r="R56" s="203"/>
      <c r="S56" s="203"/>
      <c r="T56" s="203"/>
      <c r="U56" s="203"/>
      <c r="V56" s="203"/>
      <c r="W56" s="203"/>
    </row>
    <row r="57" spans="1:23" ht="15.75">
      <c r="A57" s="435"/>
      <c r="B57" s="435"/>
      <c r="C57" s="435"/>
      <c r="D57" s="435"/>
      <c r="E57" s="435"/>
      <c r="F57" s="435"/>
      <c r="G57" s="435"/>
      <c r="H57" s="435"/>
      <c r="I57" s="435"/>
      <c r="J57" s="435"/>
      <c r="K57" s="435"/>
      <c r="L57" s="435"/>
      <c r="M57" s="435"/>
      <c r="N57" s="203"/>
      <c r="O57" s="203"/>
      <c r="P57" s="203"/>
      <c r="Q57" s="203"/>
      <c r="R57" s="203"/>
      <c r="S57" s="203"/>
      <c r="T57" s="203"/>
      <c r="U57" s="203"/>
      <c r="V57" s="203"/>
      <c r="W57" s="203"/>
    </row>
    <row r="58" spans="1:23" ht="15.75">
      <c r="A58" s="435"/>
      <c r="B58" s="435"/>
      <c r="C58" s="435"/>
      <c r="D58" s="435"/>
      <c r="E58" s="435"/>
      <c r="F58" s="435"/>
      <c r="G58" s="435"/>
      <c r="H58" s="435"/>
      <c r="I58" s="435"/>
      <c r="J58" s="435"/>
      <c r="K58" s="435"/>
      <c r="L58" s="435"/>
      <c r="M58" s="435"/>
      <c r="N58" s="203"/>
      <c r="O58" s="203"/>
      <c r="P58" s="203"/>
      <c r="Q58" s="203"/>
      <c r="R58" s="203"/>
      <c r="S58" s="203"/>
      <c r="T58" s="203"/>
      <c r="U58" s="203"/>
      <c r="V58" s="203"/>
      <c r="W58" s="203"/>
    </row>
    <row r="59" spans="1:23" ht="15.75">
      <c r="A59" s="435"/>
      <c r="B59" s="435"/>
      <c r="C59" s="435"/>
      <c r="D59" s="435"/>
      <c r="E59" s="435"/>
      <c r="F59" s="435"/>
      <c r="G59" s="435"/>
      <c r="H59" s="435"/>
      <c r="I59" s="435"/>
      <c r="J59" s="435"/>
      <c r="K59" s="435"/>
      <c r="L59" s="435"/>
      <c r="M59" s="435"/>
      <c r="N59" s="203"/>
      <c r="O59" s="203"/>
      <c r="P59" s="203"/>
      <c r="Q59" s="203"/>
      <c r="R59" s="203"/>
      <c r="S59" s="203"/>
      <c r="T59" s="203"/>
      <c r="U59" s="203"/>
      <c r="V59" s="203"/>
      <c r="W59" s="203"/>
    </row>
    <row r="60" spans="1:23" ht="15.75">
      <c r="A60" s="435"/>
      <c r="B60" s="435"/>
      <c r="C60" s="435"/>
      <c r="D60" s="435"/>
      <c r="E60" s="435"/>
      <c r="F60" s="435"/>
      <c r="G60" s="435"/>
      <c r="H60" s="435"/>
      <c r="I60" s="435"/>
      <c r="J60" s="435"/>
      <c r="K60" s="435"/>
      <c r="L60" s="435"/>
      <c r="M60" s="435"/>
      <c r="N60" s="203"/>
      <c r="O60" s="203"/>
      <c r="P60" s="203"/>
      <c r="Q60" s="203"/>
      <c r="R60" s="203"/>
      <c r="S60" s="203"/>
      <c r="T60" s="203"/>
      <c r="U60" s="203"/>
      <c r="V60" s="203"/>
      <c r="W60" s="203"/>
    </row>
    <row r="61" spans="1:23" ht="15.75">
      <c r="A61" s="435"/>
      <c r="B61" s="435"/>
      <c r="C61" s="435"/>
      <c r="D61" s="435"/>
      <c r="E61" s="435"/>
      <c r="F61" s="435"/>
      <c r="G61" s="435"/>
      <c r="H61" s="435"/>
      <c r="I61" s="435"/>
      <c r="J61" s="435"/>
      <c r="K61" s="435"/>
      <c r="L61" s="435"/>
      <c r="M61" s="435"/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ht="15.75">
      <c r="A62" s="435"/>
      <c r="B62" s="435"/>
      <c r="C62" s="435"/>
      <c r="D62" s="435"/>
      <c r="E62" s="435"/>
      <c r="F62" s="435"/>
      <c r="G62" s="435"/>
      <c r="H62" s="435"/>
      <c r="I62" s="435"/>
      <c r="J62" s="435"/>
      <c r="K62" s="435"/>
      <c r="L62" s="435"/>
      <c r="M62" s="435"/>
      <c r="N62" s="203"/>
      <c r="O62" s="203"/>
      <c r="P62" s="203"/>
      <c r="Q62" s="203"/>
      <c r="R62" s="203"/>
      <c r="S62" s="203"/>
      <c r="T62" s="203"/>
      <c r="U62" s="203"/>
      <c r="V62" s="203"/>
      <c r="W62" s="203"/>
    </row>
    <row r="63" spans="1:23" ht="15.75">
      <c r="A63" s="435"/>
      <c r="B63" s="435"/>
      <c r="C63" s="435"/>
      <c r="D63" s="435"/>
      <c r="E63" s="435"/>
      <c r="F63" s="435"/>
      <c r="G63" s="435"/>
      <c r="H63" s="435"/>
      <c r="I63" s="435"/>
      <c r="J63" s="435"/>
      <c r="K63" s="435"/>
      <c r="L63" s="435"/>
      <c r="M63" s="435"/>
      <c r="N63" s="203"/>
      <c r="O63" s="203"/>
      <c r="P63" s="203"/>
      <c r="Q63" s="203"/>
      <c r="R63" s="203"/>
      <c r="S63" s="203"/>
      <c r="T63" s="203"/>
      <c r="U63" s="203"/>
      <c r="V63" s="203"/>
      <c r="W63" s="203"/>
    </row>
    <row r="64" spans="1:23" ht="15.75">
      <c r="A64" s="435"/>
      <c r="B64" s="435"/>
      <c r="C64" s="435"/>
      <c r="D64" s="435"/>
      <c r="E64" s="435"/>
      <c r="F64" s="435"/>
      <c r="G64" s="435"/>
      <c r="H64" s="435"/>
      <c r="I64" s="435"/>
      <c r="J64" s="435"/>
      <c r="K64" s="435"/>
      <c r="L64" s="435"/>
      <c r="M64" s="435"/>
      <c r="N64" s="203"/>
      <c r="O64" s="203"/>
      <c r="P64" s="203"/>
      <c r="Q64" s="203"/>
      <c r="R64" s="203"/>
      <c r="S64" s="203"/>
      <c r="T64" s="203"/>
      <c r="U64" s="203"/>
      <c r="V64" s="203"/>
      <c r="W64" s="203"/>
    </row>
    <row r="65" spans="1:23" ht="15.75">
      <c r="A65" s="435"/>
      <c r="B65" s="435"/>
      <c r="C65" s="435"/>
      <c r="D65" s="435"/>
      <c r="E65" s="435"/>
      <c r="F65" s="435"/>
      <c r="G65" s="435"/>
      <c r="H65" s="435"/>
      <c r="I65" s="435"/>
      <c r="J65" s="435"/>
      <c r="K65" s="435"/>
      <c r="L65" s="435"/>
      <c r="M65" s="435"/>
      <c r="N65" s="203"/>
      <c r="O65" s="203"/>
      <c r="P65" s="203"/>
      <c r="Q65" s="203"/>
      <c r="R65" s="203"/>
      <c r="S65" s="203"/>
      <c r="T65" s="203"/>
      <c r="U65" s="203"/>
      <c r="V65" s="203"/>
      <c r="W65" s="203"/>
    </row>
    <row r="66" spans="1:23" ht="15.75">
      <c r="A66" s="435"/>
      <c r="B66" s="435"/>
      <c r="C66" s="435"/>
      <c r="D66" s="435"/>
      <c r="E66" s="435"/>
      <c r="F66" s="435"/>
      <c r="G66" s="435"/>
      <c r="H66" s="435"/>
      <c r="I66" s="435"/>
      <c r="J66" s="435"/>
      <c r="K66" s="435"/>
      <c r="L66" s="435"/>
      <c r="M66" s="435"/>
      <c r="N66" s="203"/>
      <c r="O66" s="203"/>
      <c r="P66" s="203"/>
      <c r="Q66" s="203"/>
      <c r="R66" s="203"/>
      <c r="S66" s="203"/>
      <c r="T66" s="203"/>
      <c r="U66" s="203"/>
      <c r="V66" s="203"/>
      <c r="W66" s="203"/>
    </row>
    <row r="67" spans="1:23" ht="15.75">
      <c r="A67" s="435"/>
      <c r="B67" s="435"/>
      <c r="C67" s="435"/>
      <c r="D67" s="435"/>
      <c r="E67" s="435"/>
      <c r="F67" s="435"/>
      <c r="G67" s="435"/>
      <c r="H67" s="435"/>
      <c r="I67" s="435"/>
      <c r="J67" s="435"/>
      <c r="K67" s="435"/>
      <c r="L67" s="435"/>
      <c r="M67" s="435"/>
      <c r="N67" s="203"/>
      <c r="O67" s="203"/>
      <c r="P67" s="203"/>
      <c r="Q67" s="203"/>
      <c r="R67" s="203"/>
      <c r="S67" s="203"/>
      <c r="T67" s="203"/>
      <c r="U67" s="203"/>
      <c r="V67" s="203"/>
      <c r="W67" s="203"/>
    </row>
    <row r="68" spans="1:23" ht="15.75">
      <c r="A68" s="435"/>
      <c r="B68" s="435"/>
      <c r="C68" s="435"/>
      <c r="D68" s="435"/>
      <c r="E68" s="435"/>
      <c r="F68" s="435"/>
      <c r="G68" s="435"/>
      <c r="H68" s="435"/>
      <c r="I68" s="435"/>
      <c r="J68" s="435"/>
      <c r="K68" s="435"/>
      <c r="L68" s="435"/>
      <c r="M68" s="435"/>
      <c r="N68" s="203"/>
      <c r="O68" s="203"/>
      <c r="P68" s="203"/>
      <c r="Q68" s="203"/>
      <c r="R68" s="203"/>
      <c r="S68" s="203"/>
      <c r="T68" s="203"/>
      <c r="U68" s="203"/>
      <c r="V68" s="203"/>
      <c r="W68" s="203"/>
    </row>
    <row r="69" spans="1:23" ht="15.75">
      <c r="A69" s="435"/>
      <c r="B69" s="435"/>
      <c r="C69" s="435"/>
      <c r="D69" s="435"/>
      <c r="E69" s="435"/>
      <c r="F69" s="435"/>
      <c r="G69" s="435"/>
      <c r="H69" s="435"/>
      <c r="I69" s="435"/>
      <c r="J69" s="435"/>
      <c r="K69" s="435"/>
      <c r="L69" s="435"/>
      <c r="M69" s="435"/>
      <c r="N69" s="203"/>
      <c r="O69" s="203"/>
      <c r="P69" s="203"/>
      <c r="Q69" s="203"/>
      <c r="R69" s="203"/>
      <c r="S69" s="203"/>
      <c r="T69" s="203"/>
      <c r="U69" s="203"/>
      <c r="V69" s="203"/>
      <c r="W69" s="203"/>
    </row>
    <row r="70" spans="1:23" ht="15.75">
      <c r="A70" s="435"/>
      <c r="B70" s="435"/>
      <c r="C70" s="435"/>
      <c r="D70" s="435"/>
      <c r="E70" s="435"/>
      <c r="F70" s="435"/>
      <c r="G70" s="435"/>
      <c r="H70" s="435"/>
      <c r="I70" s="435"/>
      <c r="J70" s="435"/>
      <c r="K70" s="435"/>
      <c r="L70" s="435"/>
      <c r="M70" s="435"/>
      <c r="N70" s="203"/>
      <c r="O70" s="203"/>
      <c r="P70" s="203"/>
      <c r="Q70" s="203"/>
      <c r="R70" s="203"/>
      <c r="S70" s="203"/>
      <c r="T70" s="203"/>
      <c r="U70" s="203"/>
      <c r="V70" s="203"/>
      <c r="W70" s="203"/>
    </row>
    <row r="71" spans="1:23" ht="15.75">
      <c r="A71" s="435"/>
      <c r="B71" s="435"/>
      <c r="C71" s="435"/>
      <c r="D71" s="435"/>
      <c r="E71" s="435"/>
      <c r="F71" s="435"/>
      <c r="G71" s="435"/>
      <c r="H71" s="435"/>
      <c r="I71" s="435"/>
      <c r="J71" s="435"/>
      <c r="K71" s="435"/>
      <c r="L71" s="435"/>
      <c r="M71" s="435"/>
      <c r="N71" s="203"/>
      <c r="O71" s="203"/>
      <c r="P71" s="203"/>
      <c r="Q71" s="203"/>
      <c r="R71" s="203"/>
      <c r="S71" s="203"/>
      <c r="T71" s="203"/>
      <c r="U71" s="203"/>
      <c r="V71" s="203"/>
      <c r="W71" s="203"/>
    </row>
    <row r="72" spans="1:23" ht="15.75">
      <c r="A72" s="435"/>
      <c r="B72" s="435"/>
      <c r="C72" s="435"/>
      <c r="D72" s="435"/>
      <c r="E72" s="435"/>
      <c r="F72" s="435"/>
      <c r="G72" s="435"/>
      <c r="H72" s="435"/>
      <c r="I72" s="435"/>
      <c r="J72" s="435"/>
      <c r="K72" s="435"/>
      <c r="L72" s="435"/>
      <c r="M72" s="435"/>
      <c r="N72" s="203"/>
      <c r="O72" s="203"/>
      <c r="P72" s="203"/>
      <c r="Q72" s="203"/>
      <c r="R72" s="203"/>
      <c r="S72" s="203"/>
      <c r="T72" s="203"/>
      <c r="U72" s="203"/>
      <c r="V72" s="203"/>
      <c r="W72" s="203"/>
    </row>
    <row r="73" spans="1:23" ht="15.75">
      <c r="A73" s="435"/>
      <c r="B73" s="435"/>
      <c r="C73" s="435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203"/>
      <c r="O73" s="203"/>
      <c r="P73" s="203"/>
      <c r="Q73" s="203"/>
      <c r="R73" s="203"/>
      <c r="S73" s="203"/>
      <c r="T73" s="203"/>
      <c r="U73" s="203"/>
      <c r="V73" s="203"/>
      <c r="W73" s="203"/>
    </row>
    <row r="74" spans="1:23" ht="15.75">
      <c r="A74" s="435"/>
      <c r="B74" s="435"/>
      <c r="C74" s="435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203"/>
      <c r="O74" s="203"/>
      <c r="P74" s="203"/>
      <c r="Q74" s="203"/>
      <c r="R74" s="203"/>
      <c r="S74" s="203"/>
      <c r="T74" s="203"/>
      <c r="U74" s="203"/>
      <c r="V74" s="203"/>
      <c r="W74" s="203"/>
    </row>
    <row r="75" spans="1:23" ht="15.75">
      <c r="A75" s="435"/>
      <c r="B75" s="435"/>
      <c r="C75" s="435"/>
      <c r="D75" s="435"/>
      <c r="E75" s="435"/>
      <c r="F75" s="435"/>
      <c r="G75" s="435"/>
      <c r="H75" s="435"/>
      <c r="I75" s="435"/>
      <c r="J75" s="435"/>
      <c r="K75" s="435"/>
      <c r="L75" s="435"/>
      <c r="M75" s="435"/>
      <c r="N75" s="203"/>
      <c r="O75" s="203"/>
      <c r="P75" s="203"/>
      <c r="Q75" s="203"/>
      <c r="R75" s="203"/>
      <c r="S75" s="203"/>
      <c r="T75" s="203"/>
      <c r="U75" s="203"/>
      <c r="V75" s="203"/>
      <c r="W75" s="203"/>
    </row>
    <row r="76" spans="1:23" ht="15.75">
      <c r="A76" s="435"/>
      <c r="B76" s="435"/>
      <c r="C76" s="435"/>
      <c r="D76" s="435"/>
      <c r="E76" s="435"/>
      <c r="F76" s="435"/>
      <c r="G76" s="435"/>
      <c r="H76" s="435"/>
      <c r="I76" s="435"/>
      <c r="J76" s="435"/>
      <c r="K76" s="435"/>
      <c r="L76" s="435"/>
      <c r="M76" s="435"/>
      <c r="N76" s="203"/>
      <c r="O76" s="203"/>
      <c r="P76" s="203"/>
      <c r="Q76" s="203"/>
      <c r="R76" s="203"/>
      <c r="S76" s="203"/>
      <c r="T76" s="203"/>
      <c r="U76" s="203"/>
      <c r="V76" s="203"/>
      <c r="W76" s="203"/>
    </row>
    <row r="77" spans="1:23" ht="15.75">
      <c r="A77" s="435"/>
      <c r="B77" s="435"/>
      <c r="C77" s="435"/>
      <c r="D77" s="435"/>
      <c r="E77" s="435"/>
      <c r="F77" s="435"/>
      <c r="G77" s="435"/>
      <c r="H77" s="435"/>
      <c r="I77" s="435"/>
      <c r="J77" s="435"/>
      <c r="K77" s="435"/>
      <c r="L77" s="435"/>
      <c r="M77" s="435"/>
      <c r="N77" s="203"/>
      <c r="O77" s="203"/>
      <c r="P77" s="203"/>
      <c r="Q77" s="203"/>
      <c r="R77" s="203"/>
      <c r="S77" s="203"/>
      <c r="T77" s="203"/>
      <c r="U77" s="203"/>
      <c r="V77" s="203"/>
      <c r="W77" s="203"/>
    </row>
    <row r="78" spans="1:23" ht="15.75">
      <c r="A78" s="435"/>
      <c r="B78" s="435"/>
      <c r="C78" s="435"/>
      <c r="D78" s="435"/>
      <c r="E78" s="435"/>
      <c r="F78" s="435"/>
      <c r="G78" s="435"/>
      <c r="H78" s="435"/>
      <c r="I78" s="435"/>
      <c r="J78" s="435"/>
      <c r="K78" s="435"/>
      <c r="L78" s="435"/>
      <c r="M78" s="435"/>
      <c r="N78" s="203"/>
      <c r="O78" s="203"/>
      <c r="P78" s="203"/>
      <c r="Q78" s="203"/>
      <c r="R78" s="203"/>
      <c r="S78" s="203"/>
      <c r="T78" s="203"/>
      <c r="U78" s="203"/>
      <c r="V78" s="203"/>
      <c r="W78" s="203"/>
    </row>
    <row r="79" spans="1:23" ht="15.75">
      <c r="A79" s="435"/>
      <c r="B79" s="435"/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203"/>
      <c r="O79" s="203"/>
      <c r="P79" s="203"/>
      <c r="Q79" s="203"/>
      <c r="R79" s="203"/>
      <c r="S79" s="203"/>
      <c r="T79" s="203"/>
      <c r="U79" s="203"/>
      <c r="V79" s="203"/>
      <c r="W79" s="203"/>
    </row>
    <row r="80" spans="1:23" ht="15.75">
      <c r="A80" s="435"/>
      <c r="B80" s="435"/>
      <c r="C80" s="435"/>
      <c r="D80" s="435"/>
      <c r="E80" s="435"/>
      <c r="F80" s="435"/>
      <c r="G80" s="435"/>
      <c r="H80" s="435"/>
      <c r="I80" s="435"/>
      <c r="J80" s="435"/>
      <c r="K80" s="435"/>
      <c r="L80" s="435"/>
      <c r="M80" s="435"/>
      <c r="N80" s="203"/>
      <c r="O80" s="203"/>
      <c r="P80" s="203"/>
      <c r="Q80" s="203"/>
      <c r="R80" s="203"/>
      <c r="S80" s="203"/>
      <c r="T80" s="203"/>
      <c r="U80" s="203"/>
      <c r="V80" s="203"/>
      <c r="W80" s="203"/>
    </row>
    <row r="81" spans="1:23" ht="15.75">
      <c r="A81" s="435"/>
      <c r="B81" s="435"/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203"/>
      <c r="O81" s="203"/>
      <c r="P81" s="203"/>
      <c r="Q81" s="203"/>
      <c r="R81" s="203"/>
      <c r="S81" s="203"/>
      <c r="T81" s="203"/>
      <c r="U81" s="203"/>
      <c r="V81" s="203"/>
      <c r="W81" s="203"/>
    </row>
    <row r="82" spans="1:23" ht="15.75">
      <c r="A82" s="435"/>
      <c r="B82" s="435"/>
      <c r="C82" s="435"/>
      <c r="D82" s="435"/>
      <c r="E82" s="435"/>
      <c r="F82" s="435"/>
      <c r="G82" s="435"/>
      <c r="H82" s="435"/>
      <c r="I82" s="435"/>
      <c r="J82" s="435"/>
      <c r="K82" s="435"/>
      <c r="L82" s="435"/>
      <c r="M82" s="435"/>
      <c r="N82" s="203"/>
      <c r="O82" s="203"/>
      <c r="P82" s="203"/>
      <c r="Q82" s="203"/>
      <c r="R82" s="203"/>
      <c r="S82" s="203"/>
      <c r="T82" s="203"/>
      <c r="U82" s="203"/>
      <c r="V82" s="203"/>
      <c r="W82" s="203"/>
    </row>
    <row r="83" spans="1:23" ht="15.75">
      <c r="A83" s="435"/>
      <c r="B83" s="435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203"/>
      <c r="O83" s="203"/>
      <c r="P83" s="203"/>
      <c r="Q83" s="203"/>
      <c r="R83" s="203"/>
      <c r="S83" s="203"/>
      <c r="T83" s="203"/>
      <c r="U83" s="203"/>
      <c r="V83" s="203"/>
      <c r="W83" s="203"/>
    </row>
    <row r="84" spans="1:23" ht="15.75">
      <c r="A84" s="435"/>
      <c r="B84" s="435"/>
      <c r="C84" s="435"/>
      <c r="D84" s="435"/>
      <c r="E84" s="435"/>
      <c r="F84" s="435"/>
      <c r="G84" s="435"/>
      <c r="H84" s="435"/>
      <c r="I84" s="435"/>
      <c r="J84" s="435"/>
      <c r="K84" s="435"/>
      <c r="L84" s="435"/>
      <c r="M84" s="435"/>
      <c r="N84" s="203"/>
      <c r="O84" s="203"/>
      <c r="P84" s="203"/>
      <c r="Q84" s="203"/>
      <c r="R84" s="203"/>
      <c r="S84" s="203"/>
      <c r="T84" s="203"/>
      <c r="U84" s="203"/>
      <c r="V84" s="203"/>
      <c r="W84" s="203"/>
    </row>
    <row r="85" spans="1:23" ht="15.75">
      <c r="A85" s="435"/>
      <c r="B85" s="435"/>
      <c r="C85" s="435"/>
      <c r="D85" s="435"/>
      <c r="E85" s="435"/>
      <c r="F85" s="435"/>
      <c r="G85" s="435"/>
      <c r="H85" s="435"/>
      <c r="I85" s="435"/>
      <c r="J85" s="435"/>
      <c r="K85" s="435"/>
      <c r="L85" s="435"/>
      <c r="M85" s="435"/>
      <c r="N85" s="203"/>
      <c r="O85" s="203"/>
      <c r="P85" s="203"/>
      <c r="Q85" s="203"/>
      <c r="R85" s="203"/>
      <c r="S85" s="203"/>
      <c r="T85" s="203"/>
      <c r="U85" s="203"/>
      <c r="V85" s="203"/>
      <c r="W85" s="203"/>
    </row>
    <row r="86" spans="1:23" ht="15.75">
      <c r="A86" s="435"/>
      <c r="B86" s="435"/>
      <c r="C86" s="435"/>
      <c r="D86" s="435"/>
      <c r="E86" s="435"/>
      <c r="F86" s="435"/>
      <c r="G86" s="435"/>
      <c r="H86" s="435"/>
      <c r="I86" s="435"/>
      <c r="J86" s="435"/>
      <c r="K86" s="435"/>
      <c r="L86" s="435"/>
      <c r="M86" s="435"/>
      <c r="N86" s="203"/>
      <c r="O86" s="203"/>
      <c r="P86" s="203"/>
      <c r="Q86" s="203"/>
      <c r="R86" s="203"/>
      <c r="S86" s="203"/>
      <c r="T86" s="203"/>
      <c r="U86" s="203"/>
      <c r="V86" s="203"/>
      <c r="W86" s="203"/>
    </row>
    <row r="87" spans="1:23" ht="15.75">
      <c r="A87" s="435"/>
      <c r="B87" s="435"/>
      <c r="C87" s="435"/>
      <c r="D87" s="435"/>
      <c r="E87" s="435"/>
      <c r="F87" s="435"/>
      <c r="G87" s="435"/>
      <c r="H87" s="435"/>
      <c r="I87" s="435"/>
      <c r="J87" s="435"/>
      <c r="K87" s="435"/>
      <c r="L87" s="435"/>
      <c r="M87" s="435"/>
      <c r="N87" s="203"/>
      <c r="O87" s="203"/>
      <c r="P87" s="203"/>
      <c r="Q87" s="203"/>
      <c r="R87" s="203"/>
      <c r="S87" s="203"/>
      <c r="T87" s="203"/>
      <c r="U87" s="203"/>
      <c r="V87" s="203"/>
      <c r="W87" s="203"/>
    </row>
    <row r="88" spans="1:23" ht="15.75">
      <c r="A88" s="435"/>
      <c r="B88" s="435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203"/>
      <c r="O88" s="203"/>
      <c r="P88" s="203"/>
      <c r="Q88" s="203"/>
      <c r="R88" s="203"/>
      <c r="S88" s="203"/>
      <c r="T88" s="203"/>
      <c r="U88" s="203"/>
      <c r="V88" s="203"/>
      <c r="W88" s="203"/>
    </row>
    <row r="89" spans="1:23" ht="15.75">
      <c r="A89" s="435"/>
      <c r="B89" s="435"/>
      <c r="C89" s="435"/>
      <c r="D89" s="435"/>
      <c r="E89" s="435"/>
      <c r="F89" s="435"/>
      <c r="G89" s="435"/>
      <c r="H89" s="435"/>
      <c r="I89" s="435"/>
      <c r="J89" s="435"/>
      <c r="K89" s="435"/>
      <c r="L89" s="435"/>
      <c r="M89" s="435"/>
      <c r="N89" s="203"/>
      <c r="O89" s="203"/>
      <c r="P89" s="203"/>
      <c r="Q89" s="203"/>
      <c r="R89" s="203"/>
      <c r="S89" s="203"/>
      <c r="T89" s="203"/>
      <c r="U89" s="203"/>
      <c r="V89" s="203"/>
      <c r="W89" s="203"/>
    </row>
    <row r="90" spans="1:23" ht="15.75">
      <c r="A90" s="435"/>
      <c r="B90" s="435"/>
      <c r="C90" s="435"/>
      <c r="D90" s="435"/>
      <c r="E90" s="435"/>
      <c r="F90" s="435"/>
      <c r="G90" s="435"/>
      <c r="H90" s="435"/>
      <c r="I90" s="435"/>
      <c r="J90" s="435"/>
      <c r="K90" s="435"/>
      <c r="L90" s="435"/>
      <c r="M90" s="435"/>
      <c r="N90" s="203"/>
      <c r="O90" s="203"/>
      <c r="P90" s="203"/>
      <c r="Q90" s="203"/>
      <c r="R90" s="203"/>
      <c r="S90" s="203"/>
      <c r="T90" s="203"/>
      <c r="U90" s="203"/>
      <c r="V90" s="203"/>
      <c r="W90" s="203"/>
    </row>
    <row r="91" spans="1:23" ht="15.75">
      <c r="A91" s="435"/>
      <c r="B91" s="435"/>
      <c r="C91" s="435"/>
      <c r="D91" s="435"/>
      <c r="E91" s="435"/>
      <c r="F91" s="435"/>
      <c r="G91" s="435"/>
      <c r="H91" s="435"/>
      <c r="I91" s="435"/>
      <c r="J91" s="435"/>
      <c r="K91" s="435"/>
      <c r="L91" s="435"/>
      <c r="M91" s="435"/>
      <c r="N91" s="203"/>
      <c r="O91" s="203"/>
      <c r="P91" s="203"/>
      <c r="Q91" s="203"/>
      <c r="R91" s="203"/>
      <c r="S91" s="203"/>
      <c r="T91" s="203"/>
      <c r="U91" s="203"/>
      <c r="V91" s="203"/>
      <c r="W91" s="203"/>
    </row>
    <row r="92" spans="1:23" ht="15.75">
      <c r="A92" s="435"/>
      <c r="B92" s="435"/>
      <c r="C92" s="435"/>
      <c r="D92" s="435"/>
      <c r="E92" s="435"/>
      <c r="F92" s="435"/>
      <c r="G92" s="435"/>
      <c r="H92" s="435"/>
      <c r="I92" s="435"/>
      <c r="J92" s="435"/>
      <c r="K92" s="435"/>
      <c r="L92" s="435"/>
      <c r="M92" s="435"/>
      <c r="N92" s="203"/>
      <c r="O92" s="203"/>
      <c r="P92" s="203"/>
      <c r="Q92" s="203"/>
      <c r="R92" s="203"/>
      <c r="S92" s="203"/>
      <c r="T92" s="203"/>
      <c r="U92" s="203"/>
      <c r="V92" s="203"/>
      <c r="W92" s="203"/>
    </row>
    <row r="93" spans="1:23" ht="15.75">
      <c r="A93" s="435"/>
      <c r="B93" s="435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203"/>
      <c r="O93" s="203"/>
      <c r="P93" s="203"/>
      <c r="Q93" s="203"/>
      <c r="R93" s="203"/>
      <c r="S93" s="203"/>
      <c r="T93" s="203"/>
      <c r="U93" s="203"/>
      <c r="V93" s="203"/>
      <c r="W93" s="203"/>
    </row>
    <row r="94" spans="1:23" ht="15.75">
      <c r="A94" s="435"/>
      <c r="B94" s="435"/>
      <c r="C94" s="435"/>
      <c r="D94" s="435"/>
      <c r="E94" s="435"/>
      <c r="F94" s="435"/>
      <c r="G94" s="435"/>
      <c r="H94" s="435"/>
      <c r="I94" s="435"/>
      <c r="J94" s="435"/>
      <c r="K94" s="435"/>
      <c r="L94" s="435"/>
      <c r="M94" s="435"/>
      <c r="N94" s="203"/>
      <c r="O94" s="203"/>
      <c r="P94" s="203"/>
      <c r="Q94" s="203"/>
      <c r="R94" s="203"/>
      <c r="S94" s="203"/>
      <c r="T94" s="203"/>
      <c r="U94" s="203"/>
      <c r="V94" s="203"/>
      <c r="W94" s="203"/>
    </row>
    <row r="95" spans="1:23" ht="15.75">
      <c r="A95" s="435"/>
      <c r="B95" s="435"/>
      <c r="C95" s="435"/>
      <c r="D95" s="435"/>
      <c r="E95" s="435"/>
      <c r="F95" s="435"/>
      <c r="G95" s="435"/>
      <c r="H95" s="435"/>
      <c r="I95" s="435"/>
      <c r="J95" s="435"/>
      <c r="K95" s="435"/>
      <c r="L95" s="435"/>
      <c r="M95" s="435"/>
      <c r="N95" s="203"/>
      <c r="O95" s="203"/>
      <c r="P95" s="203"/>
      <c r="Q95" s="203"/>
      <c r="R95" s="203"/>
      <c r="S95" s="203"/>
      <c r="T95" s="203"/>
      <c r="U95" s="203"/>
      <c r="V95" s="203"/>
      <c r="W95" s="203"/>
    </row>
    <row r="96" spans="1:23" ht="15.75">
      <c r="A96" s="435"/>
      <c r="B96" s="435"/>
      <c r="C96" s="435"/>
      <c r="D96" s="435"/>
      <c r="E96" s="435"/>
      <c r="F96" s="435"/>
      <c r="G96" s="435"/>
      <c r="H96" s="435"/>
      <c r="I96" s="435"/>
      <c r="J96" s="435"/>
      <c r="K96" s="435"/>
      <c r="L96" s="435"/>
      <c r="M96" s="435"/>
      <c r="N96" s="203"/>
      <c r="O96" s="203"/>
      <c r="P96" s="203"/>
      <c r="Q96" s="203"/>
      <c r="R96" s="203"/>
      <c r="S96" s="203"/>
      <c r="T96" s="203"/>
      <c r="U96" s="203"/>
      <c r="V96" s="203"/>
      <c r="W96" s="203"/>
    </row>
    <row r="97" spans="1:23" ht="15.75">
      <c r="A97" s="435"/>
      <c r="B97" s="435"/>
      <c r="C97" s="435"/>
      <c r="D97" s="435"/>
      <c r="E97" s="435"/>
      <c r="F97" s="435"/>
      <c r="G97" s="435"/>
      <c r="H97" s="435"/>
      <c r="I97" s="435"/>
      <c r="J97" s="435"/>
      <c r="K97" s="435"/>
      <c r="L97" s="435"/>
      <c r="M97" s="435"/>
      <c r="N97" s="203"/>
      <c r="O97" s="203"/>
      <c r="P97" s="203"/>
      <c r="Q97" s="203"/>
      <c r="R97" s="203"/>
      <c r="S97" s="203"/>
      <c r="T97" s="203"/>
      <c r="U97" s="203"/>
      <c r="V97" s="203"/>
      <c r="W97" s="203"/>
    </row>
    <row r="98" spans="1:23" ht="15.75">
      <c r="A98" s="435"/>
      <c r="B98" s="435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203"/>
      <c r="O98" s="203"/>
      <c r="P98" s="203"/>
      <c r="Q98" s="203"/>
      <c r="R98" s="203"/>
      <c r="S98" s="203"/>
      <c r="T98" s="203"/>
      <c r="U98" s="203"/>
      <c r="V98" s="203"/>
      <c r="W98" s="203"/>
    </row>
    <row r="99" spans="1:23" ht="15.75">
      <c r="A99" s="435"/>
      <c r="B99" s="435"/>
      <c r="C99" s="435"/>
      <c r="D99" s="435"/>
      <c r="E99" s="435"/>
      <c r="F99" s="435"/>
      <c r="G99" s="435"/>
      <c r="H99" s="435"/>
      <c r="I99" s="435"/>
      <c r="J99" s="435"/>
      <c r="K99" s="435"/>
      <c r="L99" s="435"/>
      <c r="M99" s="435"/>
      <c r="N99" s="203"/>
      <c r="O99" s="203"/>
      <c r="P99" s="203"/>
      <c r="Q99" s="203"/>
      <c r="R99" s="203"/>
      <c r="S99" s="203"/>
      <c r="T99" s="203"/>
      <c r="U99" s="203"/>
      <c r="V99" s="203"/>
      <c r="W99" s="203"/>
    </row>
    <row r="100" spans="1:23" ht="15.75">
      <c r="A100" s="435"/>
      <c r="B100" s="435"/>
      <c r="C100" s="435"/>
      <c r="D100" s="435"/>
      <c r="E100" s="435"/>
      <c r="F100" s="435"/>
      <c r="G100" s="435"/>
      <c r="H100" s="435"/>
      <c r="I100" s="435"/>
      <c r="J100" s="435"/>
      <c r="K100" s="435"/>
      <c r="L100" s="435"/>
      <c r="M100" s="435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</row>
    <row r="101" spans="1:23" ht="15.75">
      <c r="A101" s="435"/>
      <c r="B101" s="435"/>
      <c r="C101" s="435"/>
      <c r="D101" s="435"/>
      <c r="E101" s="435"/>
      <c r="F101" s="435"/>
      <c r="G101" s="435"/>
      <c r="H101" s="435"/>
      <c r="I101" s="435"/>
      <c r="J101" s="435"/>
      <c r="K101" s="435"/>
      <c r="L101" s="435"/>
      <c r="M101" s="435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</row>
    <row r="102" spans="1:23" ht="15.75">
      <c r="A102" s="435"/>
      <c r="B102" s="435"/>
      <c r="C102" s="435"/>
      <c r="D102" s="435"/>
      <c r="E102" s="435"/>
      <c r="F102" s="435"/>
      <c r="G102" s="435"/>
      <c r="H102" s="435"/>
      <c r="I102" s="435"/>
      <c r="J102" s="435"/>
      <c r="K102" s="435"/>
      <c r="L102" s="435"/>
      <c r="M102" s="435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</row>
    <row r="103" spans="1:23" ht="15.75">
      <c r="A103" s="435"/>
      <c r="B103" s="435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</row>
    <row r="104" spans="1:23" ht="15.75">
      <c r="A104" s="435"/>
      <c r="B104" s="435"/>
      <c r="C104" s="435"/>
      <c r="D104" s="435"/>
      <c r="E104" s="435"/>
      <c r="F104" s="435"/>
      <c r="G104" s="435"/>
      <c r="H104" s="435"/>
      <c r="I104" s="435"/>
      <c r="J104" s="435"/>
      <c r="K104" s="435"/>
      <c r="L104" s="435"/>
      <c r="M104" s="435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</row>
    <row r="105" spans="1:23" ht="15.75">
      <c r="A105" s="435"/>
      <c r="B105" s="435"/>
      <c r="C105" s="435"/>
      <c r="D105" s="435"/>
      <c r="E105" s="435"/>
      <c r="F105" s="435"/>
      <c r="G105" s="435"/>
      <c r="H105" s="435"/>
      <c r="I105" s="435"/>
      <c r="J105" s="435"/>
      <c r="K105" s="435"/>
      <c r="L105" s="435"/>
      <c r="M105" s="435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</row>
    <row r="106" spans="1:23" ht="15.75">
      <c r="A106" s="435"/>
      <c r="B106" s="435"/>
      <c r="C106" s="435"/>
      <c r="D106" s="435"/>
      <c r="E106" s="435"/>
      <c r="F106" s="435"/>
      <c r="G106" s="435"/>
      <c r="H106" s="435"/>
      <c r="I106" s="435"/>
      <c r="J106" s="435"/>
      <c r="K106" s="435"/>
      <c r="L106" s="435"/>
      <c r="M106" s="435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</row>
    <row r="107" spans="1:23" ht="15.75">
      <c r="A107" s="435"/>
      <c r="B107" s="435"/>
      <c r="C107" s="435"/>
      <c r="D107" s="435"/>
      <c r="E107" s="435"/>
      <c r="F107" s="435"/>
      <c r="G107" s="435"/>
      <c r="H107" s="435"/>
      <c r="I107" s="435"/>
      <c r="J107" s="435"/>
      <c r="K107" s="435"/>
      <c r="L107" s="435"/>
      <c r="M107" s="435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</row>
    <row r="108" spans="1:23" ht="15.75">
      <c r="A108" s="435"/>
      <c r="B108" s="435"/>
      <c r="C108" s="435"/>
      <c r="D108" s="435"/>
      <c r="E108" s="435"/>
      <c r="F108" s="435"/>
      <c r="G108" s="435"/>
      <c r="H108" s="435"/>
      <c r="I108" s="435"/>
      <c r="J108" s="435"/>
      <c r="K108" s="435"/>
      <c r="L108" s="435"/>
      <c r="M108" s="435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</row>
    <row r="109" spans="1:23" ht="15.75">
      <c r="A109" s="435"/>
      <c r="B109" s="435"/>
      <c r="C109" s="435"/>
      <c r="D109" s="435"/>
      <c r="E109" s="435"/>
      <c r="F109" s="435"/>
      <c r="G109" s="435"/>
      <c r="H109" s="435"/>
      <c r="I109" s="435"/>
      <c r="J109" s="435"/>
      <c r="K109" s="435"/>
      <c r="L109" s="435"/>
      <c r="M109" s="435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</row>
    <row r="110" spans="1:23" ht="15.75">
      <c r="A110" s="435"/>
      <c r="B110" s="435"/>
      <c r="C110" s="435"/>
      <c r="D110" s="435"/>
      <c r="E110" s="435"/>
      <c r="F110" s="435"/>
      <c r="G110" s="435"/>
      <c r="H110" s="435"/>
      <c r="I110" s="435"/>
      <c r="J110" s="435"/>
      <c r="K110" s="435"/>
      <c r="L110" s="435"/>
      <c r="M110" s="435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</row>
    <row r="111" spans="1:23" ht="15.75">
      <c r="A111" s="435"/>
      <c r="B111" s="435"/>
      <c r="C111" s="435"/>
      <c r="D111" s="435"/>
      <c r="E111" s="435"/>
      <c r="F111" s="435"/>
      <c r="G111" s="435"/>
      <c r="H111" s="435"/>
      <c r="I111" s="435"/>
      <c r="J111" s="435"/>
      <c r="K111" s="435"/>
      <c r="L111" s="435"/>
      <c r="M111" s="435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</row>
    <row r="112" spans="1:23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</row>
    <row r="113" spans="1:23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</row>
    <row r="114" spans="1:23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</row>
    <row r="115" spans="1:23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</row>
    <row r="116" spans="1:23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</row>
    <row r="117" spans="1:23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</row>
    <row r="118" spans="1:23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</row>
    <row r="119" spans="1:23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</row>
    <row r="120" spans="1:23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</row>
    <row r="121" spans="1:23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</row>
    <row r="122" spans="1:23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</row>
    <row r="123" spans="1:23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</row>
    <row r="124" spans="1:23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</row>
    <row r="125" spans="1:23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</row>
    <row r="126" spans="1:23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</row>
    <row r="127" spans="1:23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</row>
    <row r="128" spans="1:23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</row>
    <row r="129" spans="1:23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</row>
    <row r="130" spans="1:23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</row>
    <row r="131" spans="1:23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</row>
    <row r="132" spans="1:23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</row>
    <row r="133" spans="1:23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</row>
    <row r="134" spans="1:23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</row>
    <row r="135" spans="1:23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57345" r:id="rId4">
          <objectPr defaultSize="0" r:id="rId5">
            <anchor moveWithCells="1">
              <from>
                <xdr:col>1</xdr:col>
                <xdr:colOff>0</xdr:colOff>
                <xdr:row>10</xdr:row>
                <xdr:rowOff>0</xdr:rowOff>
              </from>
              <to>
                <xdr:col>8</xdr:col>
                <xdr:colOff>504825</xdr:colOff>
                <xdr:row>47</xdr:row>
                <xdr:rowOff>142875</xdr:rowOff>
              </to>
            </anchor>
          </objectPr>
        </oleObject>
      </mc:Choice>
      <mc:Fallback>
        <oleObject progId="AcroExch.Document.DC" shapeId="57345" r:id="rId4"/>
      </mc:Fallback>
    </mc:AlternateContent>
    <mc:AlternateContent xmlns:mc="http://schemas.openxmlformats.org/markup-compatibility/2006">
      <mc:Choice Requires="x14">
        <oleObject progId="AcroExch.Document.DC" shapeId="57346" r:id="rId6">
          <objectPr defaultSize="0" r:id="rId7">
            <anchor moveWithCells="1">
              <from>
                <xdr:col>1</xdr:col>
                <xdr:colOff>0</xdr:colOff>
                <xdr:row>50</xdr:row>
                <xdr:rowOff>0</xdr:rowOff>
              </from>
              <to>
                <xdr:col>8</xdr:col>
                <xdr:colOff>504825</xdr:colOff>
                <xdr:row>87</xdr:row>
                <xdr:rowOff>142875</xdr:rowOff>
              </to>
            </anchor>
          </objectPr>
        </oleObject>
      </mc:Choice>
      <mc:Fallback>
        <oleObject progId="AcroExch.Document.DC" shapeId="57346" r:id="rId6"/>
      </mc:Fallback>
    </mc:AlternateContent>
    <mc:AlternateContent xmlns:mc="http://schemas.openxmlformats.org/markup-compatibility/2006">
      <mc:Choice Requires="x14">
        <oleObject progId="AcroExch.Document.DC" shapeId="57347" r:id="rId8">
          <objectPr defaultSize="0" r:id="rId9">
            <anchor moveWithCells="1">
              <from>
                <xdr:col>1</xdr:col>
                <xdr:colOff>0</xdr:colOff>
                <xdr:row>89</xdr:row>
                <xdr:rowOff>0</xdr:rowOff>
              </from>
              <to>
                <xdr:col>8</xdr:col>
                <xdr:colOff>504825</xdr:colOff>
                <xdr:row>127</xdr:row>
                <xdr:rowOff>95250</xdr:rowOff>
              </to>
            </anchor>
          </objectPr>
        </oleObject>
      </mc:Choice>
      <mc:Fallback>
        <oleObject progId="AcroExch.Document.DC" shapeId="57347" r:id="rId8"/>
      </mc:Fallback>
    </mc:AlternateContent>
    <mc:AlternateContent xmlns:mc="http://schemas.openxmlformats.org/markup-compatibility/2006">
      <mc:Choice Requires="x14">
        <oleObject progId="AcroExch.Document.DC" shapeId="57348" r:id="rId10">
          <objectPr defaultSize="0" r:id="rId11">
            <anchor moveWithCells="1">
              <from>
                <xdr:col>1</xdr:col>
                <xdr:colOff>0</xdr:colOff>
                <xdr:row>129</xdr:row>
                <xdr:rowOff>0</xdr:rowOff>
              </from>
              <to>
                <xdr:col>8</xdr:col>
                <xdr:colOff>495300</xdr:colOff>
                <xdr:row>168</xdr:row>
                <xdr:rowOff>114300</xdr:rowOff>
              </to>
            </anchor>
          </objectPr>
        </oleObject>
      </mc:Choice>
      <mc:Fallback>
        <oleObject progId="AcroExch.Document.DC" shapeId="57348" r:id="rId10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B42" sqref="B42"/>
    </sheetView>
  </sheetViews>
  <sheetFormatPr defaultRowHeight="1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73729" r:id="rId4">
          <objectPr defaultSize="0" r:id="rId5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8</xdr:col>
                <xdr:colOff>495300</xdr:colOff>
                <xdr:row>40</xdr:row>
                <xdr:rowOff>114300</xdr:rowOff>
              </to>
            </anchor>
          </objectPr>
        </oleObject>
      </mc:Choice>
      <mc:Fallback>
        <oleObject progId="AcroExch.Document.DC" shapeId="73729" r:id="rId4"/>
      </mc:Fallback>
    </mc:AlternateContent>
    <mc:AlternateContent xmlns:mc="http://schemas.openxmlformats.org/markup-compatibility/2006">
      <mc:Choice Requires="x14">
        <oleObject progId="AcroExch.Document.DC" shapeId="73730" r:id="rId6">
          <objectPr defaultSize="0" r:id="rId7">
            <anchor moveWithCells="1">
              <from>
                <xdr:col>1</xdr:col>
                <xdr:colOff>0</xdr:colOff>
                <xdr:row>41</xdr:row>
                <xdr:rowOff>0</xdr:rowOff>
              </from>
              <to>
                <xdr:col>8</xdr:col>
                <xdr:colOff>495300</xdr:colOff>
                <xdr:row>80</xdr:row>
                <xdr:rowOff>114300</xdr:rowOff>
              </to>
            </anchor>
          </objectPr>
        </oleObject>
      </mc:Choice>
      <mc:Fallback>
        <oleObject progId="AcroExch.Document.DC" shapeId="73730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topLeftCell="B1" workbookViewId="0">
      <selection activeCell="I10" sqref="I10"/>
    </sheetView>
  </sheetViews>
  <sheetFormatPr defaultRowHeight="15"/>
  <cols>
    <col min="1" max="1" width="8.88671875" style="203"/>
    <col min="2" max="2" width="13.88671875" style="203" bestFit="1" customWidth="1"/>
    <col min="3" max="6" width="8.44140625" style="203" bestFit="1" customWidth="1"/>
    <col min="7" max="7" width="9.21875" style="203" bestFit="1" customWidth="1"/>
    <col min="8" max="8" width="11.77734375" style="203" bestFit="1" customWidth="1"/>
    <col min="9" max="9" width="10.33203125" style="203" bestFit="1" customWidth="1"/>
    <col min="10" max="10" width="12.6640625" style="203" bestFit="1" customWidth="1"/>
    <col min="11" max="11" width="14.77734375" style="203" bestFit="1" customWidth="1"/>
    <col min="12" max="12" width="8.88671875" style="203"/>
    <col min="13" max="13" width="8.77734375" style="203" bestFit="1" customWidth="1"/>
    <col min="14" max="14" width="9" style="203" bestFit="1" customWidth="1"/>
    <col min="15" max="15" width="8.5546875" style="203" bestFit="1" customWidth="1"/>
    <col min="16" max="16384" width="8.88671875" style="203"/>
  </cols>
  <sheetData>
    <row r="1" spans="1:15" ht="18.75">
      <c r="A1" s="365" t="s">
        <v>365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53"/>
    </row>
    <row r="2" spans="1:15" ht="18.75">
      <c r="A2" s="365" t="s">
        <v>545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53"/>
    </row>
    <row r="3" spans="1:15" ht="18.75">
      <c r="A3" s="365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53"/>
    </row>
    <row r="4" spans="1:15" ht="18.75">
      <c r="A4" s="365"/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53"/>
    </row>
    <row r="5" spans="1:15">
      <c r="A5" s="291"/>
      <c r="B5" s="291"/>
      <c r="C5" s="291"/>
      <c r="D5" s="291"/>
      <c r="E5" s="291"/>
      <c r="F5" s="291"/>
      <c r="G5" s="291"/>
      <c r="H5" s="291"/>
      <c r="I5" s="291"/>
      <c r="J5" s="291"/>
      <c r="K5" s="291"/>
      <c r="L5" s="291"/>
      <c r="M5" s="291"/>
      <c r="N5" s="291"/>
      <c r="O5" s="291"/>
    </row>
    <row r="6" spans="1:15" ht="16.5" thickBot="1">
      <c r="A6" s="291"/>
      <c r="B6" s="291"/>
      <c r="C6" s="291"/>
      <c r="D6" s="291"/>
      <c r="E6" s="291"/>
      <c r="F6" s="291"/>
      <c r="G6" s="291"/>
      <c r="H6" s="291"/>
      <c r="I6" s="291"/>
      <c r="J6" s="291"/>
      <c r="K6" s="291"/>
      <c r="L6" s="291"/>
      <c r="M6" s="367" t="s">
        <v>546</v>
      </c>
      <c r="N6" s="368"/>
      <c r="O6" s="369"/>
    </row>
    <row r="7" spans="1:15" ht="15.75" thickBot="1">
      <c r="A7" s="291"/>
      <c r="B7" s="370" t="s">
        <v>547</v>
      </c>
      <c r="C7" s="371" t="s">
        <v>548</v>
      </c>
      <c r="D7" s="371" t="s">
        <v>549</v>
      </c>
      <c r="E7" s="371" t="s">
        <v>550</v>
      </c>
      <c r="F7" s="371" t="s">
        <v>551</v>
      </c>
      <c r="G7" s="371" t="s">
        <v>103</v>
      </c>
      <c r="H7" s="371" t="s">
        <v>552</v>
      </c>
      <c r="I7" s="371" t="s">
        <v>553</v>
      </c>
      <c r="J7" s="372" t="s">
        <v>554</v>
      </c>
      <c r="K7" s="372" t="s">
        <v>555</v>
      </c>
      <c r="L7" s="291"/>
      <c r="M7" s="373" t="s">
        <v>556</v>
      </c>
      <c r="N7" s="374" t="s">
        <v>557</v>
      </c>
      <c r="O7" s="375" t="s">
        <v>558</v>
      </c>
    </row>
    <row r="8" spans="1:15" ht="16.5" thickBot="1">
      <c r="A8" s="291"/>
      <c r="B8" s="376" t="s">
        <v>559</v>
      </c>
      <c r="C8" s="377">
        <v>28269.22</v>
      </c>
      <c r="D8" s="377">
        <v>24230.76</v>
      </c>
      <c r="E8" s="377">
        <v>28269.22</v>
      </c>
      <c r="F8" s="377">
        <v>30678.54</v>
      </c>
      <c r="G8" s="377">
        <f t="shared" ref="G8:G13" si="0">SUM(C8:F8)</f>
        <v>111447.73999999999</v>
      </c>
      <c r="H8" s="378" t="s">
        <v>560</v>
      </c>
      <c r="I8" s="379">
        <v>0.6</v>
      </c>
      <c r="J8" s="379">
        <v>0.2</v>
      </c>
      <c r="K8" s="379">
        <v>0.2</v>
      </c>
      <c r="L8" s="380"/>
      <c r="M8" s="230">
        <f t="shared" ref="M8:M13" si="1">+$G8*I8</f>
        <v>66868.643999999986</v>
      </c>
      <c r="N8" s="230">
        <f t="shared" ref="N8:O13" si="2">+$G8*J8</f>
        <v>22289.547999999999</v>
      </c>
      <c r="O8" s="230">
        <f t="shared" si="2"/>
        <v>22289.547999999999</v>
      </c>
    </row>
    <row r="9" spans="1:15" ht="16.5" thickBot="1">
      <c r="A9" s="291"/>
      <c r="B9" s="376" t="s">
        <v>561</v>
      </c>
      <c r="C9" s="377">
        <v>22884.61</v>
      </c>
      <c r="D9" s="377">
        <v>19615.38</v>
      </c>
      <c r="E9" s="377">
        <v>22884.61</v>
      </c>
      <c r="F9" s="377">
        <v>19615.38</v>
      </c>
      <c r="G9" s="377">
        <f t="shared" si="0"/>
        <v>84999.98000000001</v>
      </c>
      <c r="H9" s="378" t="s">
        <v>562</v>
      </c>
      <c r="I9" s="379">
        <v>0.9</v>
      </c>
      <c r="J9" s="379">
        <v>0.05</v>
      </c>
      <c r="K9" s="379">
        <v>0.05</v>
      </c>
      <c r="L9" s="380"/>
      <c r="M9" s="230">
        <f t="shared" si="1"/>
        <v>76499.982000000018</v>
      </c>
      <c r="N9" s="230">
        <f t="shared" si="2"/>
        <v>4249.9990000000007</v>
      </c>
      <c r="O9" s="230">
        <f t="shared" si="2"/>
        <v>4249.9990000000007</v>
      </c>
    </row>
    <row r="10" spans="1:15" ht="16.5" thickBot="1">
      <c r="A10" s="291"/>
      <c r="B10" s="376" t="s">
        <v>563</v>
      </c>
      <c r="C10" s="377">
        <v>12623</v>
      </c>
      <c r="D10" s="377">
        <v>11334.38</v>
      </c>
      <c r="E10" s="377">
        <v>13459.39</v>
      </c>
      <c r="F10" s="377">
        <v>12159.08</v>
      </c>
      <c r="G10" s="377">
        <f t="shared" si="0"/>
        <v>49575.85</v>
      </c>
      <c r="H10" s="378" t="s">
        <v>564</v>
      </c>
      <c r="I10" s="379">
        <v>0.5</v>
      </c>
      <c r="J10" s="379">
        <v>0.2</v>
      </c>
      <c r="K10" s="379">
        <v>0.3</v>
      </c>
      <c r="L10" s="380"/>
      <c r="M10" s="230">
        <f t="shared" si="1"/>
        <v>24787.924999999999</v>
      </c>
      <c r="N10" s="230">
        <f t="shared" si="2"/>
        <v>9915.17</v>
      </c>
      <c r="O10" s="230">
        <f t="shared" si="2"/>
        <v>14872.754999999999</v>
      </c>
    </row>
    <row r="11" spans="1:15" ht="16.5" thickBot="1">
      <c r="A11" s="291"/>
      <c r="B11" s="376" t="s">
        <v>565</v>
      </c>
      <c r="C11" s="377">
        <v>16915.97</v>
      </c>
      <c r="D11" s="377">
        <v>14584.86</v>
      </c>
      <c r="E11" s="377">
        <v>17015.669999999998</v>
      </c>
      <c r="F11" s="377">
        <v>15747.64</v>
      </c>
      <c r="G11" s="377">
        <f t="shared" si="0"/>
        <v>64264.14</v>
      </c>
      <c r="H11" s="378" t="s">
        <v>560</v>
      </c>
      <c r="I11" s="379">
        <v>1</v>
      </c>
      <c r="J11" s="379">
        <v>0</v>
      </c>
      <c r="K11" s="379">
        <v>0</v>
      </c>
      <c r="L11" s="380"/>
      <c r="M11" s="230">
        <f t="shared" si="1"/>
        <v>64264.14</v>
      </c>
      <c r="N11" s="230">
        <f t="shared" si="2"/>
        <v>0</v>
      </c>
      <c r="O11" s="230">
        <f t="shared" si="2"/>
        <v>0</v>
      </c>
    </row>
    <row r="12" spans="1:15" ht="16.5" thickBot="1">
      <c r="A12" s="291"/>
      <c r="B12" s="376" t="s">
        <v>566</v>
      </c>
      <c r="C12" s="377">
        <v>8615.3799999999992</v>
      </c>
      <c r="D12" s="377">
        <v>7384.62</v>
      </c>
      <c r="E12" s="377">
        <v>8615.39</v>
      </c>
      <c r="F12" s="377">
        <v>7384.62</v>
      </c>
      <c r="G12" s="377">
        <f t="shared" si="0"/>
        <v>32000.01</v>
      </c>
      <c r="H12" s="378" t="s">
        <v>567</v>
      </c>
      <c r="I12" s="379">
        <v>0.9</v>
      </c>
      <c r="J12" s="379">
        <v>0.05</v>
      </c>
      <c r="K12" s="379">
        <v>0.05</v>
      </c>
      <c r="L12" s="380"/>
      <c r="M12" s="230">
        <f t="shared" si="1"/>
        <v>28800.008999999998</v>
      </c>
      <c r="N12" s="230">
        <f t="shared" si="2"/>
        <v>1600.0005000000001</v>
      </c>
      <c r="O12" s="230">
        <f t="shared" si="2"/>
        <v>1600.0005000000001</v>
      </c>
    </row>
    <row r="13" spans="1:15" ht="16.5" thickBot="1">
      <c r="A13" s="291"/>
      <c r="B13" s="376" t="s">
        <v>568</v>
      </c>
      <c r="C13" s="377">
        <v>9224.25</v>
      </c>
      <c r="D13" s="377">
        <v>9809.6299999999992</v>
      </c>
      <c r="E13" s="377">
        <v>11702.27</v>
      </c>
      <c r="F13" s="377">
        <v>9504.4500000000007</v>
      </c>
      <c r="G13" s="377">
        <f t="shared" si="0"/>
        <v>40240.6</v>
      </c>
      <c r="H13" s="378" t="s">
        <v>564</v>
      </c>
      <c r="I13" s="379">
        <v>0.2</v>
      </c>
      <c r="J13" s="379">
        <v>0.4</v>
      </c>
      <c r="K13" s="379">
        <v>0.4</v>
      </c>
      <c r="L13" s="380"/>
      <c r="M13" s="249">
        <f t="shared" si="1"/>
        <v>8048.12</v>
      </c>
      <c r="N13" s="249">
        <f t="shared" si="2"/>
        <v>16096.24</v>
      </c>
      <c r="O13" s="249">
        <f t="shared" si="2"/>
        <v>16096.24</v>
      </c>
    </row>
    <row r="14" spans="1:15" ht="16.5" thickBot="1">
      <c r="A14" s="291"/>
      <c r="B14" s="376"/>
      <c r="C14" s="381">
        <f>SUM(C8:C13)</f>
        <v>98532.430000000008</v>
      </c>
      <c r="D14" s="381">
        <f>SUM(D8:D13)</f>
        <v>86959.63</v>
      </c>
      <c r="E14" s="381">
        <f>SUM(E8:E13)</f>
        <v>101946.55</v>
      </c>
      <c r="F14" s="381">
        <f>SUM(F8:F13)</f>
        <v>95089.709999999992</v>
      </c>
      <c r="G14" s="377">
        <f>SUM(G8:G13)</f>
        <v>382528.32</v>
      </c>
      <c r="H14" s="378"/>
      <c r="I14" s="382"/>
      <c r="J14" s="378"/>
      <c r="K14" s="378"/>
      <c r="L14" s="291"/>
      <c r="M14" s="230">
        <f>SUM(M8:M13)</f>
        <v>269268.82</v>
      </c>
      <c r="N14" s="230">
        <f>SUM(N8:N13)</f>
        <v>54150.957499999997</v>
      </c>
      <c r="O14" s="384">
        <f>SUM(O8:O13)</f>
        <v>59108.542499999996</v>
      </c>
    </row>
    <row r="15" spans="1:15" ht="15.75">
      <c r="A15" s="291"/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2"/>
      <c r="N15" s="292"/>
      <c r="O15" s="292"/>
    </row>
    <row r="16" spans="1:15" ht="15.75">
      <c r="A16" s="291"/>
      <c r="B16" s="291"/>
      <c r="C16" s="291"/>
      <c r="D16" s="291"/>
      <c r="E16" s="291"/>
      <c r="F16" s="291"/>
      <c r="G16" s="383"/>
      <c r="H16" s="291"/>
      <c r="I16" s="291"/>
      <c r="J16" s="291"/>
      <c r="K16" s="291"/>
      <c r="L16" s="291"/>
      <c r="M16" s="385">
        <f>+M14/$G$14</f>
        <v>0.70391865365680639</v>
      </c>
      <c r="N16" s="385">
        <f>+N14/$G$14</f>
        <v>0.14156064967947993</v>
      </c>
      <c r="O16" s="385">
        <f>+O14/$G$14</f>
        <v>0.15452069666371368</v>
      </c>
    </row>
    <row r="17" spans="1:15" ht="15.75">
      <c r="A17" s="291"/>
      <c r="B17" s="291"/>
      <c r="C17" s="291"/>
      <c r="D17" s="291"/>
      <c r="E17" s="291"/>
      <c r="F17" s="291"/>
      <c r="G17" s="291"/>
      <c r="H17" s="291"/>
      <c r="I17" s="291"/>
      <c r="J17" s="291"/>
      <c r="K17" s="291"/>
      <c r="L17" s="291"/>
      <c r="M17" s="292"/>
      <c r="N17" s="292"/>
      <c r="O17" s="292"/>
    </row>
    <row r="18" spans="1:15" ht="15.75">
      <c r="M18" s="212"/>
      <c r="N18" s="212"/>
      <c r="O18" s="212"/>
    </row>
    <row r="19" spans="1:15" ht="15.75">
      <c r="M19" s="212"/>
      <c r="N19" s="212"/>
      <c r="O19" s="212"/>
    </row>
    <row r="20" spans="1:15" ht="15.75">
      <c r="M20" s="212"/>
      <c r="N20" s="212"/>
      <c r="O20" s="21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5"/>
  <sheetViews>
    <sheetView topLeftCell="A25" workbookViewId="0">
      <selection activeCell="K70" sqref="K70"/>
    </sheetView>
  </sheetViews>
  <sheetFormatPr defaultRowHeight="15"/>
  <cols>
    <col min="1" max="1" width="13.109375" style="203" customWidth="1"/>
    <col min="2" max="9" width="9" style="203" bestFit="1" customWidth="1"/>
    <col min="10" max="10" width="8.88671875" style="203"/>
    <col min="11" max="11" width="9.77734375" style="203" bestFit="1" customWidth="1"/>
    <col min="12" max="12" width="8.77734375" style="203" bestFit="1" customWidth="1"/>
    <col min="13" max="15" width="9.6640625" style="203" bestFit="1" customWidth="1"/>
    <col min="16" max="16" width="7.6640625" style="203" bestFit="1" customWidth="1"/>
    <col min="17" max="17" width="8.109375" style="203" bestFit="1" customWidth="1"/>
    <col min="18" max="18" width="9.88671875" style="203" bestFit="1" customWidth="1"/>
    <col min="19" max="19" width="9" style="203" bestFit="1" customWidth="1"/>
    <col min="20" max="16384" width="8.88671875" style="203"/>
  </cols>
  <sheetData>
    <row r="1" spans="1:19" ht="15.75">
      <c r="A1" s="387" t="s">
        <v>365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9"/>
      <c r="Q1" s="389"/>
      <c r="R1" s="389"/>
      <c r="S1" s="389"/>
    </row>
    <row r="2" spans="1:19" ht="15.75">
      <c r="A2" s="390" t="s">
        <v>569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89"/>
      <c r="Q2" s="389"/>
      <c r="R2" s="389"/>
      <c r="S2" s="389"/>
    </row>
    <row r="3" spans="1:19" ht="15.75">
      <c r="A3" s="389"/>
      <c r="B3" s="389"/>
      <c r="C3" s="389"/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/>
    </row>
    <row r="4" spans="1:19" ht="15.75">
      <c r="A4" s="464" t="s">
        <v>570</v>
      </c>
      <c r="B4" s="464"/>
      <c r="C4" s="464"/>
      <c r="D4" s="464"/>
      <c r="E4" s="464"/>
      <c r="F4" s="389"/>
      <c r="G4" s="389"/>
      <c r="H4" s="389"/>
      <c r="I4" s="389"/>
      <c r="J4" s="389"/>
      <c r="K4" s="388" t="s">
        <v>571</v>
      </c>
      <c r="L4" s="388"/>
      <c r="M4" s="389"/>
      <c r="N4" s="389"/>
      <c r="O4" s="389"/>
      <c r="P4" s="389" t="s">
        <v>291</v>
      </c>
      <c r="Q4" s="389" t="s">
        <v>625</v>
      </c>
      <c r="R4" s="389" t="s">
        <v>626</v>
      </c>
      <c r="S4" s="389" t="s">
        <v>46</v>
      </c>
    </row>
    <row r="5" spans="1:19" ht="15.75">
      <c r="A5" s="391" t="s">
        <v>572</v>
      </c>
      <c r="B5" s="391" t="s">
        <v>573</v>
      </c>
      <c r="C5" s="391" t="s">
        <v>574</v>
      </c>
      <c r="D5" s="391" t="s">
        <v>575</v>
      </c>
      <c r="E5" s="391" t="s">
        <v>48</v>
      </c>
      <c r="F5" s="389"/>
      <c r="G5" s="389"/>
      <c r="H5" s="389"/>
      <c r="I5" s="389"/>
      <c r="J5" s="389"/>
      <c r="K5" s="391" t="s">
        <v>574</v>
      </c>
      <c r="L5" s="391" t="s">
        <v>575</v>
      </c>
      <c r="M5" s="414" t="s">
        <v>576</v>
      </c>
      <c r="N5" s="389"/>
      <c r="O5" s="389"/>
      <c r="P5" s="389"/>
      <c r="Q5" s="389"/>
      <c r="R5" s="389"/>
      <c r="S5" s="389"/>
    </row>
    <row r="6" spans="1:19" ht="15.75">
      <c r="A6" s="392" t="s">
        <v>577</v>
      </c>
      <c r="B6" s="392" t="s">
        <v>578</v>
      </c>
      <c r="C6" s="392">
        <v>433</v>
      </c>
      <c r="D6" s="392">
        <v>40</v>
      </c>
      <c r="E6" s="393">
        <v>16.899999999999999</v>
      </c>
      <c r="F6" s="389"/>
      <c r="G6" s="389"/>
      <c r="H6" s="389"/>
      <c r="I6" s="389"/>
      <c r="J6" s="389"/>
      <c r="K6" s="394">
        <f>+C6*E6*12</f>
        <v>87812.4</v>
      </c>
      <c r="L6" s="394">
        <f>+D6*E6*4</f>
        <v>2704</v>
      </c>
      <c r="M6" s="394">
        <f>SUM(K6:L6)</f>
        <v>90516.4</v>
      </c>
      <c r="N6" s="389"/>
      <c r="O6" s="389"/>
      <c r="P6" s="389"/>
      <c r="Q6" s="389"/>
      <c r="R6" s="389"/>
      <c r="S6" s="389"/>
    </row>
    <row r="7" spans="1:19" ht="15.75">
      <c r="A7" s="392"/>
      <c r="B7" s="392" t="s">
        <v>579</v>
      </c>
      <c r="C7" s="392">
        <v>273</v>
      </c>
      <c r="D7" s="392">
        <v>10</v>
      </c>
      <c r="E7" s="393">
        <v>9.25</v>
      </c>
      <c r="F7" s="389"/>
      <c r="G7" s="389"/>
      <c r="H7" s="389"/>
      <c r="I7" s="389"/>
      <c r="J7" s="389"/>
      <c r="K7" s="394">
        <f t="shared" ref="K7:K13" si="0">+C7*E7*12</f>
        <v>30303</v>
      </c>
      <c r="L7" s="394">
        <f t="shared" ref="L7:L13" si="1">+D7*E7*4</f>
        <v>370</v>
      </c>
      <c r="M7" s="394">
        <f t="shared" ref="M7:M13" si="2">SUM(K7:L7)</f>
        <v>30673</v>
      </c>
      <c r="N7" s="389"/>
      <c r="O7" s="389"/>
      <c r="P7" s="389"/>
      <c r="Q7" s="389"/>
      <c r="R7" s="389"/>
      <c r="S7" s="389"/>
    </row>
    <row r="8" spans="1:19" ht="15.75">
      <c r="A8" s="392"/>
      <c r="B8" s="392" t="s">
        <v>580</v>
      </c>
      <c r="C8" s="392">
        <v>117</v>
      </c>
      <c r="D8" s="392">
        <v>5</v>
      </c>
      <c r="E8" s="393">
        <v>5.7</v>
      </c>
      <c r="F8" s="389"/>
      <c r="G8" s="389"/>
      <c r="H8" s="389"/>
      <c r="I8" s="389"/>
      <c r="J8" s="389"/>
      <c r="K8" s="394">
        <f t="shared" si="0"/>
        <v>8002.7999999999993</v>
      </c>
      <c r="L8" s="394">
        <f t="shared" si="1"/>
        <v>114</v>
      </c>
      <c r="M8" s="394">
        <f t="shared" si="2"/>
        <v>8116.7999999999993</v>
      </c>
      <c r="N8" s="389"/>
      <c r="O8" s="389"/>
      <c r="P8" s="389"/>
      <c r="Q8" s="389"/>
      <c r="R8" s="389"/>
      <c r="S8" s="389"/>
    </row>
    <row r="9" spans="1:19" ht="15.75">
      <c r="A9" s="392"/>
      <c r="B9" s="392" t="s">
        <v>581</v>
      </c>
      <c r="C9" s="392">
        <v>327</v>
      </c>
      <c r="D9" s="392">
        <v>25</v>
      </c>
      <c r="E9" s="393">
        <v>23.8</v>
      </c>
      <c r="F9" s="389"/>
      <c r="G9" s="389"/>
      <c r="H9" s="389"/>
      <c r="I9" s="389"/>
      <c r="J9" s="389"/>
      <c r="K9" s="394">
        <f t="shared" si="0"/>
        <v>93391.200000000012</v>
      </c>
      <c r="L9" s="394">
        <f t="shared" si="1"/>
        <v>2380</v>
      </c>
      <c r="M9" s="394">
        <f t="shared" si="2"/>
        <v>95771.200000000012</v>
      </c>
      <c r="N9" s="389"/>
      <c r="O9" s="389"/>
      <c r="P9" s="389"/>
      <c r="Q9" s="389"/>
      <c r="R9" s="389"/>
      <c r="S9" s="389"/>
    </row>
    <row r="10" spans="1:19" ht="15.75">
      <c r="A10" s="392"/>
      <c r="B10" s="392" t="s">
        <v>582</v>
      </c>
      <c r="C10" s="392">
        <v>142</v>
      </c>
      <c r="D10" s="392">
        <v>10</v>
      </c>
      <c r="E10" s="393">
        <v>16.899999999999999</v>
      </c>
      <c r="F10" s="389"/>
      <c r="G10" s="389"/>
      <c r="H10" s="389"/>
      <c r="I10" s="389"/>
      <c r="J10" s="389"/>
      <c r="K10" s="394">
        <f t="shared" si="0"/>
        <v>28797.599999999999</v>
      </c>
      <c r="L10" s="394">
        <f t="shared" si="1"/>
        <v>676</v>
      </c>
      <c r="M10" s="394">
        <f t="shared" si="2"/>
        <v>29473.599999999999</v>
      </c>
      <c r="N10" s="389"/>
      <c r="O10" s="389"/>
      <c r="P10" s="389"/>
      <c r="Q10" s="389"/>
      <c r="R10" s="389"/>
      <c r="S10" s="389"/>
    </row>
    <row r="11" spans="1:19" ht="15.75">
      <c r="A11" s="392"/>
      <c r="B11" s="392" t="s">
        <v>583</v>
      </c>
      <c r="C11" s="392">
        <v>58</v>
      </c>
      <c r="D11" s="392">
        <v>6</v>
      </c>
      <c r="E11" s="393">
        <v>9.25</v>
      </c>
      <c r="F11" s="389"/>
      <c r="G11" s="389"/>
      <c r="H11" s="389"/>
      <c r="I11" s="389"/>
      <c r="J11" s="389"/>
      <c r="K11" s="394">
        <f t="shared" si="0"/>
        <v>6438</v>
      </c>
      <c r="L11" s="394">
        <f t="shared" si="1"/>
        <v>222</v>
      </c>
      <c r="M11" s="394">
        <f t="shared" si="2"/>
        <v>6660</v>
      </c>
      <c r="N11" s="389"/>
      <c r="O11" s="389"/>
      <c r="P11" s="389"/>
      <c r="Q11" s="389"/>
      <c r="R11" s="389"/>
      <c r="S11" s="389"/>
    </row>
    <row r="12" spans="1:19" ht="15.75">
      <c r="A12" s="392"/>
      <c r="B12" s="392" t="s">
        <v>584</v>
      </c>
      <c r="C12" s="392">
        <v>9</v>
      </c>
      <c r="D12" s="392">
        <v>0</v>
      </c>
      <c r="E12" s="393">
        <v>30.2</v>
      </c>
      <c r="F12" s="389"/>
      <c r="G12" s="389"/>
      <c r="H12" s="389"/>
      <c r="I12" s="389"/>
      <c r="J12" s="389"/>
      <c r="K12" s="394">
        <f t="shared" si="0"/>
        <v>3261.6000000000004</v>
      </c>
      <c r="L12" s="394">
        <f t="shared" si="1"/>
        <v>0</v>
      </c>
      <c r="M12" s="394">
        <f t="shared" si="2"/>
        <v>3261.6000000000004</v>
      </c>
      <c r="N12" s="389"/>
      <c r="O12" s="389"/>
      <c r="P12" s="389"/>
      <c r="Q12" s="389"/>
      <c r="R12" s="389"/>
      <c r="S12" s="389"/>
    </row>
    <row r="13" spans="1:19" ht="15.75">
      <c r="A13" s="392"/>
      <c r="B13" s="392" t="s">
        <v>585</v>
      </c>
      <c r="C13" s="392">
        <v>6</v>
      </c>
      <c r="D13" s="392">
        <v>0</v>
      </c>
      <c r="E13" s="393">
        <v>37.25</v>
      </c>
      <c r="F13" s="389"/>
      <c r="G13" s="389"/>
      <c r="H13" s="389"/>
      <c r="I13" s="389"/>
      <c r="J13" s="389"/>
      <c r="K13" s="395">
        <f t="shared" si="0"/>
        <v>2682</v>
      </c>
      <c r="L13" s="395">
        <f t="shared" si="1"/>
        <v>0</v>
      </c>
      <c r="M13" s="395">
        <f t="shared" si="2"/>
        <v>2682</v>
      </c>
      <c r="N13" s="389"/>
      <c r="O13" s="389"/>
      <c r="P13" s="389"/>
      <c r="Q13" s="389"/>
      <c r="R13" s="389"/>
      <c r="S13" s="389"/>
    </row>
    <row r="14" spans="1:19" ht="15.75">
      <c r="A14" s="389"/>
      <c r="B14" s="389"/>
      <c r="C14" s="389">
        <f>SUM(C6:C13)</f>
        <v>1365</v>
      </c>
      <c r="D14" s="389">
        <f>SUM(D6:D13)</f>
        <v>96</v>
      </c>
      <c r="E14" s="394"/>
      <c r="F14" s="389" t="s">
        <v>586</v>
      </c>
      <c r="G14" s="389"/>
      <c r="H14" s="389"/>
      <c r="I14" s="389"/>
      <c r="J14" s="389"/>
      <c r="K14" s="394">
        <f>SUM(K6:K13)</f>
        <v>260688.60000000003</v>
      </c>
      <c r="L14" s="394">
        <f>SUM(L6:L13)</f>
        <v>6466</v>
      </c>
      <c r="M14" s="394">
        <f>SUM(M6:M13)</f>
        <v>267154.60000000003</v>
      </c>
      <c r="N14" s="389"/>
      <c r="O14" s="389"/>
      <c r="P14" s="396">
        <v>274666</v>
      </c>
      <c r="Q14" s="396">
        <v>15896</v>
      </c>
      <c r="R14" s="396">
        <f>+P14-Q14</f>
        <v>258770</v>
      </c>
      <c r="S14" s="397">
        <f>+M14/R14-1</f>
        <v>3.2401746724890934E-2</v>
      </c>
    </row>
    <row r="15" spans="1:19" ht="15.75">
      <c r="A15" s="389"/>
      <c r="B15" s="389"/>
      <c r="C15" s="389"/>
      <c r="D15" s="389"/>
      <c r="E15" s="394"/>
      <c r="F15" s="389"/>
      <c r="G15" s="389"/>
      <c r="H15" s="389"/>
      <c r="I15" s="389"/>
      <c r="J15" s="389"/>
      <c r="K15" s="394"/>
      <c r="L15" s="394"/>
      <c r="M15" s="394"/>
      <c r="N15" s="389"/>
      <c r="O15" s="389"/>
      <c r="P15" s="389"/>
      <c r="Q15" s="389"/>
      <c r="R15" s="389"/>
      <c r="S15" s="389"/>
    </row>
    <row r="16" spans="1:19" ht="15.75">
      <c r="A16" s="389"/>
      <c r="B16" s="389"/>
      <c r="C16" s="389"/>
      <c r="D16" s="389"/>
      <c r="E16" s="394"/>
      <c r="F16" s="389"/>
      <c r="G16" s="389"/>
      <c r="H16" s="389"/>
      <c r="I16" s="389"/>
      <c r="J16" s="389"/>
      <c r="K16" s="394"/>
      <c r="L16" s="394"/>
      <c r="M16" s="389"/>
      <c r="N16" s="389"/>
      <c r="O16" s="389"/>
      <c r="P16" s="389"/>
      <c r="Q16" s="389"/>
      <c r="R16" s="389"/>
      <c r="S16" s="389"/>
    </row>
    <row r="17" spans="1:19" ht="15.75">
      <c r="A17" s="392" t="s">
        <v>587</v>
      </c>
      <c r="B17" s="392" t="s">
        <v>588</v>
      </c>
      <c r="C17" s="392">
        <v>305</v>
      </c>
      <c r="D17" s="392">
        <v>0</v>
      </c>
      <c r="E17" s="393">
        <v>22.6</v>
      </c>
      <c r="F17" s="389"/>
      <c r="G17" s="389"/>
      <c r="H17" s="389"/>
      <c r="I17" s="389"/>
      <c r="J17" s="389"/>
      <c r="K17" s="394">
        <f>+C17*E17*12</f>
        <v>82716</v>
      </c>
      <c r="L17" s="394"/>
      <c r="M17" s="394">
        <f>SUM(K17:L17)</f>
        <v>82716</v>
      </c>
      <c r="N17" s="398"/>
      <c r="O17" s="389"/>
      <c r="P17" s="396">
        <v>79501</v>
      </c>
      <c r="Q17" s="396">
        <v>0</v>
      </c>
      <c r="R17" s="396">
        <f>+P17-Q17</f>
        <v>79501</v>
      </c>
      <c r="S17" s="397">
        <f>+M17/R17-1</f>
        <v>4.0439742896315689E-2</v>
      </c>
    </row>
    <row r="18" spans="1:19" ht="15.75">
      <c r="A18" s="389"/>
      <c r="B18" s="389"/>
      <c r="C18" s="389"/>
      <c r="D18" s="389"/>
      <c r="E18" s="394"/>
      <c r="F18" s="389" t="s">
        <v>589</v>
      </c>
      <c r="G18" s="389"/>
      <c r="H18" s="389"/>
      <c r="I18" s="389"/>
      <c r="J18" s="389"/>
      <c r="K18" s="394"/>
      <c r="L18" s="394"/>
      <c r="M18" s="394"/>
      <c r="N18" s="398"/>
      <c r="O18" s="389"/>
      <c r="P18" s="389"/>
      <c r="Q18" s="389"/>
      <c r="R18" s="389"/>
      <c r="S18" s="389"/>
    </row>
    <row r="19" spans="1:19" ht="15.75">
      <c r="A19" s="389"/>
      <c r="B19" s="389"/>
      <c r="C19" s="389"/>
      <c r="D19" s="389"/>
      <c r="E19" s="394"/>
      <c r="F19" s="389"/>
      <c r="G19" s="389"/>
      <c r="H19" s="389"/>
      <c r="I19" s="389"/>
      <c r="J19" s="389"/>
      <c r="K19" s="394"/>
      <c r="L19" s="394"/>
      <c r="M19" s="394"/>
      <c r="N19" s="398"/>
      <c r="O19" s="389"/>
      <c r="P19" s="389"/>
      <c r="Q19" s="389"/>
      <c r="R19" s="389"/>
      <c r="S19" s="389"/>
    </row>
    <row r="20" spans="1:19" ht="15.75">
      <c r="A20" s="389"/>
      <c r="B20" s="389"/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</row>
    <row r="21" spans="1:19" ht="15.75">
      <c r="A21" s="392" t="s">
        <v>590</v>
      </c>
      <c r="B21" s="392" t="s">
        <v>578</v>
      </c>
      <c r="C21" s="392">
        <v>15</v>
      </c>
      <c r="D21" s="392">
        <v>0</v>
      </c>
      <c r="E21" s="393">
        <v>16.899999999999999</v>
      </c>
      <c r="F21" s="389"/>
      <c r="G21" s="389"/>
      <c r="H21" s="389"/>
      <c r="I21" s="389"/>
      <c r="J21" s="389"/>
      <c r="K21" s="394">
        <f t="shared" ref="K21:K26" si="3">+C21*E21*12</f>
        <v>3041.9999999999995</v>
      </c>
      <c r="L21" s="394">
        <f t="shared" ref="L21:L26" si="4">+D21*E21*6</f>
        <v>0</v>
      </c>
      <c r="M21" s="394">
        <f t="shared" ref="M21:M26" si="5">SUM(K21:L21)</f>
        <v>3041.9999999999995</v>
      </c>
      <c r="N21" s="389"/>
      <c r="O21" s="389"/>
      <c r="P21" s="389"/>
      <c r="Q21" s="389"/>
      <c r="R21" s="389"/>
      <c r="S21" s="389"/>
    </row>
    <row r="22" spans="1:19" ht="15.75">
      <c r="A22" s="392"/>
      <c r="B22" s="392" t="s">
        <v>579</v>
      </c>
      <c r="C22" s="392">
        <v>6</v>
      </c>
      <c r="D22" s="392">
        <v>0</v>
      </c>
      <c r="E22" s="393">
        <v>9.25</v>
      </c>
      <c r="F22" s="389"/>
      <c r="G22" s="389"/>
      <c r="H22" s="389"/>
      <c r="I22" s="389"/>
      <c r="J22" s="389"/>
      <c r="K22" s="394">
        <f t="shared" si="3"/>
        <v>666</v>
      </c>
      <c r="L22" s="394">
        <f t="shared" si="4"/>
        <v>0</v>
      </c>
      <c r="M22" s="394">
        <f t="shared" si="5"/>
        <v>666</v>
      </c>
      <c r="N22" s="389"/>
      <c r="O22" s="389"/>
      <c r="P22" s="389"/>
      <c r="Q22" s="389"/>
      <c r="R22" s="389"/>
      <c r="S22" s="389"/>
    </row>
    <row r="23" spans="1:19" ht="15.75">
      <c r="A23" s="392"/>
      <c r="B23" s="392" t="s">
        <v>580</v>
      </c>
      <c r="C23" s="392">
        <v>5</v>
      </c>
      <c r="D23" s="392">
        <v>0</v>
      </c>
      <c r="E23" s="393">
        <v>5.7</v>
      </c>
      <c r="F23" s="389"/>
      <c r="G23" s="389"/>
      <c r="H23" s="389"/>
      <c r="I23" s="389"/>
      <c r="J23" s="389"/>
      <c r="K23" s="394">
        <f t="shared" si="3"/>
        <v>342</v>
      </c>
      <c r="L23" s="394">
        <f t="shared" si="4"/>
        <v>0</v>
      </c>
      <c r="M23" s="394">
        <f t="shared" si="5"/>
        <v>342</v>
      </c>
      <c r="N23" s="389"/>
      <c r="O23" s="389"/>
      <c r="P23" s="389"/>
      <c r="Q23" s="389"/>
      <c r="R23" s="389"/>
      <c r="S23" s="389"/>
    </row>
    <row r="24" spans="1:19" ht="15.75">
      <c r="A24" s="392"/>
      <c r="B24" s="392" t="s">
        <v>581</v>
      </c>
      <c r="C24" s="392">
        <v>28</v>
      </c>
      <c r="D24" s="392">
        <v>5</v>
      </c>
      <c r="E24" s="393">
        <v>23.8</v>
      </c>
      <c r="F24" s="389"/>
      <c r="G24" s="389"/>
      <c r="H24" s="389"/>
      <c r="I24" s="389"/>
      <c r="J24" s="389"/>
      <c r="K24" s="394">
        <f t="shared" si="3"/>
        <v>7996.7999999999993</v>
      </c>
      <c r="L24" s="394">
        <f t="shared" si="4"/>
        <v>714</v>
      </c>
      <c r="M24" s="394">
        <f t="shared" si="5"/>
        <v>8710.7999999999993</v>
      </c>
      <c r="N24" s="389"/>
      <c r="O24" s="389"/>
      <c r="P24" s="389"/>
      <c r="Q24" s="389"/>
      <c r="R24" s="389"/>
      <c r="S24" s="389"/>
    </row>
    <row r="25" spans="1:19" ht="15.75">
      <c r="A25" s="392"/>
      <c r="B25" s="392" t="s">
        <v>584</v>
      </c>
      <c r="C25" s="392">
        <v>3</v>
      </c>
      <c r="D25" s="392">
        <v>0</v>
      </c>
      <c r="E25" s="393">
        <v>30.2</v>
      </c>
      <c r="F25" s="389"/>
      <c r="G25" s="389"/>
      <c r="H25" s="389"/>
      <c r="I25" s="389"/>
      <c r="J25" s="389"/>
      <c r="K25" s="394">
        <f t="shared" si="3"/>
        <v>1087.1999999999998</v>
      </c>
      <c r="L25" s="394">
        <f t="shared" si="4"/>
        <v>0</v>
      </c>
      <c r="M25" s="394">
        <f t="shared" si="5"/>
        <v>1087.1999999999998</v>
      </c>
      <c r="N25" s="389"/>
      <c r="O25" s="389"/>
      <c r="P25" s="389"/>
      <c r="Q25" s="389"/>
      <c r="R25" s="389"/>
      <c r="S25" s="389"/>
    </row>
    <row r="26" spans="1:19" ht="15.75">
      <c r="A26" s="392"/>
      <c r="B26" s="392" t="s">
        <v>585</v>
      </c>
      <c r="C26" s="392">
        <v>1</v>
      </c>
      <c r="D26" s="392">
        <v>0</v>
      </c>
      <c r="E26" s="393">
        <v>37.25</v>
      </c>
      <c r="F26" s="389"/>
      <c r="G26" s="389"/>
      <c r="H26" s="389"/>
      <c r="I26" s="389"/>
      <c r="J26" s="389"/>
      <c r="K26" s="395">
        <f t="shared" si="3"/>
        <v>447</v>
      </c>
      <c r="L26" s="395">
        <f t="shared" si="4"/>
        <v>0</v>
      </c>
      <c r="M26" s="395">
        <f t="shared" si="5"/>
        <v>447</v>
      </c>
      <c r="N26" s="389"/>
      <c r="O26" s="389"/>
      <c r="P26" s="389"/>
      <c r="Q26" s="389"/>
      <c r="R26" s="389"/>
      <c r="S26" s="389"/>
    </row>
    <row r="27" spans="1:19" ht="15.75">
      <c r="A27" s="389"/>
      <c r="B27" s="389"/>
      <c r="C27" s="389">
        <f>SUM(C21:C26)</f>
        <v>58</v>
      </c>
      <c r="D27" s="389">
        <f>SUM(D21:D26)</f>
        <v>5</v>
      </c>
      <c r="E27" s="394"/>
      <c r="F27" s="389" t="s">
        <v>591</v>
      </c>
      <c r="G27" s="389"/>
      <c r="H27" s="389"/>
      <c r="I27" s="389"/>
      <c r="J27" s="389"/>
      <c r="K27" s="394">
        <f>SUM(K21:K26)</f>
        <v>13581</v>
      </c>
      <c r="L27" s="394">
        <f>SUM(L21:L26)</f>
        <v>714</v>
      </c>
      <c r="M27" s="394">
        <f>SUM(M21:M26)</f>
        <v>14295</v>
      </c>
      <c r="N27" s="389"/>
      <c r="O27" s="389"/>
      <c r="P27" s="389"/>
      <c r="Q27" s="389"/>
      <c r="R27" s="389"/>
      <c r="S27" s="389"/>
    </row>
    <row r="28" spans="1:19" ht="15.75">
      <c r="A28" s="389"/>
      <c r="B28" s="389"/>
      <c r="C28" s="389"/>
      <c r="D28" s="389"/>
      <c r="E28" s="394"/>
      <c r="F28" s="389"/>
      <c r="G28" s="389"/>
      <c r="H28" s="389"/>
      <c r="I28" s="389"/>
      <c r="J28" s="389"/>
      <c r="K28" s="394"/>
      <c r="L28" s="394"/>
      <c r="M28" s="394"/>
      <c r="N28" s="389"/>
      <c r="O28" s="389"/>
      <c r="P28" s="389"/>
      <c r="Q28" s="389"/>
      <c r="R28" s="389"/>
      <c r="S28" s="389"/>
    </row>
    <row r="29" spans="1:19" ht="15.75">
      <c r="A29" s="389"/>
      <c r="B29" s="389"/>
      <c r="C29" s="389"/>
      <c r="D29" s="389"/>
      <c r="E29" s="389"/>
      <c r="F29" s="389"/>
      <c r="G29" s="389"/>
      <c r="H29" s="389"/>
      <c r="I29" s="389"/>
      <c r="J29" s="389"/>
      <c r="K29" s="394"/>
      <c r="L29" s="394"/>
      <c r="M29" s="394"/>
      <c r="N29" s="389"/>
      <c r="O29" s="389"/>
      <c r="P29" s="389"/>
      <c r="Q29" s="389"/>
      <c r="R29" s="389"/>
      <c r="S29" s="389"/>
    </row>
    <row r="30" spans="1:19" ht="15.75">
      <c r="A30" s="464" t="s">
        <v>324</v>
      </c>
      <c r="B30" s="464"/>
      <c r="C30" s="464"/>
      <c r="D30" s="464"/>
      <c r="E30" s="464"/>
      <c r="F30" s="464"/>
      <c r="G30" s="464"/>
      <c r="H30" s="464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</row>
    <row r="31" spans="1:19" ht="15.75">
      <c r="A31" s="465"/>
      <c r="B31" s="466"/>
      <c r="C31" s="469" t="s">
        <v>592</v>
      </c>
      <c r="D31" s="470"/>
      <c r="E31" s="471"/>
      <c r="F31" s="464" t="s">
        <v>593</v>
      </c>
      <c r="G31" s="464"/>
      <c r="H31" s="464"/>
      <c r="I31" s="389"/>
      <c r="J31" s="389"/>
      <c r="K31" s="388" t="s">
        <v>594</v>
      </c>
      <c r="L31" s="388"/>
      <c r="M31" s="388" t="s">
        <v>595</v>
      </c>
      <c r="N31" s="388"/>
      <c r="O31" s="389"/>
      <c r="P31" s="389"/>
      <c r="Q31" s="389"/>
      <c r="R31" s="389"/>
      <c r="S31" s="389"/>
    </row>
    <row r="32" spans="1:19" ht="15.75">
      <c r="A32" s="467"/>
      <c r="B32" s="468"/>
      <c r="C32" s="391" t="s">
        <v>596</v>
      </c>
      <c r="D32" s="391" t="s">
        <v>597</v>
      </c>
      <c r="E32" s="391" t="s">
        <v>598</v>
      </c>
      <c r="F32" s="391" t="s">
        <v>596</v>
      </c>
      <c r="G32" s="391" t="s">
        <v>597</v>
      </c>
      <c r="H32" s="391" t="s">
        <v>598</v>
      </c>
      <c r="I32" s="389"/>
      <c r="J32" s="389"/>
      <c r="K32" s="414" t="s">
        <v>599</v>
      </c>
      <c r="L32" s="414" t="s">
        <v>575</v>
      </c>
      <c r="M32" s="414" t="s">
        <v>599</v>
      </c>
      <c r="N32" s="414" t="s">
        <v>575</v>
      </c>
      <c r="O32" s="389"/>
      <c r="P32" s="389"/>
      <c r="Q32" s="389"/>
      <c r="R32" s="389"/>
      <c r="S32" s="389"/>
    </row>
    <row r="33" spans="1:19" ht="15.75">
      <c r="A33" s="472"/>
      <c r="B33" s="392" t="s">
        <v>600</v>
      </c>
      <c r="C33" s="392">
        <v>350</v>
      </c>
      <c r="D33" s="392">
        <v>80</v>
      </c>
      <c r="E33" s="393">
        <v>16.420000000000002</v>
      </c>
      <c r="F33" s="392">
        <v>130</v>
      </c>
      <c r="G33" s="392">
        <v>0</v>
      </c>
      <c r="H33" s="393">
        <v>14.9</v>
      </c>
      <c r="I33" s="389"/>
      <c r="J33" s="389"/>
      <c r="K33" s="394">
        <f>(+C33*E33*12)</f>
        <v>68964.000000000015</v>
      </c>
      <c r="L33" s="394">
        <f>+D33*E33*2.165</f>
        <v>2843.9440000000004</v>
      </c>
      <c r="M33" s="394">
        <f t="shared" ref="M33:M38" si="6">+F33*H33*12</f>
        <v>23244</v>
      </c>
      <c r="N33" s="394">
        <f t="shared" ref="N33:N38" si="7">+G33*H33</f>
        <v>0</v>
      </c>
      <c r="O33" s="389"/>
      <c r="P33" s="389"/>
      <c r="Q33" s="389"/>
      <c r="R33" s="389"/>
      <c r="S33" s="389"/>
    </row>
    <row r="34" spans="1:19" ht="15.75">
      <c r="A34" s="473"/>
      <c r="B34" s="392" t="s">
        <v>601</v>
      </c>
      <c r="C34" s="392">
        <v>1</v>
      </c>
      <c r="D34" s="392">
        <v>0</v>
      </c>
      <c r="E34" s="393">
        <v>23.53</v>
      </c>
      <c r="F34" s="392">
        <v>1</v>
      </c>
      <c r="G34" s="392">
        <v>0</v>
      </c>
      <c r="H34" s="393">
        <v>16.8</v>
      </c>
      <c r="I34" s="389"/>
      <c r="J34" s="389"/>
      <c r="K34" s="394">
        <f>(+C34*E34*12)</f>
        <v>282.36</v>
      </c>
      <c r="L34" s="394">
        <f>+D34*E34*2.165</f>
        <v>0</v>
      </c>
      <c r="M34" s="394">
        <f t="shared" si="6"/>
        <v>201.60000000000002</v>
      </c>
      <c r="N34" s="394">
        <f t="shared" si="7"/>
        <v>0</v>
      </c>
      <c r="O34" s="389"/>
      <c r="P34" s="389"/>
      <c r="Q34" s="389"/>
      <c r="R34" s="389"/>
      <c r="S34" s="389"/>
    </row>
    <row r="35" spans="1:19" ht="15.75">
      <c r="A35" s="473"/>
      <c r="B35" s="392" t="s">
        <v>602</v>
      </c>
      <c r="C35" s="392">
        <v>330</v>
      </c>
      <c r="D35" s="392">
        <v>215</v>
      </c>
      <c r="E35" s="393">
        <v>30.08</v>
      </c>
      <c r="F35" s="392">
        <v>85</v>
      </c>
      <c r="G35" s="392">
        <v>10</v>
      </c>
      <c r="H35" s="393">
        <v>18.649999999999999</v>
      </c>
      <c r="I35" s="389"/>
      <c r="J35" s="389"/>
      <c r="K35" s="394">
        <f>(+C35*E35*12)</f>
        <v>119116.79999999999</v>
      </c>
      <c r="L35" s="394">
        <f>+D35*E35*4</f>
        <v>25868.799999999999</v>
      </c>
      <c r="M35" s="394">
        <f t="shared" si="6"/>
        <v>19022.999999999996</v>
      </c>
      <c r="N35" s="394">
        <f t="shared" si="7"/>
        <v>186.5</v>
      </c>
      <c r="O35" s="389"/>
      <c r="P35" s="389"/>
      <c r="Q35" s="389"/>
      <c r="R35" s="389"/>
      <c r="S35" s="389"/>
    </row>
    <row r="36" spans="1:19" ht="15.75">
      <c r="A36" s="473"/>
      <c r="B36" s="392" t="s">
        <v>603</v>
      </c>
      <c r="C36" s="392">
        <v>111</v>
      </c>
      <c r="D36" s="392">
        <v>34</v>
      </c>
      <c r="E36" s="393">
        <v>43.38</v>
      </c>
      <c r="F36" s="392">
        <v>15</v>
      </c>
      <c r="G36" s="392">
        <v>2</v>
      </c>
      <c r="H36" s="393">
        <v>26.1</v>
      </c>
      <c r="I36" s="389"/>
      <c r="J36" s="389"/>
      <c r="K36" s="394">
        <f t="shared" ref="K36:K41" si="8">(+C36*E36*12)</f>
        <v>57782.16</v>
      </c>
      <c r="L36" s="394">
        <f t="shared" ref="L36:L41" si="9">+D36*E36*4</f>
        <v>5899.68</v>
      </c>
      <c r="M36" s="394">
        <f t="shared" si="6"/>
        <v>4698</v>
      </c>
      <c r="N36" s="394">
        <f t="shared" si="7"/>
        <v>52.2</v>
      </c>
      <c r="O36" s="389"/>
      <c r="P36" s="389"/>
      <c r="Q36" s="389"/>
      <c r="R36" s="389"/>
      <c r="S36" s="389"/>
    </row>
    <row r="37" spans="1:19" ht="15.75">
      <c r="A37" s="473"/>
      <c r="B37" s="392" t="s">
        <v>604</v>
      </c>
      <c r="C37" s="392">
        <v>84</v>
      </c>
      <c r="D37" s="392">
        <v>21</v>
      </c>
      <c r="E37" s="393">
        <v>55.78</v>
      </c>
      <c r="F37" s="392">
        <v>13</v>
      </c>
      <c r="G37" s="392">
        <v>0</v>
      </c>
      <c r="H37" s="393">
        <v>29.75</v>
      </c>
      <c r="I37" s="389"/>
      <c r="J37" s="389"/>
      <c r="K37" s="394">
        <f t="shared" si="8"/>
        <v>56226.240000000005</v>
      </c>
      <c r="L37" s="394">
        <f t="shared" si="9"/>
        <v>4685.5200000000004</v>
      </c>
      <c r="M37" s="394">
        <f t="shared" si="6"/>
        <v>4641</v>
      </c>
      <c r="N37" s="394">
        <f t="shared" si="7"/>
        <v>0</v>
      </c>
      <c r="O37" s="389"/>
      <c r="P37" s="389"/>
      <c r="Q37" s="389"/>
      <c r="R37" s="389"/>
      <c r="S37" s="389"/>
    </row>
    <row r="38" spans="1:19" ht="15.75">
      <c r="A38" s="473"/>
      <c r="B38" s="392" t="s">
        <v>605</v>
      </c>
      <c r="C38" s="392">
        <v>1</v>
      </c>
      <c r="D38" s="392">
        <v>6</v>
      </c>
      <c r="E38" s="393">
        <v>102.69</v>
      </c>
      <c r="F38" s="392">
        <v>3</v>
      </c>
      <c r="G38" s="392">
        <v>0</v>
      </c>
      <c r="H38" s="393">
        <v>35</v>
      </c>
      <c r="I38" s="389"/>
      <c r="J38" s="389"/>
      <c r="K38" s="394">
        <f t="shared" si="8"/>
        <v>1232.28</v>
      </c>
      <c r="L38" s="394">
        <f t="shared" si="9"/>
        <v>2464.56</v>
      </c>
      <c r="M38" s="394">
        <f t="shared" si="6"/>
        <v>1260</v>
      </c>
      <c r="N38" s="394">
        <f t="shared" si="7"/>
        <v>0</v>
      </c>
      <c r="O38" s="389"/>
      <c r="P38" s="389"/>
      <c r="Q38" s="389"/>
      <c r="R38" s="389"/>
      <c r="S38" s="389"/>
    </row>
    <row r="39" spans="1:19" ht="15.75">
      <c r="A39" s="473"/>
      <c r="B39" s="392" t="s">
        <v>606</v>
      </c>
      <c r="C39" s="392">
        <v>436</v>
      </c>
      <c r="D39" s="392">
        <v>253</v>
      </c>
      <c r="E39" s="393">
        <v>3.97</v>
      </c>
      <c r="F39" s="389"/>
      <c r="G39" s="389"/>
      <c r="H39" s="389"/>
      <c r="I39" s="389"/>
      <c r="J39" s="389"/>
      <c r="K39" s="394">
        <f t="shared" si="8"/>
        <v>20771.04</v>
      </c>
      <c r="L39" s="394">
        <f t="shared" si="9"/>
        <v>4017.6400000000003</v>
      </c>
      <c r="M39" s="389"/>
      <c r="N39" s="389"/>
      <c r="O39" s="389"/>
      <c r="P39" s="389"/>
      <c r="Q39" s="389"/>
      <c r="R39" s="389"/>
      <c r="S39" s="389"/>
    </row>
    <row r="40" spans="1:19" ht="15.75">
      <c r="A40" s="473"/>
      <c r="B40" s="392" t="s">
        <v>607</v>
      </c>
      <c r="C40" s="392">
        <v>11</v>
      </c>
      <c r="D40" s="392">
        <v>110</v>
      </c>
      <c r="E40" s="393">
        <v>14.59</v>
      </c>
      <c r="F40" s="389"/>
      <c r="G40" s="389"/>
      <c r="H40" s="389"/>
      <c r="I40" s="389"/>
      <c r="J40" s="389"/>
      <c r="K40" s="394">
        <f t="shared" si="8"/>
        <v>1925.88</v>
      </c>
      <c r="L40" s="394">
        <f t="shared" si="9"/>
        <v>6419.6</v>
      </c>
      <c r="M40" s="389"/>
      <c r="N40" s="389"/>
      <c r="O40" s="389"/>
      <c r="P40" s="389"/>
      <c r="Q40" s="389"/>
      <c r="R40" s="389"/>
      <c r="S40" s="389"/>
    </row>
    <row r="41" spans="1:19" ht="15.75">
      <c r="A41" s="474"/>
      <c r="B41" s="392" t="s">
        <v>608</v>
      </c>
      <c r="C41" s="392">
        <v>267</v>
      </c>
      <c r="D41" s="392">
        <v>90</v>
      </c>
      <c r="E41" s="393">
        <v>4.05</v>
      </c>
      <c r="F41" s="389"/>
      <c r="G41" s="389"/>
      <c r="H41" s="389"/>
      <c r="I41" s="389"/>
      <c r="J41" s="389"/>
      <c r="K41" s="395">
        <f t="shared" si="8"/>
        <v>12976.199999999999</v>
      </c>
      <c r="L41" s="395">
        <f t="shared" si="9"/>
        <v>1458</v>
      </c>
      <c r="M41" s="399"/>
      <c r="N41" s="399"/>
      <c r="O41" s="389"/>
      <c r="P41" s="389"/>
      <c r="Q41" s="389"/>
      <c r="R41" s="389"/>
      <c r="S41" s="389"/>
    </row>
    <row r="42" spans="1:19" ht="15.75">
      <c r="A42" s="389" t="s">
        <v>609</v>
      </c>
      <c r="B42" s="389"/>
      <c r="C42" s="389"/>
      <c r="D42" s="389"/>
      <c r="E42" s="389"/>
      <c r="F42" s="389"/>
      <c r="G42" s="389"/>
      <c r="H42" s="389"/>
      <c r="I42" s="389"/>
      <c r="J42" s="389"/>
      <c r="K42" s="394">
        <f>SUM(K33:K41)</f>
        <v>339276.96</v>
      </c>
      <c r="L42" s="394">
        <f>SUM(L33:L41)</f>
        <v>53657.743999999999</v>
      </c>
      <c r="M42" s="394">
        <f>SUM(M33:M41)</f>
        <v>53067.599999999991</v>
      </c>
      <c r="N42" s="394">
        <f>SUM(N33:N41)</f>
        <v>238.7</v>
      </c>
      <c r="O42" s="394"/>
      <c r="P42" s="389"/>
      <c r="Q42" s="389"/>
      <c r="R42" s="389"/>
      <c r="S42" s="389"/>
    </row>
    <row r="43" spans="1:19" ht="15.75">
      <c r="A43" s="389"/>
      <c r="B43" s="389"/>
      <c r="C43" s="389">
        <f>SUM(C33:C41)</f>
        <v>1591</v>
      </c>
      <c r="D43" s="389">
        <f>SUM(D33:D41)</f>
        <v>809</v>
      </c>
      <c r="E43" s="389"/>
      <c r="F43" s="389"/>
      <c r="G43" s="389"/>
      <c r="H43" s="389"/>
      <c r="I43" s="389"/>
      <c r="J43" s="389"/>
      <c r="K43" s="399"/>
      <c r="L43" s="399"/>
      <c r="M43" s="399"/>
      <c r="N43" s="399"/>
      <c r="O43" s="389"/>
      <c r="P43" s="389"/>
      <c r="Q43" s="389"/>
      <c r="R43" s="389"/>
      <c r="S43" s="389"/>
    </row>
    <row r="44" spans="1:19" ht="15.75">
      <c r="A44" s="389"/>
      <c r="B44" s="389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</row>
    <row r="45" spans="1:19" ht="15.75">
      <c r="A45" s="389" t="s">
        <v>103</v>
      </c>
      <c r="B45" s="389"/>
      <c r="C45" s="389"/>
      <c r="D45" s="389"/>
      <c r="E45" s="389"/>
      <c r="F45" s="389"/>
      <c r="G45" s="389"/>
      <c r="H45" s="389"/>
      <c r="I45" s="389"/>
      <c r="J45" s="389"/>
      <c r="K45" s="394">
        <f>+K27+K42</f>
        <v>352857.96</v>
      </c>
      <c r="L45" s="394">
        <f>+L27+L42</f>
        <v>54371.743999999999</v>
      </c>
      <c r="M45" s="394">
        <f>+M27+M42</f>
        <v>67362.599999999991</v>
      </c>
      <c r="N45" s="394">
        <f>+N27+N42</f>
        <v>238.7</v>
      </c>
      <c r="O45" s="394">
        <f>SUM(K45:N45)</f>
        <v>474831.00400000002</v>
      </c>
      <c r="P45" s="396">
        <v>480270</v>
      </c>
      <c r="Q45" s="396">
        <v>26268</v>
      </c>
      <c r="R45" s="396">
        <f>+P45-Q45</f>
        <v>454002</v>
      </c>
      <c r="S45" s="397">
        <f>+O45/R45-1</f>
        <v>4.5878661327483083E-2</v>
      </c>
    </row>
    <row r="46" spans="1:19" ht="15.75">
      <c r="A46" s="389"/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</row>
    <row r="47" spans="1:19" ht="15.75">
      <c r="A47" s="389"/>
      <c r="B47" s="389"/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</row>
    <row r="48" spans="1:19" ht="15.75">
      <c r="A48" s="464" t="s">
        <v>446</v>
      </c>
      <c r="B48" s="464"/>
      <c r="C48" s="464"/>
      <c r="D48" s="464"/>
      <c r="E48" s="464"/>
      <c r="F48" s="464"/>
      <c r="G48" s="464"/>
      <c r="H48" s="464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</row>
    <row r="49" spans="1:19" ht="15.75">
      <c r="A49" s="400"/>
      <c r="B49" s="401">
        <v>43800</v>
      </c>
      <c r="C49" s="401">
        <v>43647</v>
      </c>
      <c r="D49" s="401">
        <v>43497</v>
      </c>
      <c r="E49" s="401">
        <v>43709</v>
      </c>
      <c r="F49" s="401">
        <v>43617</v>
      </c>
      <c r="G49" s="401">
        <v>43556</v>
      </c>
      <c r="H49" s="400" t="s">
        <v>423</v>
      </c>
      <c r="I49" s="400" t="s">
        <v>48</v>
      </c>
      <c r="J49" s="389"/>
      <c r="K49" s="414" t="s">
        <v>573</v>
      </c>
      <c r="L49" s="414" t="s">
        <v>595</v>
      </c>
      <c r="M49" s="414" t="s">
        <v>610</v>
      </c>
      <c r="N49" s="389"/>
      <c r="O49" s="389"/>
      <c r="P49" s="389"/>
      <c r="Q49" s="389"/>
      <c r="R49" s="389"/>
      <c r="S49" s="389"/>
    </row>
    <row r="50" spans="1:19" ht="15.75">
      <c r="A50" s="392" t="s">
        <v>611</v>
      </c>
      <c r="B50" s="392">
        <v>0</v>
      </c>
      <c r="C50" s="392">
        <v>12</v>
      </c>
      <c r="D50" s="392">
        <v>1</v>
      </c>
      <c r="E50" s="392">
        <v>11</v>
      </c>
      <c r="F50" s="392">
        <v>4</v>
      </c>
      <c r="G50" s="392">
        <v>12</v>
      </c>
      <c r="H50" s="402">
        <f>SUM(B50:G50)/6</f>
        <v>6.666666666666667</v>
      </c>
      <c r="I50" s="393">
        <v>79.95</v>
      </c>
      <c r="J50" s="389"/>
      <c r="K50" s="394">
        <f>+H50*I50*12</f>
        <v>6396</v>
      </c>
      <c r="L50" s="389"/>
      <c r="M50" s="389"/>
      <c r="N50" s="394">
        <f>SUM(K50:M50)</f>
        <v>6396</v>
      </c>
      <c r="O50" s="389"/>
      <c r="P50" s="389"/>
      <c r="Q50" s="389"/>
      <c r="R50" s="389"/>
      <c r="S50" s="389"/>
    </row>
    <row r="51" spans="1:19" ht="15.75">
      <c r="A51" s="392" t="s">
        <v>612</v>
      </c>
      <c r="B51" s="392">
        <v>8</v>
      </c>
      <c r="C51" s="392">
        <v>27</v>
      </c>
      <c r="D51" s="392">
        <v>3</v>
      </c>
      <c r="E51" s="392">
        <v>25</v>
      </c>
      <c r="F51" s="392">
        <v>14</v>
      </c>
      <c r="G51" s="392">
        <v>14</v>
      </c>
      <c r="H51" s="402">
        <f t="shared" ref="H51:H56" si="10">SUM(B51:G51)/6</f>
        <v>15.166666666666666</v>
      </c>
      <c r="I51" s="393">
        <v>123</v>
      </c>
      <c r="J51" s="389"/>
      <c r="K51" s="394">
        <f>+H51*I51*12</f>
        <v>22386</v>
      </c>
      <c r="L51" s="389"/>
      <c r="M51" s="389"/>
      <c r="N51" s="394">
        <f t="shared" ref="N51:N56" si="11">SUM(K51:M51)</f>
        <v>22386</v>
      </c>
      <c r="O51" s="389"/>
      <c r="P51" s="389"/>
      <c r="Q51" s="389"/>
      <c r="R51" s="389"/>
      <c r="S51" s="389"/>
    </row>
    <row r="52" spans="1:19" ht="15.75">
      <c r="A52" s="392" t="s">
        <v>613</v>
      </c>
      <c r="B52" s="392">
        <v>1</v>
      </c>
      <c r="C52" s="392">
        <v>1</v>
      </c>
      <c r="D52" s="392">
        <v>1</v>
      </c>
      <c r="E52" s="392">
        <v>1</v>
      </c>
      <c r="F52" s="392">
        <v>1</v>
      </c>
      <c r="G52" s="392">
        <v>1</v>
      </c>
      <c r="H52" s="402">
        <f t="shared" si="10"/>
        <v>1</v>
      </c>
      <c r="I52" s="393">
        <v>147.35</v>
      </c>
      <c r="J52" s="389"/>
      <c r="K52" s="394">
        <f>+H52*I52*12</f>
        <v>1768.1999999999998</v>
      </c>
      <c r="L52" s="389"/>
      <c r="M52" s="389"/>
      <c r="N52" s="394">
        <f t="shared" si="11"/>
        <v>1768.1999999999998</v>
      </c>
      <c r="O52" s="389"/>
      <c r="P52" s="389"/>
      <c r="Q52" s="389"/>
      <c r="R52" s="389"/>
      <c r="S52" s="389"/>
    </row>
    <row r="53" spans="1:19" ht="15.75">
      <c r="A53" s="392" t="s">
        <v>614</v>
      </c>
      <c r="B53" s="392">
        <v>27</v>
      </c>
      <c r="C53" s="392">
        <v>129</v>
      </c>
      <c r="D53" s="392">
        <v>30</v>
      </c>
      <c r="E53" s="392">
        <v>163</v>
      </c>
      <c r="F53" s="392">
        <v>131</v>
      </c>
      <c r="G53" s="392">
        <v>101</v>
      </c>
      <c r="H53" s="402">
        <f t="shared" si="10"/>
        <v>96.833333333333329</v>
      </c>
      <c r="I53" s="393">
        <v>4.3499999999999996</v>
      </c>
      <c r="J53" s="389"/>
      <c r="K53" s="394"/>
      <c r="L53" s="394">
        <f>+H53*I53*12</f>
        <v>5054.7</v>
      </c>
      <c r="M53" s="389"/>
      <c r="N53" s="394">
        <f t="shared" si="11"/>
        <v>5054.7</v>
      </c>
      <c r="O53" s="389"/>
      <c r="P53" s="389"/>
      <c r="Q53" s="389"/>
      <c r="R53" s="389"/>
      <c r="S53" s="389"/>
    </row>
    <row r="54" spans="1:19" ht="15.75">
      <c r="A54" s="392" t="s">
        <v>615</v>
      </c>
      <c r="B54" s="392">
        <v>0</v>
      </c>
      <c r="C54" s="392">
        <v>5</v>
      </c>
      <c r="D54" s="392">
        <v>2</v>
      </c>
      <c r="E54" s="392">
        <v>4</v>
      </c>
      <c r="F54" s="392">
        <v>2</v>
      </c>
      <c r="G54" s="392">
        <v>11</v>
      </c>
      <c r="H54" s="402">
        <f t="shared" si="10"/>
        <v>4</v>
      </c>
      <c r="I54" s="393">
        <v>139</v>
      </c>
      <c r="J54" s="389"/>
      <c r="K54" s="394">
        <f>+H54*I54*12</f>
        <v>6672</v>
      </c>
      <c r="L54" s="389"/>
      <c r="M54" s="389"/>
      <c r="N54" s="394">
        <f t="shared" si="11"/>
        <v>6672</v>
      </c>
      <c r="O54" s="389"/>
      <c r="P54" s="389"/>
      <c r="Q54" s="389"/>
      <c r="R54" s="389"/>
      <c r="S54" s="389"/>
    </row>
    <row r="55" spans="1:19" ht="15.75">
      <c r="A55" s="392" t="s">
        <v>616</v>
      </c>
      <c r="B55" s="392">
        <v>0</v>
      </c>
      <c r="C55" s="392">
        <v>17</v>
      </c>
      <c r="D55" s="392">
        <v>3</v>
      </c>
      <c r="E55" s="392">
        <v>43</v>
      </c>
      <c r="F55" s="392">
        <v>10</v>
      </c>
      <c r="G55" s="392">
        <v>29</v>
      </c>
      <c r="H55" s="402">
        <f t="shared" si="10"/>
        <v>17</v>
      </c>
      <c r="I55" s="393">
        <v>5.5</v>
      </c>
      <c r="J55" s="389"/>
      <c r="K55" s="394"/>
      <c r="L55" s="394">
        <f>+H55*I55*12</f>
        <v>1122</v>
      </c>
      <c r="M55" s="389"/>
      <c r="N55" s="394">
        <f t="shared" si="11"/>
        <v>1122</v>
      </c>
      <c r="O55" s="389"/>
      <c r="P55" s="389"/>
      <c r="Q55" s="389"/>
      <c r="R55" s="389"/>
      <c r="S55" s="389"/>
    </row>
    <row r="56" spans="1:19" ht="15.75">
      <c r="A56" s="392" t="s">
        <v>610</v>
      </c>
      <c r="B56" s="392">
        <v>232</v>
      </c>
      <c r="C56" s="392">
        <v>716</v>
      </c>
      <c r="D56" s="392">
        <v>129</v>
      </c>
      <c r="E56" s="392">
        <v>813</v>
      </c>
      <c r="F56" s="392">
        <v>394</v>
      </c>
      <c r="G56" s="392">
        <v>527</v>
      </c>
      <c r="H56" s="402">
        <f t="shared" si="10"/>
        <v>468.5</v>
      </c>
      <c r="I56" s="393">
        <v>3.4</v>
      </c>
      <c r="J56" s="389"/>
      <c r="K56" s="394"/>
      <c r="L56" s="389"/>
      <c r="M56" s="394">
        <f>+H56*I56*12</f>
        <v>19114.8</v>
      </c>
      <c r="N56" s="394">
        <f t="shared" si="11"/>
        <v>19114.8</v>
      </c>
      <c r="O56" s="389"/>
      <c r="P56" s="389"/>
      <c r="Q56" s="389"/>
      <c r="R56" s="389"/>
      <c r="S56" s="389"/>
    </row>
    <row r="57" spans="1:19" ht="15.75">
      <c r="A57" s="392" t="s">
        <v>617</v>
      </c>
      <c r="B57" s="392"/>
      <c r="C57" s="392" t="s">
        <v>356</v>
      </c>
      <c r="D57" s="392"/>
      <c r="E57" s="392"/>
      <c r="F57" s="392"/>
      <c r="G57" s="392"/>
      <c r="H57" s="392">
        <f>SUM(B57:F57)/5</f>
        <v>0</v>
      </c>
      <c r="I57" s="393"/>
      <c r="J57" s="389"/>
      <c r="K57" s="399"/>
      <c r="L57" s="399"/>
      <c r="M57" s="399"/>
      <c r="N57" s="399"/>
      <c r="O57" s="389"/>
      <c r="P57" s="389"/>
      <c r="Q57" s="389"/>
      <c r="R57" s="389"/>
      <c r="S57" s="389"/>
    </row>
    <row r="58" spans="1:19" ht="15.75">
      <c r="A58" s="389"/>
      <c r="B58" s="389"/>
      <c r="C58" s="389"/>
      <c r="D58" s="389"/>
      <c r="E58" s="389"/>
      <c r="F58" s="389"/>
      <c r="G58" s="389"/>
      <c r="H58" s="389"/>
      <c r="I58" s="389"/>
      <c r="J58" s="389"/>
      <c r="K58" s="394">
        <f>SUM(K50:K57)</f>
        <v>37222.199999999997</v>
      </c>
      <c r="L58" s="394">
        <f>SUM(L50:L57)</f>
        <v>6176.7</v>
      </c>
      <c r="M58" s="394">
        <f>SUM(M50:M57)</f>
        <v>19114.8</v>
      </c>
      <c r="N58" s="394">
        <f>SUM(N50:N57)</f>
        <v>62513.7</v>
      </c>
      <c r="O58" s="394"/>
      <c r="P58" s="396">
        <v>102581</v>
      </c>
      <c r="Q58" s="396">
        <v>47872</v>
      </c>
      <c r="R58" s="396">
        <f>+P58-Q58</f>
        <v>54709</v>
      </c>
      <c r="S58" s="397">
        <f>N58/R58-1</f>
        <v>0.1426584291432853</v>
      </c>
    </row>
    <row r="59" spans="1:19" ht="15.75">
      <c r="A59" s="389"/>
      <c r="B59" s="389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</row>
    <row r="60" spans="1:19" ht="15.75">
      <c r="A60" s="389"/>
      <c r="B60" s="389"/>
      <c r="C60" s="389"/>
      <c r="D60" s="389"/>
      <c r="E60" s="389"/>
      <c r="F60" s="389"/>
      <c r="G60" s="389"/>
      <c r="H60" s="389"/>
      <c r="I60" s="389"/>
      <c r="J60" s="389"/>
      <c r="K60" s="403" t="s">
        <v>627</v>
      </c>
      <c r="L60" s="389"/>
      <c r="M60" s="389"/>
      <c r="N60" s="394">
        <f>+N58+O45+M17+M14</f>
        <v>887215.304</v>
      </c>
      <c r="O60" s="389"/>
      <c r="P60" s="403" t="s">
        <v>628</v>
      </c>
      <c r="Q60" s="389"/>
      <c r="R60" s="396">
        <f>SUM(R13:R58)</f>
        <v>846982</v>
      </c>
      <c r="S60" s="397">
        <f>N60/R60-1</f>
        <v>4.7501958719311732E-2</v>
      </c>
    </row>
    <row r="61" spans="1:19" ht="15.75">
      <c r="A61" s="389"/>
      <c r="B61" s="389"/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</row>
    <row r="62" spans="1:19" ht="15.75">
      <c r="A62" s="404"/>
      <c r="B62" s="404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/>
      <c r="N62" s="404"/>
      <c r="O62" s="404"/>
      <c r="P62" s="404"/>
      <c r="Q62" s="404"/>
      <c r="R62" s="434"/>
      <c r="S62" s="404"/>
    </row>
    <row r="63" spans="1:19" ht="15.75">
      <c r="A63" s="404"/>
      <c r="B63" s="404"/>
      <c r="C63" s="404"/>
      <c r="D63" s="404"/>
      <c r="E63" s="404"/>
      <c r="F63" s="404"/>
      <c r="G63" s="404"/>
      <c r="H63" s="404"/>
      <c r="I63" s="404"/>
      <c r="J63" s="404"/>
      <c r="K63" s="404"/>
      <c r="L63" s="404"/>
      <c r="M63" s="404"/>
      <c r="N63" s="404"/>
      <c r="O63" s="404"/>
      <c r="P63" s="404"/>
      <c r="Q63" s="404"/>
      <c r="R63" s="404"/>
      <c r="S63" s="404"/>
    </row>
    <row r="64" spans="1:19" ht="15.75">
      <c r="A64" s="405" t="s">
        <v>618</v>
      </c>
      <c r="B64" s="405"/>
      <c r="C64" s="405"/>
      <c r="D64" s="440" t="s">
        <v>574</v>
      </c>
      <c r="E64" s="440" t="s">
        <v>575</v>
      </c>
      <c r="F64" s="440" t="s">
        <v>103</v>
      </c>
      <c r="G64" s="440"/>
      <c r="H64" s="440" t="s">
        <v>46</v>
      </c>
      <c r="I64" s="222"/>
      <c r="J64" s="404"/>
      <c r="K64" s="404"/>
      <c r="L64" s="404"/>
      <c r="M64" s="404"/>
      <c r="N64" s="404"/>
      <c r="O64" s="404"/>
      <c r="P64" s="404"/>
      <c r="Q64" s="404"/>
      <c r="R64" s="404"/>
      <c r="S64" s="404"/>
    </row>
    <row r="65" spans="1:9" ht="15.75">
      <c r="A65" s="405" t="s">
        <v>619</v>
      </c>
      <c r="B65" s="405"/>
      <c r="C65" s="405"/>
      <c r="D65" s="405">
        <f>+C14</f>
        <v>1365</v>
      </c>
      <c r="E65" s="405">
        <f>+D14</f>
        <v>96</v>
      </c>
      <c r="F65" s="405">
        <f>SUM(D65:E65)</f>
        <v>1461</v>
      </c>
      <c r="G65" s="405"/>
      <c r="H65" s="405"/>
      <c r="I65" s="222"/>
    </row>
    <row r="66" spans="1:9" ht="15.75">
      <c r="A66" s="405" t="s">
        <v>620</v>
      </c>
      <c r="B66" s="405"/>
      <c r="C66" s="405"/>
      <c r="D66" s="405">
        <f>+C27</f>
        <v>58</v>
      </c>
      <c r="E66" s="405">
        <f>+D27</f>
        <v>5</v>
      </c>
      <c r="F66" s="405">
        <f>SUM(D66:E66)</f>
        <v>63</v>
      </c>
      <c r="G66" s="405"/>
      <c r="H66" s="405"/>
      <c r="I66" s="222"/>
    </row>
    <row r="67" spans="1:9" ht="15.75">
      <c r="A67" s="405" t="s">
        <v>621</v>
      </c>
      <c r="B67" s="405"/>
      <c r="C67" s="405"/>
      <c r="D67" s="405">
        <f>+C43</f>
        <v>1591</v>
      </c>
      <c r="E67" s="405">
        <f>+D43</f>
        <v>809</v>
      </c>
      <c r="F67" s="405">
        <f>SUM(D67:E67)</f>
        <v>2400</v>
      </c>
      <c r="G67" s="405"/>
      <c r="H67" s="405"/>
      <c r="I67" s="222"/>
    </row>
    <row r="68" spans="1:9" ht="15.75">
      <c r="A68" s="405" t="s">
        <v>446</v>
      </c>
      <c r="B68" s="405"/>
      <c r="C68" s="405"/>
      <c r="D68" s="406">
        <v>2</v>
      </c>
      <c r="E68" s="406">
        <v>13</v>
      </c>
      <c r="F68" s="406">
        <f>SUM(D68:E68)</f>
        <v>15</v>
      </c>
      <c r="G68" s="405"/>
      <c r="H68" s="405"/>
      <c r="I68" s="222"/>
    </row>
    <row r="69" spans="1:9" ht="15.75">
      <c r="A69" s="405" t="s">
        <v>622</v>
      </c>
      <c r="B69" s="405"/>
      <c r="C69" s="405"/>
      <c r="D69" s="405">
        <f>SUM(D65:D68)</f>
        <v>3016</v>
      </c>
      <c r="E69" s="405">
        <f>SUM(E65:E68)</f>
        <v>923</v>
      </c>
      <c r="F69" s="405">
        <f>SUM(F65:F68)</f>
        <v>3939</v>
      </c>
      <c r="G69" s="405"/>
      <c r="H69" s="407">
        <f>+F69/$F$72</f>
        <v>0.8893655452698126</v>
      </c>
      <c r="I69" s="222"/>
    </row>
    <row r="70" spans="1:9" ht="15.75">
      <c r="A70" s="405" t="s">
        <v>623</v>
      </c>
      <c r="B70" s="405"/>
      <c r="C70" s="405"/>
      <c r="D70" s="405">
        <v>305</v>
      </c>
      <c r="E70" s="405">
        <v>0</v>
      </c>
      <c r="F70" s="405">
        <f>SUM(D70:E70)</f>
        <v>305</v>
      </c>
      <c r="G70" s="405"/>
      <c r="H70" s="407">
        <f>+F70/$F$72</f>
        <v>6.8864303454504408E-2</v>
      </c>
      <c r="I70" s="222"/>
    </row>
    <row r="71" spans="1:9" ht="15.75">
      <c r="A71" s="405" t="s">
        <v>624</v>
      </c>
      <c r="B71" s="405"/>
      <c r="C71" s="405"/>
      <c r="D71" s="406">
        <v>175</v>
      </c>
      <c r="E71" s="406">
        <v>10</v>
      </c>
      <c r="F71" s="406">
        <f>SUM(D71:E71)</f>
        <v>185</v>
      </c>
      <c r="G71" s="405"/>
      <c r="H71" s="408">
        <f>+F71/$F$72</f>
        <v>4.1770151275682996E-2</v>
      </c>
      <c r="I71" s="222"/>
    </row>
    <row r="72" spans="1:9" ht="15.75">
      <c r="A72" s="405"/>
      <c r="B72" s="405"/>
      <c r="C72" s="405"/>
      <c r="D72" s="405">
        <f>SUM(D69:D71)</f>
        <v>3496</v>
      </c>
      <c r="E72" s="405">
        <f>SUM(E69:E71)</f>
        <v>933</v>
      </c>
      <c r="F72" s="405">
        <f>SUM(F69:F71)</f>
        <v>4429</v>
      </c>
      <c r="G72" s="405"/>
      <c r="H72" s="407">
        <f>+F72/$F$72</f>
        <v>1</v>
      </c>
      <c r="I72" s="222"/>
    </row>
    <row r="73" spans="1:9" ht="15.75">
      <c r="A73" s="222"/>
      <c r="B73" s="222"/>
      <c r="C73" s="222"/>
      <c r="D73" s="222"/>
      <c r="E73" s="222"/>
      <c r="F73" s="222"/>
      <c r="G73" s="222"/>
      <c r="H73" s="222"/>
      <c r="I73" s="222"/>
    </row>
    <row r="74" spans="1:9" ht="15.75">
      <c r="A74" s="222"/>
      <c r="B74" s="222"/>
      <c r="C74" s="222"/>
      <c r="D74" s="222"/>
      <c r="E74" s="222"/>
      <c r="F74" s="222"/>
      <c r="G74" s="222"/>
      <c r="H74" s="222"/>
      <c r="I74" s="222"/>
    </row>
    <row r="75" spans="1:9" ht="15.75">
      <c r="A75" s="222"/>
      <c r="B75" s="222"/>
      <c r="C75" s="222"/>
      <c r="D75" s="222"/>
      <c r="E75" s="222"/>
      <c r="F75" s="222"/>
      <c r="G75" s="222"/>
      <c r="H75" s="222"/>
      <c r="I75" s="222"/>
    </row>
  </sheetData>
  <mergeCells count="7">
    <mergeCell ref="A48:H48"/>
    <mergeCell ref="A4:E4"/>
    <mergeCell ref="A30:H30"/>
    <mergeCell ref="A31:B32"/>
    <mergeCell ref="C31:E31"/>
    <mergeCell ref="F31:H31"/>
    <mergeCell ref="A33:A4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4"/>
  <sheetViews>
    <sheetView topLeftCell="A16" workbookViewId="0">
      <selection activeCell="K32" sqref="K32:N32"/>
    </sheetView>
  </sheetViews>
  <sheetFormatPr defaultRowHeight="15"/>
  <cols>
    <col min="1" max="1" width="13.109375" customWidth="1"/>
    <col min="2" max="8" width="9" bestFit="1" customWidth="1"/>
    <col min="9" max="9" width="8.109375" customWidth="1"/>
    <col min="10" max="10" width="0" hidden="1" customWidth="1"/>
    <col min="11" max="11" width="9.77734375" bestFit="1" customWidth="1"/>
    <col min="12" max="12" width="8.77734375" bestFit="1" customWidth="1"/>
    <col min="13" max="13" width="9.6640625" bestFit="1" customWidth="1"/>
    <col min="14" max="14" width="9.77734375" bestFit="1" customWidth="1"/>
    <col min="15" max="15" width="13" customWidth="1"/>
    <col min="16" max="16" width="4.33203125" style="203" customWidth="1"/>
    <col min="17" max="17" width="8.88671875" style="203"/>
    <col min="18" max="19" width="9" bestFit="1" customWidth="1"/>
    <col min="20" max="20" width="10.6640625" bestFit="1" customWidth="1"/>
    <col min="21" max="22" width="10.77734375" bestFit="1" customWidth="1"/>
    <col min="23" max="23" width="9.109375" bestFit="1" customWidth="1"/>
  </cols>
  <sheetData>
    <row r="1" spans="1:25" ht="15.75">
      <c r="A1" s="387" t="s">
        <v>365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222"/>
      <c r="R1" s="203"/>
      <c r="S1" s="203"/>
      <c r="T1" s="203"/>
      <c r="W1" s="203">
        <v>1.208</v>
      </c>
      <c r="X1" s="203"/>
      <c r="Y1" s="203"/>
    </row>
    <row r="2" spans="1:25" ht="15.75">
      <c r="A2" s="390" t="s">
        <v>569</v>
      </c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222"/>
      <c r="R2" s="203"/>
      <c r="S2" s="203"/>
      <c r="T2" s="203"/>
      <c r="W2" s="203"/>
      <c r="X2" s="203"/>
      <c r="Y2" s="203"/>
    </row>
    <row r="3" spans="1:25" ht="21">
      <c r="A3" s="389"/>
      <c r="B3" s="389"/>
      <c r="C3" s="389"/>
      <c r="D3" s="389"/>
      <c r="E3" s="389"/>
      <c r="F3" s="389"/>
      <c r="G3" s="389"/>
      <c r="H3" s="389"/>
      <c r="I3" s="389"/>
      <c r="J3" s="389"/>
      <c r="K3" s="429" t="s">
        <v>656</v>
      </c>
      <c r="L3" s="429"/>
      <c r="M3" s="429"/>
      <c r="N3" s="389"/>
      <c r="O3" s="389"/>
      <c r="P3" s="222"/>
      <c r="Q3" s="230" t="s">
        <v>657</v>
      </c>
      <c r="R3" s="432" t="s">
        <v>657</v>
      </c>
      <c r="S3" s="432"/>
      <c r="T3" s="432"/>
      <c r="U3" s="230"/>
      <c r="V3" s="230"/>
      <c r="W3" s="230"/>
      <c r="X3" s="230"/>
      <c r="Y3" s="203"/>
    </row>
    <row r="4" spans="1:25" ht="15.75">
      <c r="A4" s="464" t="s">
        <v>570</v>
      </c>
      <c r="B4" s="464"/>
      <c r="C4" s="464"/>
      <c r="D4" s="464"/>
      <c r="E4" s="464"/>
      <c r="F4" s="389"/>
      <c r="G4" s="389"/>
      <c r="H4" s="389"/>
      <c r="I4" s="389"/>
      <c r="J4" s="389"/>
      <c r="K4" s="388" t="s">
        <v>571</v>
      </c>
      <c r="L4" s="388"/>
      <c r="M4" s="389"/>
      <c r="N4" s="389"/>
      <c r="O4" s="389"/>
      <c r="P4" s="222"/>
      <c r="Q4" s="230" t="s">
        <v>658</v>
      </c>
      <c r="R4" s="430" t="s">
        <v>571</v>
      </c>
      <c r="S4" s="430"/>
      <c r="T4" s="230"/>
      <c r="U4" s="230"/>
      <c r="V4" s="230"/>
      <c r="W4" s="230"/>
      <c r="X4" s="230"/>
      <c r="Y4" s="203"/>
    </row>
    <row r="5" spans="1:25" ht="15.75">
      <c r="A5" s="426" t="s">
        <v>572</v>
      </c>
      <c r="B5" s="426" t="s">
        <v>573</v>
      </c>
      <c r="C5" s="426" t="s">
        <v>574</v>
      </c>
      <c r="D5" s="426" t="s">
        <v>575</v>
      </c>
      <c r="E5" s="426" t="s">
        <v>48</v>
      </c>
      <c r="F5" s="389"/>
      <c r="G5" s="389"/>
      <c r="H5" s="389"/>
      <c r="I5" s="389"/>
      <c r="J5" s="389"/>
      <c r="K5" s="426" t="s">
        <v>574</v>
      </c>
      <c r="L5" s="426" t="s">
        <v>575</v>
      </c>
      <c r="M5" s="389" t="s">
        <v>576</v>
      </c>
      <c r="N5" s="389"/>
      <c r="O5" s="389"/>
      <c r="P5" s="222"/>
      <c r="Q5" s="230"/>
      <c r="R5" s="431" t="s">
        <v>574</v>
      </c>
      <c r="S5" s="431" t="s">
        <v>575</v>
      </c>
      <c r="T5" s="230" t="s">
        <v>576</v>
      </c>
      <c r="U5" s="230"/>
      <c r="V5" s="230"/>
      <c r="W5" s="230"/>
      <c r="X5" s="230"/>
      <c r="Y5" s="203"/>
    </row>
    <row r="6" spans="1:25" ht="15.75">
      <c r="A6" s="392" t="s">
        <v>577</v>
      </c>
      <c r="B6" s="392" t="s">
        <v>578</v>
      </c>
      <c r="C6" s="392">
        <v>433</v>
      </c>
      <c r="D6" s="392">
        <v>40</v>
      </c>
      <c r="E6" s="393">
        <v>16.899999999999999</v>
      </c>
      <c r="F6" s="389"/>
      <c r="G6" s="389"/>
      <c r="H6" s="389"/>
      <c r="I6" s="389"/>
      <c r="J6" s="389"/>
      <c r="K6" s="394">
        <f>+C6*E6*12</f>
        <v>87812.4</v>
      </c>
      <c r="L6" s="394">
        <f>+D6*E6*4</f>
        <v>2704</v>
      </c>
      <c r="M6" s="394">
        <f>SUM(K6:L6)</f>
        <v>90516.4</v>
      </c>
      <c r="N6" s="389"/>
      <c r="O6" s="389"/>
      <c r="P6" s="222"/>
      <c r="Q6" s="230">
        <f>+E6*$W$1</f>
        <v>20.415199999999999</v>
      </c>
      <c r="R6" s="230">
        <f>+C6*$Q6*12</f>
        <v>106077.3792</v>
      </c>
      <c r="S6" s="230">
        <f>+D6*$Q6*4</f>
        <v>3266.4319999999998</v>
      </c>
      <c r="T6" s="230">
        <f>SUM(R6:S6)</f>
        <v>109343.8112</v>
      </c>
      <c r="U6" s="230"/>
      <c r="V6" s="230"/>
      <c r="W6" s="230"/>
      <c r="X6" s="230"/>
      <c r="Y6" s="203"/>
    </row>
    <row r="7" spans="1:25" ht="15.75">
      <c r="A7" s="392"/>
      <c r="B7" s="392" t="s">
        <v>579</v>
      </c>
      <c r="C7" s="392">
        <v>273</v>
      </c>
      <c r="D7" s="392">
        <v>10</v>
      </c>
      <c r="E7" s="393">
        <v>9.25</v>
      </c>
      <c r="F7" s="389"/>
      <c r="G7" s="389"/>
      <c r="H7" s="389"/>
      <c r="I7" s="389"/>
      <c r="J7" s="389"/>
      <c r="K7" s="394">
        <f t="shared" ref="K7:K13" si="0">+C7*E7*12</f>
        <v>30303</v>
      </c>
      <c r="L7" s="394">
        <f t="shared" ref="L7:L13" si="1">+D7*E7*4</f>
        <v>370</v>
      </c>
      <c r="M7" s="394">
        <f t="shared" ref="M7:M13" si="2">SUM(K7:L7)</f>
        <v>30673</v>
      </c>
      <c r="N7" s="389"/>
      <c r="O7" s="389"/>
      <c r="P7" s="222"/>
      <c r="Q7" s="230">
        <f t="shared" ref="Q7:Q13" si="3">+E7*$W$1</f>
        <v>11.173999999999999</v>
      </c>
      <c r="R7" s="230">
        <f t="shared" ref="R7:R13" si="4">+C7*$Q7*12</f>
        <v>36606.023999999998</v>
      </c>
      <c r="S7" s="230">
        <f t="shared" ref="S7:S13" si="5">+D7*$Q7*4</f>
        <v>446.96</v>
      </c>
      <c r="T7" s="230">
        <f t="shared" ref="T7:T13" si="6">SUM(R7:S7)</f>
        <v>37052.983999999997</v>
      </c>
      <c r="U7" s="230"/>
      <c r="V7" s="230"/>
      <c r="W7" s="230"/>
      <c r="X7" s="230"/>
      <c r="Y7" s="203"/>
    </row>
    <row r="8" spans="1:25" ht="15.75">
      <c r="A8" s="392"/>
      <c r="B8" s="392" t="s">
        <v>580</v>
      </c>
      <c r="C8" s="392">
        <v>117</v>
      </c>
      <c r="D8" s="392">
        <v>5</v>
      </c>
      <c r="E8" s="393">
        <v>5.7</v>
      </c>
      <c r="F8" s="389"/>
      <c r="G8" s="389"/>
      <c r="H8" s="389"/>
      <c r="I8" s="389"/>
      <c r="J8" s="389"/>
      <c r="K8" s="394">
        <f t="shared" si="0"/>
        <v>8002.7999999999993</v>
      </c>
      <c r="L8" s="394">
        <f t="shared" si="1"/>
        <v>114</v>
      </c>
      <c r="M8" s="394">
        <f t="shared" si="2"/>
        <v>8116.7999999999993</v>
      </c>
      <c r="N8" s="389"/>
      <c r="O8" s="389"/>
      <c r="P8" s="222"/>
      <c r="Q8" s="230">
        <f t="shared" si="3"/>
        <v>6.8856000000000002</v>
      </c>
      <c r="R8" s="230">
        <f t="shared" si="4"/>
        <v>9667.3824000000004</v>
      </c>
      <c r="S8" s="230">
        <f t="shared" si="5"/>
        <v>137.71199999999999</v>
      </c>
      <c r="T8" s="230">
        <f t="shared" si="6"/>
        <v>9805.0944</v>
      </c>
      <c r="U8" s="230"/>
      <c r="V8" s="230"/>
      <c r="W8" s="230"/>
      <c r="X8" s="230"/>
      <c r="Y8" s="203"/>
    </row>
    <row r="9" spans="1:25" ht="15.75">
      <c r="A9" s="392"/>
      <c r="B9" s="392" t="s">
        <v>581</v>
      </c>
      <c r="C9" s="392">
        <v>327</v>
      </c>
      <c r="D9" s="392">
        <v>25</v>
      </c>
      <c r="E9" s="393">
        <v>23.8</v>
      </c>
      <c r="F9" s="389"/>
      <c r="G9" s="389"/>
      <c r="H9" s="389"/>
      <c r="I9" s="389"/>
      <c r="J9" s="389"/>
      <c r="K9" s="394">
        <f t="shared" si="0"/>
        <v>93391.200000000012</v>
      </c>
      <c r="L9" s="394">
        <f t="shared" si="1"/>
        <v>2380</v>
      </c>
      <c r="M9" s="394">
        <f t="shared" si="2"/>
        <v>95771.200000000012</v>
      </c>
      <c r="N9" s="389"/>
      <c r="O9" s="389"/>
      <c r="P9" s="222"/>
      <c r="Q9" s="230">
        <f t="shared" si="3"/>
        <v>28.750399999999999</v>
      </c>
      <c r="R9" s="230">
        <f t="shared" si="4"/>
        <v>112816.56959999999</v>
      </c>
      <c r="S9" s="230">
        <f t="shared" si="5"/>
        <v>2875.04</v>
      </c>
      <c r="T9" s="230">
        <f t="shared" si="6"/>
        <v>115691.60959999998</v>
      </c>
      <c r="U9" s="230"/>
      <c r="V9" s="230"/>
      <c r="W9" s="230"/>
      <c r="X9" s="230"/>
      <c r="Y9" s="203"/>
    </row>
    <row r="10" spans="1:25" ht="15.75">
      <c r="A10" s="392"/>
      <c r="B10" s="392" t="s">
        <v>582</v>
      </c>
      <c r="C10" s="392">
        <v>142</v>
      </c>
      <c r="D10" s="392">
        <v>10</v>
      </c>
      <c r="E10" s="393">
        <v>16.899999999999999</v>
      </c>
      <c r="F10" s="389"/>
      <c r="G10" s="389"/>
      <c r="H10" s="389"/>
      <c r="I10" s="389"/>
      <c r="J10" s="389"/>
      <c r="K10" s="394">
        <f t="shared" si="0"/>
        <v>28797.599999999999</v>
      </c>
      <c r="L10" s="394">
        <f t="shared" si="1"/>
        <v>676</v>
      </c>
      <c r="M10" s="394">
        <f t="shared" si="2"/>
        <v>29473.599999999999</v>
      </c>
      <c r="N10" s="389"/>
      <c r="O10" s="389"/>
      <c r="P10" s="222"/>
      <c r="Q10" s="230">
        <f t="shared" si="3"/>
        <v>20.415199999999999</v>
      </c>
      <c r="R10" s="230">
        <f t="shared" si="4"/>
        <v>34787.500800000002</v>
      </c>
      <c r="S10" s="230">
        <f t="shared" si="5"/>
        <v>816.60799999999995</v>
      </c>
      <c r="T10" s="230">
        <f t="shared" si="6"/>
        <v>35604.108800000002</v>
      </c>
      <c r="U10" s="230"/>
      <c r="V10" s="230"/>
      <c r="W10" s="230"/>
      <c r="X10" s="230"/>
      <c r="Y10" s="203"/>
    </row>
    <row r="11" spans="1:25" ht="15.75">
      <c r="A11" s="392"/>
      <c r="B11" s="392" t="s">
        <v>583</v>
      </c>
      <c r="C11" s="392">
        <v>58</v>
      </c>
      <c r="D11" s="392">
        <v>6</v>
      </c>
      <c r="E11" s="393">
        <v>9.25</v>
      </c>
      <c r="F11" s="389"/>
      <c r="G11" s="389"/>
      <c r="H11" s="389"/>
      <c r="I11" s="389"/>
      <c r="J11" s="389"/>
      <c r="K11" s="394">
        <f t="shared" si="0"/>
        <v>6438</v>
      </c>
      <c r="L11" s="394">
        <f t="shared" si="1"/>
        <v>222</v>
      </c>
      <c r="M11" s="394">
        <f t="shared" si="2"/>
        <v>6660</v>
      </c>
      <c r="N11" s="389"/>
      <c r="O11" s="389"/>
      <c r="P11" s="222"/>
      <c r="Q11" s="230">
        <f t="shared" si="3"/>
        <v>11.173999999999999</v>
      </c>
      <c r="R11" s="230">
        <f t="shared" si="4"/>
        <v>7777.1039999999994</v>
      </c>
      <c r="S11" s="230">
        <f t="shared" si="5"/>
        <v>268.17599999999999</v>
      </c>
      <c r="T11" s="230">
        <f t="shared" si="6"/>
        <v>8045.28</v>
      </c>
      <c r="U11" s="230"/>
      <c r="V11" s="230"/>
      <c r="W11" s="230"/>
      <c r="X11" s="230"/>
      <c r="Y11" s="203"/>
    </row>
    <row r="12" spans="1:25" ht="15.75">
      <c r="A12" s="392"/>
      <c r="B12" s="392" t="s">
        <v>584</v>
      </c>
      <c r="C12" s="392">
        <v>9</v>
      </c>
      <c r="D12" s="392">
        <v>0</v>
      </c>
      <c r="E12" s="393">
        <v>30.2</v>
      </c>
      <c r="F12" s="389"/>
      <c r="G12" s="389"/>
      <c r="H12" s="389"/>
      <c r="I12" s="389"/>
      <c r="J12" s="389"/>
      <c r="K12" s="394">
        <f t="shared" si="0"/>
        <v>3261.6000000000004</v>
      </c>
      <c r="L12" s="394">
        <f t="shared" si="1"/>
        <v>0</v>
      </c>
      <c r="M12" s="394">
        <f t="shared" si="2"/>
        <v>3261.6000000000004</v>
      </c>
      <c r="N12" s="389"/>
      <c r="O12" s="389"/>
      <c r="P12" s="222"/>
      <c r="Q12" s="230">
        <f t="shared" si="3"/>
        <v>36.4816</v>
      </c>
      <c r="R12" s="230">
        <f t="shared" si="4"/>
        <v>3940.0128000000004</v>
      </c>
      <c r="S12" s="230">
        <f t="shared" si="5"/>
        <v>0</v>
      </c>
      <c r="T12" s="230">
        <f t="shared" si="6"/>
        <v>3940.0128000000004</v>
      </c>
      <c r="U12" s="230"/>
      <c r="V12" s="230"/>
      <c r="W12" s="230"/>
      <c r="X12" s="230"/>
      <c r="Y12" s="203"/>
    </row>
    <row r="13" spans="1:25" ht="15.75">
      <c r="A13" s="392"/>
      <c r="B13" s="392" t="s">
        <v>585</v>
      </c>
      <c r="C13" s="392">
        <v>6</v>
      </c>
      <c r="D13" s="392">
        <v>0</v>
      </c>
      <c r="E13" s="393">
        <v>37.25</v>
      </c>
      <c r="F13" s="389"/>
      <c r="G13" s="389"/>
      <c r="H13" s="389"/>
      <c r="I13" s="389"/>
      <c r="J13" s="389"/>
      <c r="K13" s="395">
        <f t="shared" si="0"/>
        <v>2682</v>
      </c>
      <c r="L13" s="395">
        <f t="shared" si="1"/>
        <v>0</v>
      </c>
      <c r="M13" s="395">
        <f t="shared" si="2"/>
        <v>2682</v>
      </c>
      <c r="N13" s="389"/>
      <c r="O13" s="389"/>
      <c r="P13" s="222"/>
      <c r="Q13" s="230">
        <f t="shared" si="3"/>
        <v>44.997999999999998</v>
      </c>
      <c r="R13" s="249">
        <f t="shared" si="4"/>
        <v>3239.8559999999998</v>
      </c>
      <c r="S13" s="249">
        <f t="shared" si="5"/>
        <v>0</v>
      </c>
      <c r="T13" s="249">
        <f t="shared" si="6"/>
        <v>3239.8559999999998</v>
      </c>
      <c r="U13" s="230"/>
      <c r="V13" s="230"/>
      <c r="W13" s="230"/>
      <c r="X13" s="230"/>
      <c r="Y13" s="203"/>
    </row>
    <row r="14" spans="1:25" ht="15.75">
      <c r="A14" s="389"/>
      <c r="B14" s="389"/>
      <c r="C14" s="389">
        <f>SUM(C6:C13)</f>
        <v>1365</v>
      </c>
      <c r="D14" s="389">
        <f>SUM(D6:D13)</f>
        <v>96</v>
      </c>
      <c r="E14" s="394"/>
      <c r="F14" s="389" t="s">
        <v>586</v>
      </c>
      <c r="G14" s="389"/>
      <c r="H14" s="389"/>
      <c r="I14" s="389"/>
      <c r="J14" s="389"/>
      <c r="K14" s="394">
        <f>SUM(K6:K13)</f>
        <v>260688.60000000003</v>
      </c>
      <c r="L14" s="394">
        <f>SUM(L6:L13)</f>
        <v>6466</v>
      </c>
      <c r="M14" s="394">
        <f>SUM(M6:M13)</f>
        <v>267154.60000000003</v>
      </c>
      <c r="N14" s="389"/>
      <c r="O14" s="394"/>
      <c r="P14" s="222"/>
      <c r="Q14" s="230"/>
      <c r="R14" s="230">
        <f>SUM(R6:R13)</f>
        <v>314911.82880000002</v>
      </c>
      <c r="S14" s="230">
        <f>SUM(S6:S13)</f>
        <v>7810.9280000000008</v>
      </c>
      <c r="T14" s="230">
        <f>SUM(T6:T13)</f>
        <v>322722.75679999997</v>
      </c>
      <c r="U14" s="230"/>
      <c r="V14" s="230">
        <f>+T14</f>
        <v>322722.75679999997</v>
      </c>
      <c r="W14" s="230"/>
      <c r="X14" s="230"/>
      <c r="Y14" s="203"/>
    </row>
    <row r="15" spans="1:25" ht="15.75">
      <c r="A15" s="389"/>
      <c r="B15" s="389"/>
      <c r="C15" s="389"/>
      <c r="D15" s="389"/>
      <c r="E15" s="394"/>
      <c r="F15" s="389"/>
      <c r="G15" s="389"/>
      <c r="H15" s="389"/>
      <c r="I15" s="389"/>
      <c r="J15" s="389"/>
      <c r="K15" s="394"/>
      <c r="L15" s="394"/>
      <c r="M15" s="394"/>
      <c r="N15" s="389"/>
      <c r="O15" s="389"/>
      <c r="P15" s="222"/>
      <c r="Q15" s="230"/>
      <c r="R15" s="230"/>
      <c r="S15" s="230"/>
      <c r="T15" s="230"/>
      <c r="U15" s="230"/>
      <c r="V15" s="230"/>
      <c r="W15" s="230"/>
      <c r="X15" s="230"/>
      <c r="Y15" s="203"/>
    </row>
    <row r="16" spans="1:25" ht="15.75">
      <c r="A16" s="389"/>
      <c r="B16" s="389"/>
      <c r="C16" s="389"/>
      <c r="D16" s="389"/>
      <c r="E16" s="394"/>
      <c r="F16" s="389"/>
      <c r="G16" s="389"/>
      <c r="H16" s="389"/>
      <c r="I16" s="389"/>
      <c r="J16" s="389"/>
      <c r="K16" s="394"/>
      <c r="L16" s="394"/>
      <c r="M16" s="389"/>
      <c r="N16" s="389"/>
      <c r="O16" s="389" t="s">
        <v>659</v>
      </c>
      <c r="P16" s="222">
        <v>15</v>
      </c>
      <c r="Q16" s="230">
        <v>30</v>
      </c>
      <c r="R16" s="230">
        <f>+P16*Q16*12</f>
        <v>5400</v>
      </c>
      <c r="S16" s="230">
        <f>+D16*$Q$6*12</f>
        <v>0</v>
      </c>
      <c r="T16" s="230">
        <f>SUM(R16:S16)</f>
        <v>5400</v>
      </c>
      <c r="U16" s="230"/>
      <c r="V16" s="230">
        <f>+T16</f>
        <v>5400</v>
      </c>
      <c r="W16" s="230"/>
      <c r="X16" s="230"/>
      <c r="Y16" s="203"/>
    </row>
    <row r="17" spans="1:25" ht="15.75">
      <c r="A17" s="392" t="s">
        <v>587</v>
      </c>
      <c r="B17" s="392" t="s">
        <v>588</v>
      </c>
      <c r="C17" s="392">
        <v>305</v>
      </c>
      <c r="D17" s="392">
        <v>0</v>
      </c>
      <c r="E17" s="393">
        <v>22.6</v>
      </c>
      <c r="F17" s="389"/>
      <c r="G17" s="389"/>
      <c r="H17" s="389"/>
      <c r="I17" s="389"/>
      <c r="J17" s="389"/>
      <c r="K17" s="394">
        <f>+C17*E17*12</f>
        <v>82716</v>
      </c>
      <c r="L17" s="394"/>
      <c r="M17" s="394">
        <f>SUM(K17:L17)</f>
        <v>82716</v>
      </c>
      <c r="N17" s="398"/>
      <c r="O17" s="389" t="s">
        <v>660</v>
      </c>
      <c r="P17" s="222">
        <f>305-15</f>
        <v>290</v>
      </c>
      <c r="Q17" s="230">
        <v>25</v>
      </c>
      <c r="R17" s="230">
        <f>+P17*Q17*12</f>
        <v>87000</v>
      </c>
      <c r="S17" s="230">
        <f>+D17*$Q$6*12</f>
        <v>0</v>
      </c>
      <c r="T17" s="230">
        <f>SUM(R17:S17)</f>
        <v>87000</v>
      </c>
      <c r="U17" s="230"/>
      <c r="V17" s="230">
        <f>+T17</f>
        <v>87000</v>
      </c>
      <c r="W17" s="230"/>
      <c r="X17" s="230"/>
      <c r="Y17" s="203"/>
    </row>
    <row r="18" spans="1:25" ht="15.75">
      <c r="A18" s="389"/>
      <c r="B18" s="389"/>
      <c r="C18" s="389"/>
      <c r="D18" s="389"/>
      <c r="E18" s="394"/>
      <c r="F18" s="389" t="s">
        <v>589</v>
      </c>
      <c r="G18" s="389"/>
      <c r="H18" s="389"/>
      <c r="I18" s="389"/>
      <c r="J18" s="389"/>
      <c r="K18" s="394"/>
      <c r="L18" s="394"/>
      <c r="M18" s="394"/>
      <c r="N18" s="398"/>
      <c r="O18" s="394"/>
      <c r="P18" s="222"/>
      <c r="Q18" s="230"/>
      <c r="R18" s="230"/>
      <c r="S18" s="230"/>
      <c r="T18" s="230"/>
      <c r="U18" s="230"/>
      <c r="V18" s="230"/>
      <c r="W18" s="230"/>
      <c r="X18" s="230"/>
      <c r="Y18" s="203"/>
    </row>
    <row r="19" spans="1:25" ht="15.75">
      <c r="A19" s="389"/>
      <c r="B19" s="389"/>
      <c r="C19" s="389"/>
      <c r="D19" s="389"/>
      <c r="E19" s="394"/>
      <c r="F19" s="389"/>
      <c r="G19" s="389"/>
      <c r="H19" s="389"/>
      <c r="I19" s="389"/>
      <c r="J19" s="389"/>
      <c r="K19" s="394"/>
      <c r="L19" s="394"/>
      <c r="M19" s="394"/>
      <c r="N19" s="398"/>
      <c r="O19" s="389"/>
      <c r="P19" s="222"/>
      <c r="Q19" s="230"/>
      <c r="R19" s="230"/>
      <c r="S19" s="230"/>
      <c r="T19" s="230"/>
      <c r="U19" s="230"/>
      <c r="V19" s="230"/>
      <c r="W19" s="230"/>
      <c r="X19" s="230"/>
      <c r="Y19" s="203"/>
    </row>
    <row r="20" spans="1:25" ht="15.75">
      <c r="A20" s="389"/>
      <c r="B20" s="389"/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222"/>
      <c r="Q20" s="230"/>
      <c r="R20" s="230"/>
      <c r="S20" s="230"/>
      <c r="T20" s="230"/>
      <c r="U20" s="230"/>
      <c r="V20" s="230"/>
      <c r="W20" s="230"/>
      <c r="X20" s="230"/>
      <c r="Y20" s="203"/>
    </row>
    <row r="21" spans="1:25" ht="15.75">
      <c r="A21" s="392" t="s">
        <v>590</v>
      </c>
      <c r="B21" s="392" t="s">
        <v>578</v>
      </c>
      <c r="C21" s="392">
        <v>15</v>
      </c>
      <c r="D21" s="392">
        <v>0</v>
      </c>
      <c r="E21" s="393">
        <v>16.899999999999999</v>
      </c>
      <c r="F21" s="389"/>
      <c r="G21" s="389"/>
      <c r="H21" s="389"/>
      <c r="I21" s="389"/>
      <c r="J21" s="389"/>
      <c r="K21" s="394">
        <f t="shared" ref="K21:K26" si="7">+C21*E21*12</f>
        <v>3041.9999999999995</v>
      </c>
      <c r="L21" s="394">
        <f t="shared" ref="L21:L26" si="8">+D21*E21*6</f>
        <v>0</v>
      </c>
      <c r="M21" s="394">
        <f t="shared" ref="M21:M26" si="9">SUM(K21:L21)</f>
        <v>3041.9999999999995</v>
      </c>
      <c r="N21" s="389"/>
      <c r="O21" s="389"/>
      <c r="P21" s="222"/>
      <c r="Q21" s="230">
        <f t="shared" ref="Q21:Q26" si="10">+E21*$W$1</f>
        <v>20.415199999999999</v>
      </c>
      <c r="R21" s="230">
        <f t="shared" ref="R21:R26" si="11">+C21*$Q21*12</f>
        <v>3674.7359999999994</v>
      </c>
      <c r="S21" s="230">
        <f>+D21*$Q$6*4</f>
        <v>0</v>
      </c>
      <c r="T21" s="230">
        <f t="shared" ref="T21:T26" si="12">SUM(R21:S21)</f>
        <v>3674.7359999999994</v>
      </c>
      <c r="U21" s="230"/>
      <c r="V21" s="230"/>
      <c r="W21" s="230"/>
      <c r="X21" s="230"/>
      <c r="Y21" s="203"/>
    </row>
    <row r="22" spans="1:25" ht="15.75">
      <c r="A22" s="392"/>
      <c r="B22" s="392" t="s">
        <v>579</v>
      </c>
      <c r="C22" s="392">
        <v>6</v>
      </c>
      <c r="D22" s="392">
        <v>0</v>
      </c>
      <c r="E22" s="393">
        <v>9.25</v>
      </c>
      <c r="F22" s="389"/>
      <c r="G22" s="389"/>
      <c r="H22" s="389"/>
      <c r="I22" s="389"/>
      <c r="J22" s="389"/>
      <c r="K22" s="394">
        <f t="shared" si="7"/>
        <v>666</v>
      </c>
      <c r="L22" s="394">
        <f t="shared" si="8"/>
        <v>0</v>
      </c>
      <c r="M22" s="394">
        <f t="shared" si="9"/>
        <v>666</v>
      </c>
      <c r="N22" s="389"/>
      <c r="O22" s="389"/>
      <c r="P22" s="222"/>
      <c r="Q22" s="230">
        <f t="shared" si="10"/>
        <v>11.173999999999999</v>
      </c>
      <c r="R22" s="230">
        <f t="shared" si="11"/>
        <v>804.52800000000002</v>
      </c>
      <c r="S22" s="230">
        <f>+D22*$Q$6*4</f>
        <v>0</v>
      </c>
      <c r="T22" s="230">
        <f t="shared" si="12"/>
        <v>804.52800000000002</v>
      </c>
      <c r="U22" s="230"/>
      <c r="V22" s="230"/>
      <c r="W22" s="230"/>
      <c r="X22" s="230"/>
      <c r="Y22" s="203"/>
    </row>
    <row r="23" spans="1:25" ht="15.75">
      <c r="A23" s="392"/>
      <c r="B23" s="392" t="s">
        <v>580</v>
      </c>
      <c r="C23" s="392">
        <v>5</v>
      </c>
      <c r="D23" s="392">
        <v>0</v>
      </c>
      <c r="E23" s="393">
        <v>5.7</v>
      </c>
      <c r="F23" s="389"/>
      <c r="G23" s="389"/>
      <c r="H23" s="389"/>
      <c r="I23" s="389"/>
      <c r="J23" s="389"/>
      <c r="K23" s="394">
        <f t="shared" si="7"/>
        <v>342</v>
      </c>
      <c r="L23" s="394">
        <f t="shared" si="8"/>
        <v>0</v>
      </c>
      <c r="M23" s="394">
        <f t="shared" si="9"/>
        <v>342</v>
      </c>
      <c r="N23" s="389"/>
      <c r="O23" s="389"/>
      <c r="P23" s="222"/>
      <c r="Q23" s="230">
        <f t="shared" si="10"/>
        <v>6.8856000000000002</v>
      </c>
      <c r="R23" s="230">
        <f t="shared" si="11"/>
        <v>413.13599999999997</v>
      </c>
      <c r="S23" s="230">
        <f>+D23*$Q$6*4</f>
        <v>0</v>
      </c>
      <c r="T23" s="230">
        <f t="shared" si="12"/>
        <v>413.13599999999997</v>
      </c>
      <c r="U23" s="230"/>
      <c r="V23" s="230"/>
      <c r="W23" s="230"/>
      <c r="X23" s="230"/>
      <c r="Y23" s="203"/>
    </row>
    <row r="24" spans="1:25" ht="15.75">
      <c r="A24" s="392"/>
      <c r="B24" s="392" t="s">
        <v>581</v>
      </c>
      <c r="C24" s="392">
        <v>28</v>
      </c>
      <c r="D24" s="392">
        <v>5</v>
      </c>
      <c r="E24" s="393">
        <v>23.8</v>
      </c>
      <c r="F24" s="389"/>
      <c r="G24" s="389"/>
      <c r="H24" s="389"/>
      <c r="I24" s="389"/>
      <c r="J24" s="389"/>
      <c r="K24" s="394">
        <f t="shared" si="7"/>
        <v>7996.7999999999993</v>
      </c>
      <c r="L24" s="394">
        <f t="shared" si="8"/>
        <v>714</v>
      </c>
      <c r="M24" s="394">
        <f t="shared" si="9"/>
        <v>8710.7999999999993</v>
      </c>
      <c r="N24" s="389"/>
      <c r="O24" s="389"/>
      <c r="P24" s="222"/>
      <c r="Q24" s="230">
        <f t="shared" si="10"/>
        <v>28.750399999999999</v>
      </c>
      <c r="R24" s="230">
        <f t="shared" si="11"/>
        <v>9660.134399999999</v>
      </c>
      <c r="S24" s="230">
        <f>+D24*$Q24*6</f>
        <v>862.51200000000006</v>
      </c>
      <c r="T24" s="230">
        <f t="shared" si="12"/>
        <v>10522.6464</v>
      </c>
      <c r="U24" s="230"/>
      <c r="V24" s="230"/>
      <c r="W24" s="230"/>
      <c r="X24" s="230"/>
      <c r="Y24" s="203"/>
    </row>
    <row r="25" spans="1:25" ht="15.75">
      <c r="A25" s="392"/>
      <c r="B25" s="392" t="s">
        <v>584</v>
      </c>
      <c r="C25" s="392">
        <v>3</v>
      </c>
      <c r="D25" s="392">
        <v>0</v>
      </c>
      <c r="E25" s="393">
        <v>30.2</v>
      </c>
      <c r="F25" s="389"/>
      <c r="G25" s="389"/>
      <c r="H25" s="389"/>
      <c r="I25" s="389"/>
      <c r="J25" s="389"/>
      <c r="K25" s="394">
        <f t="shared" si="7"/>
        <v>1087.1999999999998</v>
      </c>
      <c r="L25" s="394">
        <f t="shared" si="8"/>
        <v>0</v>
      </c>
      <c r="M25" s="394">
        <f t="shared" si="9"/>
        <v>1087.1999999999998</v>
      </c>
      <c r="N25" s="389"/>
      <c r="O25" s="389"/>
      <c r="P25" s="222"/>
      <c r="Q25" s="230">
        <f t="shared" si="10"/>
        <v>36.4816</v>
      </c>
      <c r="R25" s="230">
        <f t="shared" si="11"/>
        <v>1313.3376000000001</v>
      </c>
      <c r="S25" s="230">
        <f>+D25*$Q$6*4</f>
        <v>0</v>
      </c>
      <c r="T25" s="230">
        <f t="shared" si="12"/>
        <v>1313.3376000000001</v>
      </c>
      <c r="U25" s="230"/>
      <c r="V25" s="230"/>
      <c r="W25" s="230"/>
      <c r="X25" s="230"/>
      <c r="Y25" s="203"/>
    </row>
    <row r="26" spans="1:25" ht="15.75">
      <c r="A26" s="392"/>
      <c r="B26" s="392" t="s">
        <v>585</v>
      </c>
      <c r="C26" s="392">
        <v>1</v>
      </c>
      <c r="D26" s="392">
        <v>0</v>
      </c>
      <c r="E26" s="393">
        <v>37.25</v>
      </c>
      <c r="F26" s="389"/>
      <c r="G26" s="389"/>
      <c r="H26" s="389"/>
      <c r="I26" s="389"/>
      <c r="J26" s="389"/>
      <c r="K26" s="395">
        <f t="shared" si="7"/>
        <v>447</v>
      </c>
      <c r="L26" s="395">
        <f t="shared" si="8"/>
        <v>0</v>
      </c>
      <c r="M26" s="395">
        <f t="shared" si="9"/>
        <v>447</v>
      </c>
      <c r="N26" s="389"/>
      <c r="O26" s="389"/>
      <c r="P26" s="222"/>
      <c r="Q26" s="230">
        <f t="shared" si="10"/>
        <v>44.997999999999998</v>
      </c>
      <c r="R26" s="249">
        <f t="shared" si="11"/>
        <v>539.976</v>
      </c>
      <c r="S26" s="249">
        <f>+D26*$Q$6*4</f>
        <v>0</v>
      </c>
      <c r="T26" s="249">
        <f t="shared" si="12"/>
        <v>539.976</v>
      </c>
      <c r="U26" s="230"/>
      <c r="V26" s="230"/>
      <c r="W26" s="230"/>
      <c r="X26" s="230"/>
      <c r="Y26" s="203"/>
    </row>
    <row r="27" spans="1:25" ht="15.75">
      <c r="A27" s="389"/>
      <c r="B27" s="389"/>
      <c r="C27" s="389">
        <f>SUM(C21:C26)</f>
        <v>58</v>
      </c>
      <c r="D27" s="389">
        <f>SUM(D21:D26)</f>
        <v>5</v>
      </c>
      <c r="E27" s="394"/>
      <c r="F27" s="389" t="s">
        <v>591</v>
      </c>
      <c r="G27" s="389"/>
      <c r="H27" s="389"/>
      <c r="I27" s="389"/>
      <c r="J27" s="389"/>
      <c r="K27" s="394">
        <f>SUM(K21:K26)</f>
        <v>13581</v>
      </c>
      <c r="L27" s="394">
        <f>SUM(L21:L26)</f>
        <v>714</v>
      </c>
      <c r="M27" s="394">
        <f>SUM(M21:M26)</f>
        <v>14295</v>
      </c>
      <c r="N27" s="389"/>
      <c r="O27" s="389"/>
      <c r="P27" s="222"/>
      <c r="Q27" s="230"/>
      <c r="R27" s="230">
        <f>SUM(R21:R26)</f>
        <v>16405.847999999998</v>
      </c>
      <c r="S27" s="230">
        <f>SUM(S21:S26)</f>
        <v>862.51200000000006</v>
      </c>
      <c r="T27" s="230">
        <f>SUM(T21:T26)</f>
        <v>17268.359999999997</v>
      </c>
      <c r="U27" s="230"/>
      <c r="V27" s="230"/>
      <c r="W27" s="230"/>
      <c r="X27" s="230"/>
      <c r="Y27" s="203"/>
    </row>
    <row r="28" spans="1:25" ht="15.75">
      <c r="A28" s="389"/>
      <c r="B28" s="389"/>
      <c r="C28" s="389"/>
      <c r="D28" s="389"/>
      <c r="E28" s="394"/>
      <c r="F28" s="389"/>
      <c r="G28" s="389"/>
      <c r="H28" s="389"/>
      <c r="I28" s="389"/>
      <c r="J28" s="389"/>
      <c r="K28" s="394"/>
      <c r="L28" s="394"/>
      <c r="M28" s="394"/>
      <c r="N28" s="389"/>
      <c r="O28" s="389"/>
      <c r="P28" s="222"/>
      <c r="Q28" s="230"/>
      <c r="R28" s="230"/>
      <c r="S28" s="230"/>
      <c r="T28" s="230"/>
      <c r="U28" s="230"/>
      <c r="V28" s="230"/>
      <c r="W28" s="230"/>
      <c r="X28" s="230"/>
      <c r="Y28" s="203"/>
    </row>
    <row r="29" spans="1:25" ht="15.75">
      <c r="A29" s="389"/>
      <c r="B29" s="389"/>
      <c r="C29" s="389"/>
      <c r="D29" s="389"/>
      <c r="E29" s="389"/>
      <c r="F29" s="389"/>
      <c r="G29" s="389"/>
      <c r="H29" s="389"/>
      <c r="I29" s="389"/>
      <c r="J29" s="389"/>
      <c r="K29" s="394"/>
      <c r="L29" s="394"/>
      <c r="M29" s="394"/>
      <c r="N29" s="389"/>
      <c r="O29" s="389"/>
      <c r="P29" s="222"/>
      <c r="Q29" s="230"/>
      <c r="R29" s="230"/>
      <c r="S29" s="230"/>
      <c r="T29" s="230"/>
      <c r="U29" s="230"/>
      <c r="V29" s="230"/>
      <c r="W29" s="230"/>
      <c r="X29" s="230"/>
      <c r="Y29" s="203"/>
    </row>
    <row r="30" spans="1:25" ht="15.75">
      <c r="A30" s="464" t="s">
        <v>324</v>
      </c>
      <c r="B30" s="464"/>
      <c r="C30" s="464"/>
      <c r="D30" s="464"/>
      <c r="E30" s="464"/>
      <c r="F30" s="464"/>
      <c r="G30" s="464"/>
      <c r="H30" s="464"/>
      <c r="I30" s="389"/>
      <c r="J30" s="389"/>
      <c r="K30" s="389"/>
      <c r="L30" s="389"/>
      <c r="M30" s="389"/>
      <c r="N30" s="389"/>
      <c r="O30" s="389"/>
      <c r="P30" s="222"/>
      <c r="Q30" s="230"/>
      <c r="R30" s="230"/>
      <c r="S30" s="230"/>
      <c r="T30" s="230"/>
      <c r="U30" s="230"/>
      <c r="V30" s="230"/>
      <c r="W30" s="230"/>
      <c r="X30" s="230"/>
      <c r="Y30" s="203"/>
    </row>
    <row r="31" spans="1:25" ht="15.75">
      <c r="A31" s="465"/>
      <c r="B31" s="466"/>
      <c r="C31" s="469" t="s">
        <v>592</v>
      </c>
      <c r="D31" s="470"/>
      <c r="E31" s="471"/>
      <c r="F31" s="464" t="s">
        <v>593</v>
      </c>
      <c r="G31" s="464"/>
      <c r="H31" s="464"/>
      <c r="I31" s="389"/>
      <c r="J31" s="389"/>
      <c r="K31" s="388" t="s">
        <v>594</v>
      </c>
      <c r="L31" s="388"/>
      <c r="M31" s="388" t="s">
        <v>595</v>
      </c>
      <c r="N31" s="388"/>
      <c r="O31" s="389"/>
      <c r="P31" s="222"/>
      <c r="Q31" s="230"/>
      <c r="R31" s="430" t="s">
        <v>594</v>
      </c>
      <c r="S31" s="430"/>
      <c r="T31" s="430" t="s">
        <v>595</v>
      </c>
      <c r="U31" s="430"/>
      <c r="V31" s="230"/>
      <c r="W31" s="230"/>
      <c r="X31" s="230"/>
      <c r="Y31" s="203"/>
    </row>
    <row r="32" spans="1:25" ht="15.75">
      <c r="A32" s="467"/>
      <c r="B32" s="468"/>
      <c r="C32" s="426" t="s">
        <v>596</v>
      </c>
      <c r="D32" s="426" t="s">
        <v>597</v>
      </c>
      <c r="E32" s="426" t="s">
        <v>598</v>
      </c>
      <c r="F32" s="426" t="s">
        <v>596</v>
      </c>
      <c r="G32" s="426" t="s">
        <v>597</v>
      </c>
      <c r="H32" s="426" t="s">
        <v>598</v>
      </c>
      <c r="I32" s="389"/>
      <c r="J32" s="389"/>
      <c r="K32" s="389" t="s">
        <v>599</v>
      </c>
      <c r="L32" s="389" t="s">
        <v>575</v>
      </c>
      <c r="M32" s="389" t="s">
        <v>599</v>
      </c>
      <c r="N32" s="389" t="s">
        <v>575</v>
      </c>
      <c r="O32" s="389"/>
      <c r="P32" s="222"/>
      <c r="Q32" s="230"/>
      <c r="R32" s="230" t="s">
        <v>599</v>
      </c>
      <c r="S32" s="230" t="s">
        <v>575</v>
      </c>
      <c r="T32" s="230" t="s">
        <v>599</v>
      </c>
      <c r="U32" s="230" t="s">
        <v>575</v>
      </c>
      <c r="V32" s="230"/>
      <c r="W32" s="230"/>
      <c r="X32" s="230"/>
      <c r="Y32" s="203"/>
    </row>
    <row r="33" spans="1:25" ht="15.75">
      <c r="A33" s="472"/>
      <c r="B33" s="392" t="s">
        <v>600</v>
      </c>
      <c r="C33" s="392">
        <v>350</v>
      </c>
      <c r="D33" s="392">
        <v>80</v>
      </c>
      <c r="E33" s="393">
        <v>16.420000000000002</v>
      </c>
      <c r="F33" s="392">
        <v>130</v>
      </c>
      <c r="G33" s="392">
        <v>0</v>
      </c>
      <c r="H33" s="393">
        <v>14.9</v>
      </c>
      <c r="I33" s="389"/>
      <c r="J33" s="389"/>
      <c r="K33" s="394">
        <f>(+C33*E33*12)</f>
        <v>68964.000000000015</v>
      </c>
      <c r="L33" s="394">
        <f>+D33*E33*2.165</f>
        <v>2843.9440000000004</v>
      </c>
      <c r="M33" s="394">
        <f t="shared" ref="M33:M38" si="13">+F33*H33*12</f>
        <v>23244</v>
      </c>
      <c r="N33" s="394">
        <f t="shared" ref="N33:N38" si="14">+G33*H33</f>
        <v>0</v>
      </c>
      <c r="O33" s="389"/>
      <c r="P33" s="222"/>
      <c r="Q33" s="230">
        <f t="shared" ref="Q33:Q41" si="15">+E33*$W$1</f>
        <v>19.835360000000001</v>
      </c>
      <c r="R33" s="230">
        <f>+C33*$Q33*12</f>
        <v>83308.512000000002</v>
      </c>
      <c r="S33" s="230">
        <f>+D33*$Q33*2.165</f>
        <v>3435.4843520000004</v>
      </c>
      <c r="T33" s="394">
        <f>+F33*(H33*$W$1)*12</f>
        <v>28078.751999999997</v>
      </c>
      <c r="U33" s="394">
        <f>+G33*(H33*$W$1)*12</f>
        <v>0</v>
      </c>
      <c r="V33" s="230"/>
      <c r="W33" s="230"/>
      <c r="X33" s="230"/>
      <c r="Y33" s="203"/>
    </row>
    <row r="34" spans="1:25" ht="15.75">
      <c r="A34" s="473"/>
      <c r="B34" s="392" t="s">
        <v>601</v>
      </c>
      <c r="C34" s="392">
        <v>1</v>
      </c>
      <c r="D34" s="392">
        <v>0</v>
      </c>
      <c r="E34" s="393">
        <v>23.53</v>
      </c>
      <c r="F34" s="392">
        <v>1</v>
      </c>
      <c r="G34" s="392">
        <v>0</v>
      </c>
      <c r="H34" s="393">
        <v>16.8</v>
      </c>
      <c r="I34" s="389"/>
      <c r="J34" s="389"/>
      <c r="K34" s="394">
        <f>(+C34*E34*12)</f>
        <v>282.36</v>
      </c>
      <c r="L34" s="394">
        <f>+D34*E34*2.165</f>
        <v>0</v>
      </c>
      <c r="M34" s="394">
        <f t="shared" si="13"/>
        <v>201.60000000000002</v>
      </c>
      <c r="N34" s="394">
        <f t="shared" si="14"/>
        <v>0</v>
      </c>
      <c r="O34" s="389"/>
      <c r="P34" s="222"/>
      <c r="Q34" s="230">
        <f t="shared" si="15"/>
        <v>28.424240000000001</v>
      </c>
      <c r="R34" s="230">
        <f t="shared" ref="R34:R41" si="16">+C34*$Q34*12</f>
        <v>341.09088000000003</v>
      </c>
      <c r="S34" s="230">
        <f>+D34*$Q34*2.165</f>
        <v>0</v>
      </c>
      <c r="T34" s="394">
        <f t="shared" ref="T34:T41" si="17">+F34*(H34*$W$1)*12</f>
        <v>243.53280000000001</v>
      </c>
      <c r="U34" s="394">
        <f t="shared" ref="U34:U41" si="18">+G34*(H34*$W$1)*12</f>
        <v>0</v>
      </c>
      <c r="V34" s="230"/>
      <c r="W34" s="230"/>
      <c r="X34" s="230"/>
      <c r="Y34" s="203"/>
    </row>
    <row r="35" spans="1:25" ht="15.75">
      <c r="A35" s="473"/>
      <c r="B35" s="392" t="s">
        <v>602</v>
      </c>
      <c r="C35" s="392">
        <v>330</v>
      </c>
      <c r="D35" s="392">
        <v>215</v>
      </c>
      <c r="E35" s="393">
        <v>30.08</v>
      </c>
      <c r="F35" s="392">
        <v>85</v>
      </c>
      <c r="G35" s="392">
        <v>10</v>
      </c>
      <c r="H35" s="393">
        <v>18.649999999999999</v>
      </c>
      <c r="I35" s="389"/>
      <c r="J35" s="389"/>
      <c r="K35" s="394">
        <f>(+C35*E35*12)</f>
        <v>119116.79999999999</v>
      </c>
      <c r="L35" s="394">
        <f>+D35*E35*4</f>
        <v>25868.799999999999</v>
      </c>
      <c r="M35" s="394">
        <f t="shared" si="13"/>
        <v>19022.999999999996</v>
      </c>
      <c r="N35" s="394">
        <f t="shared" si="14"/>
        <v>186.5</v>
      </c>
      <c r="O35" s="389"/>
      <c r="P35" s="222"/>
      <c r="Q35" s="230">
        <f t="shared" si="15"/>
        <v>36.336639999999996</v>
      </c>
      <c r="R35" s="230">
        <f t="shared" si="16"/>
        <v>143893.0944</v>
      </c>
      <c r="S35" s="230">
        <f t="shared" ref="S35:S41" si="19">+D35*$Q35*4</f>
        <v>31249.510399999996</v>
      </c>
      <c r="T35" s="394">
        <f t="shared" si="17"/>
        <v>22979.783999999996</v>
      </c>
      <c r="U35" s="394">
        <f>+G35*(H35*$W$1)</f>
        <v>225.29199999999997</v>
      </c>
      <c r="V35" s="230"/>
      <c r="W35" s="230"/>
      <c r="X35" s="230"/>
      <c r="Y35" s="203"/>
    </row>
    <row r="36" spans="1:25" ht="15.75">
      <c r="A36" s="473"/>
      <c r="B36" s="392" t="s">
        <v>603</v>
      </c>
      <c r="C36" s="392">
        <v>111</v>
      </c>
      <c r="D36" s="392">
        <v>34</v>
      </c>
      <c r="E36" s="393">
        <v>43.38</v>
      </c>
      <c r="F36" s="392">
        <v>15</v>
      </c>
      <c r="G36" s="392">
        <v>2</v>
      </c>
      <c r="H36" s="393">
        <v>26.1</v>
      </c>
      <c r="I36" s="389"/>
      <c r="J36" s="389"/>
      <c r="K36" s="394">
        <f t="shared" ref="K36:K41" si="20">(+C36*E36*12)</f>
        <v>57782.16</v>
      </c>
      <c r="L36" s="394">
        <f t="shared" ref="L36:L41" si="21">+D36*E36*4</f>
        <v>5899.68</v>
      </c>
      <c r="M36" s="394">
        <f t="shared" si="13"/>
        <v>4698</v>
      </c>
      <c r="N36" s="394">
        <f t="shared" si="14"/>
        <v>52.2</v>
      </c>
      <c r="O36" s="389"/>
      <c r="P36" s="222"/>
      <c r="Q36" s="230">
        <f t="shared" si="15"/>
        <v>52.403040000000004</v>
      </c>
      <c r="R36" s="230">
        <f t="shared" si="16"/>
        <v>69800.849280000009</v>
      </c>
      <c r="S36" s="230">
        <f t="shared" si="19"/>
        <v>7126.8134400000008</v>
      </c>
      <c r="T36" s="394">
        <f t="shared" si="17"/>
        <v>5675.1840000000002</v>
      </c>
      <c r="U36" s="394">
        <f>+G36*(H36*$W$1)</f>
        <v>63.057600000000001</v>
      </c>
      <c r="V36" s="230"/>
      <c r="W36" s="230"/>
      <c r="X36" s="230"/>
      <c r="Y36" s="203"/>
    </row>
    <row r="37" spans="1:25" ht="15.75">
      <c r="A37" s="473"/>
      <c r="B37" s="392" t="s">
        <v>604</v>
      </c>
      <c r="C37" s="392">
        <v>84</v>
      </c>
      <c r="D37" s="392">
        <v>21</v>
      </c>
      <c r="E37" s="393">
        <v>55.78</v>
      </c>
      <c r="F37" s="392">
        <v>13</v>
      </c>
      <c r="G37" s="392">
        <v>0</v>
      </c>
      <c r="H37" s="393">
        <v>29.75</v>
      </c>
      <c r="I37" s="389"/>
      <c r="J37" s="389"/>
      <c r="K37" s="394">
        <f t="shared" si="20"/>
        <v>56226.240000000005</v>
      </c>
      <c r="L37" s="394">
        <f t="shared" si="21"/>
        <v>4685.5200000000004</v>
      </c>
      <c r="M37" s="394">
        <f t="shared" si="13"/>
        <v>4641</v>
      </c>
      <c r="N37" s="394">
        <f t="shared" si="14"/>
        <v>0</v>
      </c>
      <c r="O37" s="389"/>
      <c r="P37" s="222"/>
      <c r="Q37" s="230">
        <f t="shared" si="15"/>
        <v>67.382239999999996</v>
      </c>
      <c r="R37" s="230">
        <f t="shared" si="16"/>
        <v>67921.297919999997</v>
      </c>
      <c r="S37" s="230">
        <f t="shared" si="19"/>
        <v>5660.1081599999998</v>
      </c>
      <c r="T37" s="394">
        <f t="shared" si="17"/>
        <v>5606.3280000000004</v>
      </c>
      <c r="U37" s="394">
        <f t="shared" si="18"/>
        <v>0</v>
      </c>
      <c r="V37" s="230"/>
      <c r="W37" s="230"/>
      <c r="X37" s="230"/>
      <c r="Y37" s="203"/>
    </row>
    <row r="38" spans="1:25" ht="15.75">
      <c r="A38" s="473"/>
      <c r="B38" s="392" t="s">
        <v>605</v>
      </c>
      <c r="C38" s="392">
        <v>1</v>
      </c>
      <c r="D38" s="392">
        <v>6</v>
      </c>
      <c r="E38" s="393">
        <v>102.69</v>
      </c>
      <c r="F38" s="392">
        <v>3</v>
      </c>
      <c r="G38" s="392">
        <v>0</v>
      </c>
      <c r="H38" s="393">
        <v>35</v>
      </c>
      <c r="I38" s="389"/>
      <c r="J38" s="389"/>
      <c r="K38" s="394">
        <f t="shared" si="20"/>
        <v>1232.28</v>
      </c>
      <c r="L38" s="394">
        <f t="shared" si="21"/>
        <v>2464.56</v>
      </c>
      <c r="M38" s="394">
        <f t="shared" si="13"/>
        <v>1260</v>
      </c>
      <c r="N38" s="394">
        <f t="shared" si="14"/>
        <v>0</v>
      </c>
      <c r="O38" s="389"/>
      <c r="P38" s="222"/>
      <c r="Q38" s="230">
        <f t="shared" si="15"/>
        <v>124.04951999999999</v>
      </c>
      <c r="R38" s="230">
        <f t="shared" si="16"/>
        <v>1488.5942399999999</v>
      </c>
      <c r="S38" s="230">
        <f t="shared" si="19"/>
        <v>2977.1884799999998</v>
      </c>
      <c r="T38" s="394">
        <f t="shared" si="17"/>
        <v>1522.08</v>
      </c>
      <c r="U38" s="394">
        <f t="shared" si="18"/>
        <v>0</v>
      </c>
      <c r="V38" s="230"/>
      <c r="W38" s="230"/>
      <c r="X38" s="230"/>
      <c r="Y38" s="203"/>
    </row>
    <row r="39" spans="1:25" ht="15.75">
      <c r="A39" s="473"/>
      <c r="B39" s="392" t="s">
        <v>606</v>
      </c>
      <c r="C39" s="392">
        <v>436</v>
      </c>
      <c r="D39" s="392">
        <v>253</v>
      </c>
      <c r="E39" s="393">
        <v>3.97</v>
      </c>
      <c r="F39" s="389"/>
      <c r="G39" s="389"/>
      <c r="H39" s="389"/>
      <c r="I39" s="389"/>
      <c r="J39" s="389"/>
      <c r="K39" s="394">
        <f t="shared" si="20"/>
        <v>20771.04</v>
      </c>
      <c r="L39" s="394">
        <f t="shared" si="21"/>
        <v>4017.6400000000003</v>
      </c>
      <c r="M39" s="389"/>
      <c r="N39" s="389"/>
      <c r="O39" s="389"/>
      <c r="P39" s="222"/>
      <c r="Q39" s="230">
        <f t="shared" si="15"/>
        <v>4.7957600000000005</v>
      </c>
      <c r="R39" s="230">
        <f t="shared" si="16"/>
        <v>25091.41632</v>
      </c>
      <c r="S39" s="230">
        <f t="shared" si="19"/>
        <v>4853.3091200000008</v>
      </c>
      <c r="T39" s="394">
        <f t="shared" si="17"/>
        <v>0</v>
      </c>
      <c r="U39" s="394">
        <f t="shared" si="18"/>
        <v>0</v>
      </c>
      <c r="V39" s="230"/>
      <c r="W39" s="230"/>
      <c r="X39" s="230"/>
      <c r="Y39" s="203"/>
    </row>
    <row r="40" spans="1:25" ht="15.75">
      <c r="A40" s="473"/>
      <c r="B40" s="392" t="s">
        <v>607</v>
      </c>
      <c r="C40" s="392">
        <v>11</v>
      </c>
      <c r="D40" s="392">
        <v>110</v>
      </c>
      <c r="E40" s="393">
        <v>14.59</v>
      </c>
      <c r="F40" s="389"/>
      <c r="G40" s="389"/>
      <c r="H40" s="389"/>
      <c r="I40" s="389"/>
      <c r="J40" s="389"/>
      <c r="K40" s="394">
        <f t="shared" si="20"/>
        <v>1925.88</v>
      </c>
      <c r="L40" s="394">
        <f t="shared" si="21"/>
        <v>6419.6</v>
      </c>
      <c r="M40" s="389"/>
      <c r="N40" s="389"/>
      <c r="O40" s="389"/>
      <c r="P40" s="222"/>
      <c r="Q40" s="230">
        <f t="shared" si="15"/>
        <v>17.62472</v>
      </c>
      <c r="R40" s="230">
        <f t="shared" si="16"/>
        <v>2326.4630399999996</v>
      </c>
      <c r="S40" s="230">
        <f t="shared" si="19"/>
        <v>7754.8768</v>
      </c>
      <c r="T40" s="394">
        <f t="shared" si="17"/>
        <v>0</v>
      </c>
      <c r="U40" s="394">
        <f t="shared" si="18"/>
        <v>0</v>
      </c>
      <c r="V40" s="230"/>
      <c r="W40" s="230"/>
      <c r="X40" s="230"/>
      <c r="Y40" s="203"/>
    </row>
    <row r="41" spans="1:25" ht="15.75">
      <c r="A41" s="474"/>
      <c r="B41" s="392" t="s">
        <v>608</v>
      </c>
      <c r="C41" s="392">
        <v>267</v>
      </c>
      <c r="D41" s="392">
        <v>90</v>
      </c>
      <c r="E41" s="393">
        <v>4.05</v>
      </c>
      <c r="F41" s="389"/>
      <c r="G41" s="389"/>
      <c r="H41" s="389"/>
      <c r="I41" s="389"/>
      <c r="J41" s="389"/>
      <c r="K41" s="395">
        <f t="shared" si="20"/>
        <v>12976.199999999999</v>
      </c>
      <c r="L41" s="395">
        <f t="shared" si="21"/>
        <v>1458</v>
      </c>
      <c r="M41" s="399"/>
      <c r="N41" s="399"/>
      <c r="O41" s="389"/>
      <c r="P41" s="222"/>
      <c r="Q41" s="230">
        <f t="shared" si="15"/>
        <v>4.8923999999999994</v>
      </c>
      <c r="R41" s="249">
        <f t="shared" si="16"/>
        <v>15675.249599999997</v>
      </c>
      <c r="S41" s="249">
        <f t="shared" si="19"/>
        <v>1761.2639999999999</v>
      </c>
      <c r="T41" s="395">
        <f t="shared" si="17"/>
        <v>0</v>
      </c>
      <c r="U41" s="395">
        <f t="shared" si="18"/>
        <v>0</v>
      </c>
      <c r="V41" s="230"/>
      <c r="W41" s="230"/>
      <c r="X41" s="230"/>
      <c r="Y41" s="203"/>
    </row>
    <row r="42" spans="1:25" ht="15.75">
      <c r="A42" s="389" t="s">
        <v>609</v>
      </c>
      <c r="B42" s="389"/>
      <c r="C42" s="389"/>
      <c r="D42" s="389"/>
      <c r="E42" s="389"/>
      <c r="F42" s="389"/>
      <c r="G42" s="389"/>
      <c r="H42" s="389"/>
      <c r="I42" s="389"/>
      <c r="J42" s="389"/>
      <c r="K42" s="394">
        <f>SUM(K33:K41)</f>
        <v>339276.96</v>
      </c>
      <c r="L42" s="394">
        <f>SUM(L33:L41)</f>
        <v>53657.743999999999</v>
      </c>
      <c r="M42" s="394">
        <f>SUM(M33:M41)</f>
        <v>53067.599999999991</v>
      </c>
      <c r="N42" s="394">
        <f>SUM(N33:N41)</f>
        <v>238.7</v>
      </c>
      <c r="O42" s="394"/>
      <c r="P42" s="222"/>
      <c r="Q42" s="230"/>
      <c r="R42" s="230">
        <f>SUM(R33:R41)</f>
        <v>409846.56768000004</v>
      </c>
      <c r="S42" s="230">
        <f>SUM(S33:S41)</f>
        <v>64818.554751999996</v>
      </c>
      <c r="T42" s="230">
        <f>SUM(T33:T41)</f>
        <v>64105.660799999998</v>
      </c>
      <c r="U42" s="230">
        <f>SUM(U33:U41)</f>
        <v>288.34959999999995</v>
      </c>
      <c r="V42" s="230"/>
      <c r="W42" s="230"/>
      <c r="X42" s="230"/>
      <c r="Y42" s="203"/>
    </row>
    <row r="43" spans="1:25" ht="15.75">
      <c r="A43" s="389"/>
      <c r="B43" s="389"/>
      <c r="C43" s="389">
        <f>SUM(C33:C41)</f>
        <v>1591</v>
      </c>
      <c r="D43" s="389">
        <f>SUM(D33:D41)</f>
        <v>809</v>
      </c>
      <c r="E43" s="389"/>
      <c r="F43" s="389"/>
      <c r="G43" s="389"/>
      <c r="H43" s="389"/>
      <c r="I43" s="389"/>
      <c r="J43" s="389"/>
      <c r="K43" s="399"/>
      <c r="L43" s="399"/>
      <c r="M43" s="399"/>
      <c r="N43" s="399"/>
      <c r="O43" s="389"/>
      <c r="P43" s="222"/>
      <c r="Q43" s="230"/>
      <c r="R43" s="249"/>
      <c r="S43" s="249"/>
      <c r="T43" s="249"/>
      <c r="U43" s="249"/>
      <c r="V43" s="230"/>
      <c r="W43" s="230"/>
      <c r="X43" s="230"/>
      <c r="Y43" s="203"/>
    </row>
    <row r="44" spans="1:25" ht="15.75">
      <c r="A44" s="389"/>
      <c r="B44" s="389"/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222"/>
      <c r="Q44" s="230"/>
      <c r="R44" s="230"/>
      <c r="S44" s="230"/>
      <c r="T44" s="230"/>
      <c r="U44" s="230"/>
      <c r="V44" s="230"/>
      <c r="W44" s="230"/>
      <c r="X44" s="230"/>
      <c r="Y44" s="203"/>
    </row>
    <row r="45" spans="1:25" ht="15.75">
      <c r="A45" s="389" t="s">
        <v>103</v>
      </c>
      <c r="B45" s="389"/>
      <c r="C45" s="389"/>
      <c r="D45" s="389"/>
      <c r="E45" s="389"/>
      <c r="F45" s="389"/>
      <c r="G45" s="389"/>
      <c r="H45" s="389"/>
      <c r="I45" s="389"/>
      <c r="J45" s="389"/>
      <c r="K45" s="394">
        <f>+K27+K42</f>
        <v>352857.96</v>
      </c>
      <c r="L45" s="394">
        <f>+L27+L42</f>
        <v>54371.743999999999</v>
      </c>
      <c r="M45" s="394">
        <f>+M27+M42</f>
        <v>67362.599999999991</v>
      </c>
      <c r="N45" s="394">
        <f>+N27+N42</f>
        <v>238.7</v>
      </c>
      <c r="O45" s="394">
        <f>SUM(K45:N45)</f>
        <v>474831.00400000002</v>
      </c>
      <c r="P45" s="222"/>
      <c r="Q45" s="230"/>
      <c r="R45" s="230">
        <f>+R27+R42</f>
        <v>426252.41568000003</v>
      </c>
      <c r="S45" s="230">
        <f>+S27+S42</f>
        <v>65681.066751999999</v>
      </c>
      <c r="T45" s="230">
        <f>+T27+T42</f>
        <v>81374.020799999998</v>
      </c>
      <c r="U45" s="230">
        <f>+U27+U42</f>
        <v>288.34959999999995</v>
      </c>
      <c r="V45" s="230">
        <f>SUM(R45:U45)</f>
        <v>573595.852832</v>
      </c>
      <c r="W45" s="230"/>
      <c r="X45" s="230"/>
      <c r="Y45" s="203"/>
    </row>
    <row r="46" spans="1:25" ht="15.75">
      <c r="A46" s="389"/>
      <c r="B46" s="389"/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222"/>
      <c r="Q46" s="230"/>
      <c r="R46" s="230"/>
      <c r="S46" s="230"/>
      <c r="T46" s="230"/>
      <c r="U46" s="230"/>
      <c r="V46" s="230"/>
      <c r="W46" s="230"/>
      <c r="X46" s="230"/>
      <c r="Y46" s="203"/>
    </row>
    <row r="47" spans="1:25" ht="15.75">
      <c r="A47" s="389"/>
      <c r="B47" s="389"/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222"/>
      <c r="Q47" s="230"/>
      <c r="R47" s="230"/>
      <c r="S47" s="230"/>
      <c r="T47" s="230"/>
      <c r="U47" s="230"/>
      <c r="V47" s="230"/>
      <c r="W47" s="230"/>
      <c r="X47" s="230"/>
      <c r="Y47" s="203"/>
    </row>
    <row r="48" spans="1:25" ht="15.75">
      <c r="A48" s="464" t="s">
        <v>446</v>
      </c>
      <c r="B48" s="464"/>
      <c r="C48" s="464"/>
      <c r="D48" s="464"/>
      <c r="E48" s="464"/>
      <c r="F48" s="464"/>
      <c r="G48" s="464"/>
      <c r="H48" s="464"/>
      <c r="I48" s="389"/>
      <c r="J48" s="389"/>
      <c r="K48" s="389"/>
      <c r="L48" s="389"/>
      <c r="M48" s="389"/>
      <c r="N48" s="389"/>
      <c r="O48" s="389"/>
      <c r="P48" s="222"/>
      <c r="Q48" s="230"/>
      <c r="R48" s="230"/>
      <c r="S48" s="230"/>
      <c r="T48" s="230"/>
      <c r="U48" s="230"/>
      <c r="V48" s="230"/>
      <c r="W48" s="230"/>
      <c r="X48" s="230"/>
      <c r="Y48" s="203"/>
    </row>
    <row r="49" spans="1:25" ht="15.75">
      <c r="A49" s="400"/>
      <c r="B49" s="401">
        <v>43800</v>
      </c>
      <c r="C49" s="401">
        <v>43647</v>
      </c>
      <c r="D49" s="401">
        <v>43497</v>
      </c>
      <c r="E49" s="401">
        <v>43709</v>
      </c>
      <c r="F49" s="401">
        <v>43617</v>
      </c>
      <c r="G49" s="401">
        <v>43556</v>
      </c>
      <c r="H49" s="400" t="s">
        <v>423</v>
      </c>
      <c r="I49" s="400" t="s">
        <v>48</v>
      </c>
      <c r="J49" s="389"/>
      <c r="K49" s="389" t="s">
        <v>573</v>
      </c>
      <c r="L49" s="389" t="s">
        <v>595</v>
      </c>
      <c r="M49" s="389" t="s">
        <v>610</v>
      </c>
      <c r="N49" s="389"/>
      <c r="O49" s="389"/>
      <c r="P49" s="222"/>
      <c r="Q49" s="230"/>
      <c r="R49" s="230" t="s">
        <v>573</v>
      </c>
      <c r="S49" s="230" t="s">
        <v>595</v>
      </c>
      <c r="T49" s="230" t="s">
        <v>610</v>
      </c>
      <c r="U49" s="230"/>
      <c r="V49" s="230"/>
      <c r="W49" s="230"/>
      <c r="X49" s="230"/>
      <c r="Y49" s="203"/>
    </row>
    <row r="50" spans="1:25" ht="15.75">
      <c r="A50" s="392" t="s">
        <v>611</v>
      </c>
      <c r="B50" s="392">
        <v>0</v>
      </c>
      <c r="C50" s="392">
        <v>12</v>
      </c>
      <c r="D50" s="392">
        <v>1</v>
      </c>
      <c r="E50" s="392">
        <v>11</v>
      </c>
      <c r="F50" s="392">
        <v>4</v>
      </c>
      <c r="G50" s="392">
        <v>12</v>
      </c>
      <c r="H50" s="402">
        <f>SUM(B50:G50)/6</f>
        <v>6.666666666666667</v>
      </c>
      <c r="I50" s="393">
        <v>79.95</v>
      </c>
      <c r="J50" s="389"/>
      <c r="K50" s="394">
        <f>+H50*I50*12</f>
        <v>6396</v>
      </c>
      <c r="L50" s="389"/>
      <c r="M50" s="389"/>
      <c r="N50" s="394">
        <f>SUM(K50:M50)</f>
        <v>6396</v>
      </c>
      <c r="O50" s="389"/>
      <c r="P50" s="222"/>
      <c r="Q50" s="230">
        <f>+I50*W1</f>
        <v>96.579599999999999</v>
      </c>
      <c r="R50" s="230">
        <f>+H50*$Q50*12</f>
        <v>7726.3680000000004</v>
      </c>
      <c r="S50" s="230"/>
      <c r="T50" s="230"/>
      <c r="U50" s="230">
        <f>SUM(R50:T50)</f>
        <v>7726.3680000000004</v>
      </c>
      <c r="V50" s="230"/>
      <c r="W50" s="230"/>
      <c r="X50" s="230"/>
      <c r="Y50" s="203"/>
    </row>
    <row r="51" spans="1:25" ht="15.75">
      <c r="A51" s="392" t="s">
        <v>612</v>
      </c>
      <c r="B51" s="392">
        <v>8</v>
      </c>
      <c r="C51" s="392">
        <v>27</v>
      </c>
      <c r="D51" s="392">
        <v>3</v>
      </c>
      <c r="E51" s="392">
        <v>25</v>
      </c>
      <c r="F51" s="392">
        <v>14</v>
      </c>
      <c r="G51" s="392">
        <v>14</v>
      </c>
      <c r="H51" s="402">
        <f t="shared" ref="H51:H56" si="22">SUM(B51:G51)/6</f>
        <v>15.166666666666666</v>
      </c>
      <c r="I51" s="393">
        <v>123</v>
      </c>
      <c r="J51" s="389"/>
      <c r="K51" s="394">
        <f>+H51*I51*12</f>
        <v>22386</v>
      </c>
      <c r="L51" s="389"/>
      <c r="M51" s="389"/>
      <c r="N51" s="394">
        <f t="shared" ref="N51:N56" si="23">SUM(K51:M51)</f>
        <v>22386</v>
      </c>
      <c r="O51" s="389"/>
      <c r="P51" s="222"/>
      <c r="Q51" s="230">
        <f>+I51*W1</f>
        <v>148.584</v>
      </c>
      <c r="R51" s="230">
        <f>+H51*$Q51*12</f>
        <v>27042.288</v>
      </c>
      <c r="S51" s="230"/>
      <c r="T51" s="230"/>
      <c r="U51" s="230">
        <f t="shared" ref="U51:U56" si="24">SUM(R51:T51)</f>
        <v>27042.288</v>
      </c>
      <c r="V51" s="230"/>
      <c r="W51" s="230"/>
      <c r="X51" s="230"/>
      <c r="Y51" s="203"/>
    </row>
    <row r="52" spans="1:25" ht="15.75">
      <c r="A52" s="392" t="s">
        <v>613</v>
      </c>
      <c r="B52" s="392">
        <v>1</v>
      </c>
      <c r="C52" s="392">
        <v>1</v>
      </c>
      <c r="D52" s="392">
        <v>1</v>
      </c>
      <c r="E52" s="392">
        <v>1</v>
      </c>
      <c r="F52" s="392">
        <v>1</v>
      </c>
      <c r="G52" s="392">
        <v>1</v>
      </c>
      <c r="H52" s="402">
        <f t="shared" si="22"/>
        <v>1</v>
      </c>
      <c r="I52" s="393">
        <v>147.35</v>
      </c>
      <c r="J52" s="389"/>
      <c r="K52" s="394">
        <f>+H52*I52*12</f>
        <v>1768.1999999999998</v>
      </c>
      <c r="L52" s="389"/>
      <c r="M52" s="389"/>
      <c r="N52" s="394">
        <f t="shared" si="23"/>
        <v>1768.1999999999998</v>
      </c>
      <c r="O52" s="389"/>
      <c r="P52" s="222"/>
      <c r="Q52" s="230">
        <f>+I52*W1</f>
        <v>177.99879999999999</v>
      </c>
      <c r="R52" s="230">
        <f>+H52*$Q52*12</f>
        <v>2135.9856</v>
      </c>
      <c r="S52" s="230"/>
      <c r="T52" s="230"/>
      <c r="U52" s="230">
        <f t="shared" si="24"/>
        <v>2135.9856</v>
      </c>
      <c r="V52" s="230"/>
      <c r="W52" s="230"/>
      <c r="X52" s="230"/>
      <c r="Y52" s="203"/>
    </row>
    <row r="53" spans="1:25" ht="15.75">
      <c r="A53" s="392" t="s">
        <v>614</v>
      </c>
      <c r="B53" s="392">
        <v>27</v>
      </c>
      <c r="C53" s="392">
        <v>129</v>
      </c>
      <c r="D53" s="392">
        <v>30</v>
      </c>
      <c r="E53" s="392">
        <v>163</v>
      </c>
      <c r="F53" s="392">
        <v>131</v>
      </c>
      <c r="G53" s="392">
        <v>101</v>
      </c>
      <c r="H53" s="402">
        <f t="shared" si="22"/>
        <v>96.833333333333329</v>
      </c>
      <c r="I53" s="393">
        <v>4.3499999999999996</v>
      </c>
      <c r="J53" s="389"/>
      <c r="K53" s="394"/>
      <c r="L53" s="394">
        <f>+H53*I53*12</f>
        <v>5054.7</v>
      </c>
      <c r="M53" s="389"/>
      <c r="N53" s="394">
        <f t="shared" si="23"/>
        <v>5054.7</v>
      </c>
      <c r="O53" s="389"/>
      <c r="P53" s="222"/>
      <c r="Q53" s="230"/>
      <c r="R53" s="230"/>
      <c r="S53" s="230">
        <f>+H53*(I53*$W$1)*12</f>
        <v>6106.0775999999987</v>
      </c>
      <c r="T53" s="230"/>
      <c r="U53" s="230">
        <f t="shared" si="24"/>
        <v>6106.0775999999987</v>
      </c>
      <c r="V53" s="230"/>
      <c r="W53" s="230"/>
      <c r="X53" s="230"/>
      <c r="Y53" s="203"/>
    </row>
    <row r="54" spans="1:25" ht="15.75">
      <c r="A54" s="392" t="s">
        <v>615</v>
      </c>
      <c r="B54" s="392">
        <v>0</v>
      </c>
      <c r="C54" s="392">
        <v>5</v>
      </c>
      <c r="D54" s="392">
        <v>2</v>
      </c>
      <c r="E54" s="392">
        <v>4</v>
      </c>
      <c r="F54" s="392">
        <v>2</v>
      </c>
      <c r="G54" s="392">
        <v>11</v>
      </c>
      <c r="H54" s="402">
        <f t="shared" si="22"/>
        <v>4</v>
      </c>
      <c r="I54" s="393">
        <v>139</v>
      </c>
      <c r="J54" s="389"/>
      <c r="K54" s="394">
        <f>+H54*I54*12</f>
        <v>6672</v>
      </c>
      <c r="L54" s="389"/>
      <c r="M54" s="389"/>
      <c r="N54" s="394">
        <f t="shared" si="23"/>
        <v>6672</v>
      </c>
      <c r="O54" s="389"/>
      <c r="P54" s="222"/>
      <c r="Q54" s="230">
        <f>+I54*W1</f>
        <v>167.91200000000001</v>
      </c>
      <c r="R54" s="230">
        <f>+H54*$Q54*12</f>
        <v>8059.7759999999998</v>
      </c>
      <c r="S54" s="230"/>
      <c r="T54" s="230"/>
      <c r="U54" s="230">
        <f t="shared" si="24"/>
        <v>8059.7759999999998</v>
      </c>
      <c r="V54" s="230"/>
      <c r="W54" s="230"/>
      <c r="X54" s="230"/>
      <c r="Y54" s="203"/>
    </row>
    <row r="55" spans="1:25" ht="15.75">
      <c r="A55" s="392" t="s">
        <v>616</v>
      </c>
      <c r="B55" s="392">
        <v>0</v>
      </c>
      <c r="C55" s="392">
        <v>17</v>
      </c>
      <c r="D55" s="392">
        <v>3</v>
      </c>
      <c r="E55" s="392">
        <v>43</v>
      </c>
      <c r="F55" s="392">
        <v>10</v>
      </c>
      <c r="G55" s="392">
        <v>29</v>
      </c>
      <c r="H55" s="402">
        <f t="shared" si="22"/>
        <v>17</v>
      </c>
      <c r="I55" s="393">
        <v>5.5</v>
      </c>
      <c r="J55" s="389"/>
      <c r="K55" s="394"/>
      <c r="L55" s="394">
        <f>+H55*I55*12</f>
        <v>1122</v>
      </c>
      <c r="M55" s="389"/>
      <c r="N55" s="394">
        <f t="shared" si="23"/>
        <v>1122</v>
      </c>
      <c r="O55" s="389"/>
      <c r="P55" s="222"/>
      <c r="Q55" s="230">
        <f>+I55*W1</f>
        <v>6.6440000000000001</v>
      </c>
      <c r="R55" s="230"/>
      <c r="S55" s="230">
        <f>+H55*(I55*$W$1)*12</f>
        <v>1355.3760000000002</v>
      </c>
      <c r="T55" s="230"/>
      <c r="U55" s="230">
        <f t="shared" si="24"/>
        <v>1355.3760000000002</v>
      </c>
      <c r="V55" s="230"/>
      <c r="W55" s="230"/>
      <c r="X55" s="230"/>
      <c r="Y55" s="203"/>
    </row>
    <row r="56" spans="1:25" ht="15.75">
      <c r="A56" s="392" t="s">
        <v>610</v>
      </c>
      <c r="B56" s="392">
        <v>232</v>
      </c>
      <c r="C56" s="392">
        <v>716</v>
      </c>
      <c r="D56" s="392">
        <v>129</v>
      </c>
      <c r="E56" s="392">
        <v>813</v>
      </c>
      <c r="F56" s="392">
        <v>394</v>
      </c>
      <c r="G56" s="392">
        <v>527</v>
      </c>
      <c r="H56" s="402">
        <f t="shared" si="22"/>
        <v>468.5</v>
      </c>
      <c r="I56" s="393">
        <v>3.4</v>
      </c>
      <c r="J56" s="389"/>
      <c r="K56" s="394"/>
      <c r="L56" s="389"/>
      <c r="M56" s="394">
        <f>+H56*I56*12</f>
        <v>19114.8</v>
      </c>
      <c r="N56" s="394">
        <f t="shared" si="23"/>
        <v>19114.8</v>
      </c>
      <c r="O56" s="389"/>
      <c r="P56" s="222"/>
      <c r="Q56" s="230">
        <f>+I56*W1</f>
        <v>4.1071999999999997</v>
      </c>
      <c r="R56" s="230"/>
      <c r="S56" s="230"/>
      <c r="T56" s="230">
        <f>+H56*(I56*W1)*12</f>
        <v>23090.678399999997</v>
      </c>
      <c r="U56" s="230">
        <f t="shared" si="24"/>
        <v>23090.678399999997</v>
      </c>
      <c r="V56" s="230"/>
      <c r="W56" s="230"/>
      <c r="X56" s="230"/>
      <c r="Y56" s="203"/>
    </row>
    <row r="57" spans="1:25" ht="15.75">
      <c r="A57" s="392" t="s">
        <v>617</v>
      </c>
      <c r="B57" s="392"/>
      <c r="C57" s="392" t="s">
        <v>356</v>
      </c>
      <c r="D57" s="392"/>
      <c r="E57" s="392"/>
      <c r="F57" s="392"/>
      <c r="G57" s="392"/>
      <c r="H57" s="392">
        <f>SUM(B57:F57)/5</f>
        <v>0</v>
      </c>
      <c r="I57" s="393"/>
      <c r="J57" s="389"/>
      <c r="K57" s="399"/>
      <c r="L57" s="399"/>
      <c r="M57" s="399"/>
      <c r="N57" s="399"/>
      <c r="O57" s="389"/>
      <c r="P57" s="222"/>
      <c r="Q57" s="230">
        <f>+I57*W1</f>
        <v>0</v>
      </c>
      <c r="R57" s="249"/>
      <c r="S57" s="249"/>
      <c r="T57" s="249"/>
      <c r="U57" s="249"/>
      <c r="V57" s="230"/>
      <c r="W57" s="230"/>
      <c r="X57" s="230"/>
      <c r="Y57" s="203"/>
    </row>
    <row r="58" spans="1:25" ht="15.75">
      <c r="A58" s="389"/>
      <c r="B58" s="389"/>
      <c r="C58" s="389"/>
      <c r="D58" s="389"/>
      <c r="E58" s="389"/>
      <c r="F58" s="389"/>
      <c r="G58" s="389"/>
      <c r="H58" s="389"/>
      <c r="I58" s="389"/>
      <c r="J58" s="389"/>
      <c r="K58" s="394">
        <f>SUM(K50:K57)</f>
        <v>37222.199999999997</v>
      </c>
      <c r="L58" s="394">
        <f>SUM(L50:L57)</f>
        <v>6176.7</v>
      </c>
      <c r="M58" s="394">
        <f>SUM(M50:M57)</f>
        <v>19114.8</v>
      </c>
      <c r="N58" s="394">
        <f>SUM(N50:N57)</f>
        <v>62513.7</v>
      </c>
      <c r="O58" s="394"/>
      <c r="P58" s="222"/>
      <c r="Q58" s="230"/>
      <c r="R58" s="230">
        <f>SUM(R50:R57)</f>
        <v>44964.417600000001</v>
      </c>
      <c r="S58" s="230">
        <f>SUM(S50:S57)</f>
        <v>7461.4535999999989</v>
      </c>
      <c r="T58" s="230">
        <f>SUM(T50:T57)</f>
        <v>23090.678399999997</v>
      </c>
      <c r="U58" s="230">
        <f>SUM(U50:U57)</f>
        <v>75516.549599999998</v>
      </c>
      <c r="V58" s="230">
        <f>+U58</f>
        <v>75516.549599999998</v>
      </c>
      <c r="W58" s="230"/>
      <c r="X58" s="230"/>
      <c r="Y58" s="203"/>
    </row>
    <row r="59" spans="1:25" ht="15.75">
      <c r="A59" s="389"/>
      <c r="B59" s="389"/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222"/>
      <c r="Q59" s="230"/>
      <c r="R59" s="230"/>
      <c r="S59" s="230"/>
      <c r="T59" s="230"/>
      <c r="U59" s="230"/>
      <c r="V59" s="230"/>
      <c r="W59" s="230"/>
      <c r="X59" s="230"/>
      <c r="Y59" s="203"/>
    </row>
    <row r="60" spans="1:25" ht="15.75">
      <c r="A60" s="389"/>
      <c r="B60" s="389"/>
      <c r="C60" s="389"/>
      <c r="D60" s="389"/>
      <c r="E60" s="389"/>
      <c r="F60" s="389"/>
      <c r="G60" s="389"/>
      <c r="H60" s="389"/>
      <c r="I60" s="389"/>
      <c r="J60" s="389"/>
      <c r="K60" s="403" t="s">
        <v>627</v>
      </c>
      <c r="L60" s="389"/>
      <c r="M60" s="389"/>
      <c r="N60" s="398">
        <f>+M14+M17+O45+N58</f>
        <v>887215.304</v>
      </c>
      <c r="O60" s="398"/>
      <c r="P60" s="435"/>
      <c r="Q60" s="398"/>
      <c r="R60" s="433" t="s">
        <v>627</v>
      </c>
      <c r="S60" s="398"/>
      <c r="T60" s="398"/>
      <c r="U60" s="398">
        <f>+T14+T16+T17+V45+U58</f>
        <v>1064235.1592319999</v>
      </c>
      <c r="V60" s="398">
        <f>SUM(V4:V58)</f>
        <v>1064235.1592319999</v>
      </c>
      <c r="W60" s="398"/>
      <c r="X60" s="398"/>
      <c r="Y60" s="435"/>
    </row>
    <row r="61" spans="1:25" ht="15.75">
      <c r="A61" s="435"/>
      <c r="B61" s="435"/>
      <c r="C61" s="435"/>
      <c r="D61" s="435"/>
      <c r="E61" s="435"/>
      <c r="F61" s="435"/>
      <c r="G61" s="435"/>
      <c r="H61" s="435"/>
      <c r="I61" s="435"/>
      <c r="J61" s="435"/>
      <c r="K61" s="435"/>
      <c r="L61" s="435"/>
      <c r="M61" s="435"/>
      <c r="N61" s="435"/>
      <c r="O61" s="435"/>
      <c r="P61" s="435"/>
      <c r="Q61" s="398"/>
      <c r="R61" s="398"/>
      <c r="S61" s="398"/>
      <c r="T61" s="398"/>
      <c r="U61" s="398"/>
      <c r="V61" s="398"/>
      <c r="W61" s="398"/>
      <c r="X61" s="398"/>
      <c r="Y61" s="435"/>
    </row>
    <row r="62" spans="1:25" ht="15.75">
      <c r="A62" s="435"/>
      <c r="B62" s="435"/>
      <c r="C62" s="435"/>
      <c r="D62" s="435"/>
      <c r="E62" s="435"/>
      <c r="F62" s="435"/>
      <c r="G62" s="435"/>
      <c r="H62" s="435"/>
      <c r="I62" s="435"/>
      <c r="J62" s="435"/>
      <c r="K62" s="435" t="s">
        <v>661</v>
      </c>
      <c r="L62" s="435"/>
      <c r="M62" s="435"/>
      <c r="N62" s="396">
        <f>+Results!I10</f>
        <v>41942.345000000016</v>
      </c>
      <c r="O62" s="435"/>
      <c r="P62" s="435"/>
      <c r="Q62" s="398"/>
      <c r="R62" s="398"/>
      <c r="S62" s="398"/>
      <c r="T62" s="398"/>
      <c r="U62" s="398">
        <f>+N62</f>
        <v>41942.345000000016</v>
      </c>
      <c r="V62" s="398"/>
      <c r="W62" s="398"/>
      <c r="X62" s="398"/>
      <c r="Y62" s="435"/>
    </row>
    <row r="63" spans="1:25" ht="15.75">
      <c r="A63" s="435"/>
      <c r="B63" s="435"/>
      <c r="C63" s="435"/>
      <c r="D63" s="435"/>
      <c r="E63" s="435"/>
      <c r="F63" s="435"/>
      <c r="G63" s="435"/>
      <c r="H63" s="435"/>
      <c r="I63" s="435"/>
      <c r="J63" s="435"/>
      <c r="K63" s="435"/>
      <c r="L63" s="435"/>
      <c r="M63" s="435"/>
      <c r="N63" s="398">
        <f>SUM(N60:N62)</f>
        <v>929157.64899999998</v>
      </c>
      <c r="O63" s="435"/>
      <c r="P63" s="435"/>
      <c r="Q63" s="398"/>
      <c r="R63" s="398"/>
      <c r="S63" s="398"/>
      <c r="T63" s="398"/>
      <c r="U63" s="398">
        <f>+U60+U62</f>
        <v>1106177.5042319999</v>
      </c>
      <c r="V63" s="398"/>
      <c r="W63" s="398"/>
      <c r="X63" s="398"/>
      <c r="Y63" s="435"/>
    </row>
    <row r="64" spans="1:25" ht="15.75">
      <c r="A64" s="435"/>
      <c r="B64" s="435"/>
      <c r="C64" s="435"/>
      <c r="D64" s="435"/>
      <c r="E64" s="435"/>
      <c r="F64" s="435"/>
      <c r="G64" s="435"/>
      <c r="H64" s="435"/>
      <c r="I64" s="435"/>
      <c r="J64" s="435"/>
      <c r="K64" s="435"/>
      <c r="L64" s="435"/>
      <c r="M64" s="435"/>
      <c r="N64" s="435"/>
      <c r="O64" s="435"/>
      <c r="P64" s="435"/>
      <c r="Q64" s="398"/>
      <c r="R64" s="398"/>
      <c r="S64" s="398"/>
      <c r="T64" s="398"/>
      <c r="U64" s="398">
        <f ca="1">+'LG Nonpublic 2018 V5.2a'!M7</f>
        <v>1105668.444518598</v>
      </c>
      <c r="V64" s="398"/>
      <c r="W64" s="398"/>
      <c r="X64" s="398"/>
      <c r="Y64" s="435"/>
    </row>
    <row r="65" spans="1:25" ht="15.75">
      <c r="A65" s="435"/>
      <c r="B65" s="435"/>
      <c r="C65" s="435"/>
      <c r="D65" s="435"/>
      <c r="E65" s="435"/>
      <c r="F65" s="435"/>
      <c r="G65" s="435"/>
      <c r="H65" s="435"/>
      <c r="I65" s="435"/>
      <c r="J65" s="435"/>
      <c r="K65" s="435"/>
      <c r="L65" s="435"/>
      <c r="M65" s="435"/>
      <c r="N65" s="435"/>
      <c r="O65" s="435"/>
      <c r="P65" s="435"/>
      <c r="Q65" s="398"/>
      <c r="R65" s="398"/>
      <c r="S65" s="398"/>
      <c r="T65" s="398"/>
      <c r="U65" s="398">
        <f ca="1">+U64-U63</f>
        <v>-509.05971340183169</v>
      </c>
      <c r="V65" s="398"/>
      <c r="W65" s="398"/>
      <c r="X65" s="398"/>
      <c r="Y65" s="435"/>
    </row>
    <row r="66" spans="1:25" ht="15.75">
      <c r="A66" s="435"/>
      <c r="B66" s="435"/>
      <c r="C66" s="435"/>
      <c r="D66" s="435"/>
      <c r="E66" s="435"/>
      <c r="F66" s="435"/>
      <c r="G66" s="435"/>
      <c r="H66" s="435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5"/>
      <c r="Y66" s="435"/>
    </row>
    <row r="67" spans="1:25" ht="15.75">
      <c r="A67" s="435"/>
      <c r="B67" s="435"/>
      <c r="C67" s="435"/>
      <c r="D67" s="435"/>
      <c r="E67" s="435"/>
      <c r="F67" s="435"/>
      <c r="G67" s="435"/>
      <c r="H67" s="435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5"/>
      <c r="Y67" s="435"/>
    </row>
    <row r="68" spans="1:25" ht="15.75">
      <c r="A68" s="435"/>
      <c r="B68" s="435"/>
      <c r="C68" s="435"/>
      <c r="D68" s="435"/>
      <c r="E68" s="435"/>
      <c r="F68" s="435"/>
      <c r="G68" s="435"/>
      <c r="H68" s="435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5"/>
      <c r="Y68" s="435"/>
    </row>
    <row r="69" spans="1:25" ht="15.75">
      <c r="A69" s="435"/>
      <c r="B69" s="435"/>
      <c r="C69" s="435"/>
      <c r="D69" s="435"/>
      <c r="E69" s="435"/>
      <c r="F69" s="435"/>
      <c r="G69" s="435"/>
      <c r="H69" s="435"/>
      <c r="I69" s="435"/>
      <c r="J69" s="435"/>
      <c r="K69" s="435"/>
      <c r="L69" s="435"/>
      <c r="M69" s="435"/>
      <c r="N69" s="435"/>
      <c r="O69" s="435"/>
      <c r="P69" s="435"/>
      <c r="Q69" s="435"/>
      <c r="R69" s="435"/>
      <c r="S69" s="435"/>
      <c r="T69" s="435"/>
      <c r="U69" s="435"/>
      <c r="V69" s="435"/>
      <c r="W69" s="435"/>
      <c r="X69" s="435"/>
      <c r="Y69" s="435"/>
    </row>
    <row r="70" spans="1:25" ht="15.75">
      <c r="A70" s="435"/>
      <c r="B70" s="435"/>
      <c r="C70" s="435"/>
      <c r="D70" s="435"/>
      <c r="E70" s="435"/>
      <c r="F70" s="435"/>
      <c r="G70" s="435"/>
      <c r="H70" s="435"/>
      <c r="I70" s="435"/>
      <c r="J70" s="435"/>
      <c r="K70" s="435"/>
      <c r="L70" s="435"/>
      <c r="M70" s="435"/>
      <c r="N70" s="435"/>
      <c r="O70" s="435"/>
      <c r="P70" s="435"/>
      <c r="Q70" s="435"/>
      <c r="R70" s="435"/>
      <c r="S70" s="435"/>
      <c r="T70" s="435"/>
      <c r="U70" s="435"/>
      <c r="V70" s="435"/>
      <c r="W70" s="435"/>
      <c r="X70" s="435"/>
      <c r="Y70" s="435"/>
    </row>
    <row r="71" spans="1:25" ht="15.75">
      <c r="A71" s="435"/>
      <c r="B71" s="435"/>
      <c r="C71" s="435"/>
      <c r="D71" s="435"/>
      <c r="E71" s="435"/>
      <c r="F71" s="435"/>
      <c r="G71" s="435"/>
      <c r="H71" s="435"/>
      <c r="I71" s="435"/>
      <c r="J71" s="435"/>
      <c r="K71" s="435"/>
      <c r="L71" s="435"/>
      <c r="M71" s="435"/>
      <c r="N71" s="435"/>
      <c r="O71" s="435"/>
      <c r="P71" s="435"/>
      <c r="Q71" s="435"/>
      <c r="R71" s="435"/>
      <c r="S71" s="435"/>
      <c r="T71" s="435"/>
      <c r="U71" s="435"/>
      <c r="V71" s="435"/>
      <c r="W71" s="435"/>
      <c r="X71" s="435"/>
      <c r="Y71" s="435"/>
    </row>
    <row r="72" spans="1:25" ht="15.75">
      <c r="A72" s="435"/>
      <c r="B72" s="435"/>
      <c r="C72" s="435"/>
      <c r="D72" s="435"/>
      <c r="E72" s="435"/>
      <c r="F72" s="435"/>
      <c r="G72" s="435"/>
      <c r="H72" s="435"/>
      <c r="I72" s="435"/>
      <c r="J72" s="435"/>
      <c r="K72" s="435"/>
      <c r="L72" s="435"/>
      <c r="M72" s="435"/>
      <c r="N72" s="435"/>
      <c r="O72" s="435"/>
      <c r="P72" s="435"/>
      <c r="Q72" s="435"/>
      <c r="R72" s="435"/>
      <c r="S72" s="435"/>
      <c r="T72" s="435"/>
      <c r="U72" s="435"/>
      <c r="V72" s="435"/>
      <c r="W72" s="435"/>
      <c r="X72" s="435"/>
      <c r="Y72" s="435"/>
    </row>
    <row r="73" spans="1:25" ht="15.75">
      <c r="A73" s="435"/>
      <c r="B73" s="435"/>
      <c r="C73" s="435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435"/>
      <c r="O73" s="435"/>
      <c r="P73" s="435"/>
      <c r="Q73" s="435"/>
      <c r="R73" s="435"/>
      <c r="S73" s="435"/>
      <c r="T73" s="435"/>
      <c r="U73" s="435"/>
      <c r="V73" s="435"/>
      <c r="W73" s="435"/>
      <c r="X73" s="435"/>
      <c r="Y73" s="435"/>
    </row>
    <row r="74" spans="1:25" ht="15.75">
      <c r="A74" s="435"/>
      <c r="B74" s="435"/>
      <c r="C74" s="435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  <c r="S74" s="435"/>
      <c r="T74" s="435"/>
      <c r="U74" s="435"/>
      <c r="V74" s="435"/>
      <c r="W74" s="435"/>
      <c r="X74" s="435"/>
      <c r="Y74" s="435"/>
    </row>
    <row r="75" spans="1:25" ht="15.75">
      <c r="A75" s="435"/>
      <c r="B75" s="435"/>
      <c r="C75" s="435"/>
      <c r="D75" s="435"/>
      <c r="E75" s="435"/>
      <c r="F75" s="435"/>
      <c r="G75" s="435"/>
      <c r="H75" s="435"/>
      <c r="I75" s="435"/>
      <c r="J75" s="435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5"/>
      <c r="Y75" s="435"/>
    </row>
    <row r="76" spans="1:25" ht="15.75">
      <c r="A76" s="435"/>
      <c r="B76" s="435"/>
      <c r="C76" s="435"/>
      <c r="D76" s="435"/>
      <c r="E76" s="435"/>
      <c r="F76" s="435"/>
      <c r="G76" s="435"/>
      <c r="H76" s="435"/>
      <c r="I76" s="435"/>
      <c r="J76" s="435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5"/>
      <c r="Y76" s="435"/>
    </row>
    <row r="77" spans="1:25" ht="15.75">
      <c r="A77" s="435"/>
      <c r="B77" s="435"/>
      <c r="C77" s="435"/>
      <c r="D77" s="435"/>
      <c r="E77" s="435"/>
      <c r="F77" s="435"/>
      <c r="G77" s="435"/>
      <c r="H77" s="435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5"/>
      <c r="Y77" s="435"/>
    </row>
    <row r="78" spans="1:25" ht="15.75">
      <c r="A78" s="435"/>
      <c r="B78" s="435"/>
      <c r="C78" s="435"/>
      <c r="D78" s="435"/>
      <c r="E78" s="435"/>
      <c r="F78" s="435"/>
      <c r="G78" s="435"/>
      <c r="H78" s="435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5"/>
      <c r="Y78" s="435"/>
    </row>
    <row r="79" spans="1:25" ht="15.75">
      <c r="A79" s="435"/>
      <c r="B79" s="435"/>
      <c r="C79" s="435"/>
      <c r="D79" s="435"/>
      <c r="E79" s="435"/>
      <c r="F79" s="435"/>
      <c r="G79" s="435"/>
      <c r="H79" s="435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5"/>
      <c r="Y79" s="435"/>
    </row>
    <row r="80" spans="1:25" ht="15.75">
      <c r="A80" s="435"/>
      <c r="B80" s="435"/>
      <c r="C80" s="435"/>
      <c r="D80" s="435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5"/>
      <c r="Y80" s="435"/>
    </row>
    <row r="81" spans="1:25" ht="15.75">
      <c r="A81" s="435"/>
      <c r="B81" s="435"/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5"/>
    </row>
    <row r="82" spans="1:25" ht="15.75">
      <c r="A82" s="435"/>
      <c r="B82" s="435"/>
      <c r="C82" s="435"/>
      <c r="D82" s="435"/>
      <c r="E82" s="435"/>
      <c r="F82" s="435"/>
      <c r="G82" s="435"/>
      <c r="H82" s="435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5"/>
      <c r="Y82" s="435"/>
    </row>
    <row r="83" spans="1:25" ht="15.75">
      <c r="A83" s="435"/>
      <c r="B83" s="435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5"/>
      <c r="Y83" s="435"/>
    </row>
    <row r="84" spans="1:25" ht="15.75">
      <c r="A84" s="435"/>
      <c r="B84" s="435"/>
      <c r="C84" s="435"/>
      <c r="D84" s="435"/>
      <c r="E84" s="435"/>
      <c r="F84" s="435"/>
      <c r="G84" s="435"/>
      <c r="H84" s="435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5"/>
      <c r="Y84" s="435"/>
    </row>
    <row r="85" spans="1:25" ht="15.75">
      <c r="A85" s="435"/>
      <c r="B85" s="435"/>
      <c r="C85" s="435"/>
      <c r="D85" s="435"/>
      <c r="E85" s="435"/>
      <c r="F85" s="435"/>
      <c r="G85" s="435"/>
      <c r="H85" s="435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5"/>
      <c r="Y85" s="435"/>
    </row>
    <row r="86" spans="1:25" ht="15.75">
      <c r="A86" s="435"/>
      <c r="B86" s="435"/>
      <c r="C86" s="435"/>
      <c r="D86" s="435"/>
      <c r="E86" s="435"/>
      <c r="F86" s="435"/>
      <c r="G86" s="435"/>
      <c r="H86" s="435"/>
      <c r="I86" s="435"/>
      <c r="J86" s="435"/>
      <c r="K86" s="435"/>
      <c r="L86" s="435"/>
      <c r="M86" s="435"/>
      <c r="N86" s="435"/>
      <c r="O86" s="435"/>
      <c r="P86" s="435"/>
      <c r="Q86" s="435"/>
      <c r="R86" s="435"/>
      <c r="S86" s="435"/>
      <c r="T86" s="435"/>
      <c r="U86" s="435"/>
      <c r="V86" s="435"/>
      <c r="W86" s="435"/>
      <c r="X86" s="435"/>
      <c r="Y86" s="435"/>
    </row>
    <row r="87" spans="1:25" ht="15.75">
      <c r="A87" s="435"/>
      <c r="B87" s="435"/>
      <c r="C87" s="435"/>
      <c r="D87" s="435"/>
      <c r="E87" s="435"/>
      <c r="F87" s="435"/>
      <c r="G87" s="435"/>
      <c r="H87" s="435"/>
      <c r="I87" s="435"/>
      <c r="J87" s="435"/>
      <c r="K87" s="435"/>
      <c r="L87" s="435"/>
      <c r="M87" s="435"/>
      <c r="N87" s="435"/>
      <c r="O87" s="435"/>
      <c r="P87" s="435"/>
      <c r="Q87" s="435"/>
      <c r="R87" s="435"/>
      <c r="S87" s="435"/>
      <c r="T87" s="435"/>
      <c r="U87" s="435"/>
      <c r="V87" s="435"/>
      <c r="W87" s="435"/>
      <c r="X87" s="435"/>
      <c r="Y87" s="435"/>
    </row>
    <row r="88" spans="1:25" ht="15.75">
      <c r="A88" s="435"/>
      <c r="B88" s="435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435"/>
      <c r="S88" s="435"/>
      <c r="T88" s="435"/>
      <c r="U88" s="435"/>
      <c r="V88" s="435"/>
      <c r="W88" s="435"/>
      <c r="X88" s="435"/>
      <c r="Y88" s="435"/>
    </row>
    <row r="89" spans="1:25" ht="15.75">
      <c r="A89" s="435"/>
      <c r="B89" s="435"/>
      <c r="C89" s="435"/>
      <c r="D89" s="435"/>
      <c r="E89" s="435"/>
      <c r="F89" s="435"/>
      <c r="G89" s="435"/>
      <c r="H89" s="435"/>
      <c r="I89" s="435"/>
      <c r="J89" s="435"/>
      <c r="K89" s="435"/>
      <c r="L89" s="435"/>
      <c r="M89" s="435"/>
      <c r="N89" s="435"/>
      <c r="O89" s="435"/>
      <c r="P89" s="435"/>
      <c r="Q89" s="435"/>
      <c r="R89" s="435"/>
      <c r="S89" s="435"/>
      <c r="T89" s="435"/>
      <c r="U89" s="435"/>
      <c r="V89" s="435"/>
      <c r="W89" s="435"/>
      <c r="X89" s="435"/>
      <c r="Y89" s="435"/>
    </row>
    <row r="90" spans="1:25" ht="15.75">
      <c r="A90" s="435"/>
      <c r="B90" s="435"/>
      <c r="C90" s="435"/>
      <c r="D90" s="435"/>
      <c r="E90" s="435"/>
      <c r="F90" s="435"/>
      <c r="G90" s="435"/>
      <c r="H90" s="435"/>
      <c r="I90" s="435"/>
      <c r="J90" s="435"/>
      <c r="K90" s="435"/>
      <c r="L90" s="435"/>
      <c r="M90" s="435"/>
      <c r="N90" s="435"/>
      <c r="O90" s="435"/>
      <c r="P90" s="435"/>
      <c r="Q90" s="435"/>
      <c r="R90" s="435"/>
      <c r="S90" s="435"/>
      <c r="T90" s="435"/>
      <c r="U90" s="435"/>
      <c r="V90" s="435"/>
      <c r="W90" s="435"/>
      <c r="X90" s="435"/>
      <c r="Y90" s="435"/>
    </row>
    <row r="91" spans="1:25" ht="15.75">
      <c r="A91" s="435"/>
      <c r="B91" s="435"/>
      <c r="C91" s="435"/>
      <c r="D91" s="435"/>
      <c r="E91" s="435"/>
      <c r="F91" s="435"/>
      <c r="G91" s="435"/>
      <c r="H91" s="435"/>
      <c r="I91" s="435"/>
      <c r="J91" s="435"/>
      <c r="K91" s="435"/>
      <c r="L91" s="435"/>
      <c r="M91" s="435"/>
      <c r="N91" s="435"/>
      <c r="O91" s="435"/>
      <c r="P91" s="435"/>
      <c r="Q91" s="435"/>
      <c r="R91" s="435"/>
      <c r="S91" s="435"/>
      <c r="T91" s="435"/>
      <c r="U91" s="435"/>
      <c r="V91" s="435"/>
      <c r="W91" s="435"/>
      <c r="X91" s="435"/>
      <c r="Y91" s="435"/>
    </row>
    <row r="92" spans="1:25" ht="15.75">
      <c r="A92" s="435"/>
      <c r="B92" s="435"/>
      <c r="C92" s="435"/>
      <c r="D92" s="435"/>
      <c r="E92" s="435"/>
      <c r="F92" s="435"/>
      <c r="G92" s="435"/>
      <c r="H92" s="435"/>
      <c r="I92" s="435"/>
      <c r="J92" s="435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5"/>
      <c r="Y92" s="435"/>
    </row>
    <row r="93" spans="1:25" ht="15.75">
      <c r="A93" s="435"/>
      <c r="B93" s="435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5"/>
      <c r="Y93" s="435"/>
    </row>
    <row r="94" spans="1:25" ht="15.75">
      <c r="A94" s="435"/>
      <c r="B94" s="435"/>
      <c r="C94" s="435"/>
      <c r="D94" s="435"/>
      <c r="E94" s="435"/>
      <c r="F94" s="435"/>
      <c r="G94" s="435"/>
      <c r="H94" s="435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5"/>
      <c r="Y94" s="435"/>
    </row>
  </sheetData>
  <mergeCells count="7">
    <mergeCell ref="A48:H48"/>
    <mergeCell ref="A4:E4"/>
    <mergeCell ref="A30:H30"/>
    <mergeCell ref="A31:B32"/>
    <mergeCell ref="C31:E31"/>
    <mergeCell ref="F31:H31"/>
    <mergeCell ref="A33:A41"/>
  </mergeCells>
  <pageMargins left="0.25" right="0.25" top="0.75" bottom="0.75" header="0.3" footer="0.3"/>
  <pageSetup scale="59" fitToHeight="0" orientation="landscape" r:id="rId1"/>
  <headerFooter>
    <oddFooter>&amp;C&amp;F    &amp;A&amp;RPage &amp;P of &amp;N</oddFooter>
  </headerFooter>
  <rowBreaks count="1" manualBreakCount="1">
    <brk id="45" max="20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activeCell="A4" sqref="A4"/>
    </sheetView>
  </sheetViews>
  <sheetFormatPr defaultRowHeight="15"/>
  <cols>
    <col min="1" max="1" width="17.6640625" style="203" customWidth="1"/>
    <col min="2" max="2" width="11.109375" style="203" customWidth="1"/>
    <col min="3" max="3" width="11" style="203" customWidth="1"/>
    <col min="4" max="4" width="10.77734375" style="203" customWidth="1"/>
    <col min="5" max="5" width="9.33203125" style="203" bestFit="1" customWidth="1"/>
    <col min="6" max="16384" width="8.88671875" style="203"/>
  </cols>
  <sheetData>
    <row r="1" spans="1:5" ht="15.75">
      <c r="A1" s="287" t="str">
        <f>+'[2]Tax Analysis'!A1:A3</f>
        <v>WasteWise Methow</v>
      </c>
      <c r="B1" s="287"/>
      <c r="C1" s="287"/>
      <c r="D1" s="287"/>
      <c r="E1" s="287"/>
    </row>
    <row r="2" spans="1:5" ht="15.75">
      <c r="A2" s="287" t="s">
        <v>89</v>
      </c>
      <c r="B2" s="287"/>
      <c r="C2" s="287"/>
      <c r="D2" s="287"/>
      <c r="E2" s="287"/>
    </row>
    <row r="3" spans="1:5" ht="15.75">
      <c r="A3" s="287" t="s">
        <v>379</v>
      </c>
      <c r="B3" s="287"/>
      <c r="C3" s="287"/>
      <c r="D3" s="287"/>
      <c r="E3" s="287"/>
    </row>
    <row r="4" spans="1:5" ht="15.75">
      <c r="A4" s="287"/>
      <c r="B4" s="287"/>
      <c r="C4" s="287"/>
      <c r="D4" s="287"/>
      <c r="E4" s="287"/>
    </row>
    <row r="5" spans="1:5" ht="15.75">
      <c r="A5" s="287"/>
      <c r="B5" s="287"/>
      <c r="C5" s="287"/>
      <c r="D5" s="287"/>
      <c r="E5" s="287"/>
    </row>
    <row r="6" spans="1:5" ht="15.75">
      <c r="A6" s="287"/>
      <c r="B6" s="287"/>
      <c r="C6" s="287"/>
      <c r="D6" s="287"/>
      <c r="E6" s="287"/>
    </row>
    <row r="7" spans="1:5" ht="15.75">
      <c r="A7" s="287"/>
      <c r="B7" s="287"/>
      <c r="C7" s="287"/>
      <c r="D7" s="287"/>
      <c r="E7" s="287"/>
    </row>
    <row r="8" spans="1:5" ht="15.75">
      <c r="A8" s="287" t="str">
        <f>+'[2]Consolidate P&amp;L'!C7</f>
        <v>Residential</v>
      </c>
      <c r="B8" s="288">
        <f>+C8/C11</f>
        <v>0.32030320691222364</v>
      </c>
      <c r="C8" s="287">
        <f>+Results!B7</f>
        <v>274665.57</v>
      </c>
      <c r="D8" s="287">
        <f>+B8*C18</f>
        <v>16186.77560084268</v>
      </c>
      <c r="E8" s="287">
        <f>+C8-D8</f>
        <v>258478.79439915734</v>
      </c>
    </row>
    <row r="9" spans="1:5" ht="15.75">
      <c r="A9" s="287" t="str">
        <f>+'[2]Consolidate P&amp;L'!C8</f>
        <v>Commercial</v>
      </c>
      <c r="B9" s="288">
        <f>+C9/C11</f>
        <v>0.56007084591019196</v>
      </c>
      <c r="C9" s="287">
        <f>+Results!B8</f>
        <v>480270.49000000005</v>
      </c>
      <c r="D9" s="287">
        <f>+B9*C18</f>
        <v>28303.622654039817</v>
      </c>
      <c r="E9" s="287">
        <f>+C9-D9</f>
        <v>451966.86734596023</v>
      </c>
    </row>
    <row r="10" spans="1:5" ht="15.75">
      <c r="A10" s="287" t="str">
        <f>+'[2]Consolidate P&amp;L'!C9</f>
        <v>Drop Box Revenue</v>
      </c>
      <c r="B10" s="288">
        <f>+C10/C11</f>
        <v>0.11962594717758435</v>
      </c>
      <c r="C10" s="289">
        <f>+Results!B9</f>
        <v>102581.33000000002</v>
      </c>
      <c r="D10" s="289">
        <f>+B10*C18</f>
        <v>6045.3917451174948</v>
      </c>
      <c r="E10" s="289">
        <f>+C10-D10</f>
        <v>96535.938254882523</v>
      </c>
    </row>
    <row r="11" spans="1:5" ht="15.75">
      <c r="A11" s="287"/>
      <c r="B11" s="287"/>
      <c r="C11" s="287">
        <f>SUM(C8:C10)</f>
        <v>857517.39000000013</v>
      </c>
      <c r="D11" s="287">
        <f>SUM(D8:D10)</f>
        <v>50535.789999999994</v>
      </c>
      <c r="E11" s="287">
        <f>+C11-D11</f>
        <v>806981.60000000009</v>
      </c>
    </row>
    <row r="12" spans="1:5" ht="15.75">
      <c r="A12" s="287"/>
      <c r="B12" s="287"/>
      <c r="C12" s="287"/>
      <c r="D12" s="287"/>
      <c r="E12" s="287"/>
    </row>
    <row r="13" spans="1:5" ht="15.75">
      <c r="A13" s="287"/>
      <c r="B13" s="287"/>
      <c r="C13" s="287"/>
      <c r="D13" s="287"/>
      <c r="E13" s="287"/>
    </row>
    <row r="14" spans="1:5" ht="15.75">
      <c r="A14" s="287" t="s">
        <v>375</v>
      </c>
      <c r="B14" s="287"/>
      <c r="C14" s="287"/>
      <c r="D14" s="287"/>
      <c r="E14" s="287"/>
    </row>
    <row r="15" spans="1:5" ht="15.75">
      <c r="A15" s="287" t="s">
        <v>376</v>
      </c>
      <c r="B15" s="287"/>
      <c r="C15" s="287">
        <f>+'12 Month P&amp;L '!N122</f>
        <v>27323.42</v>
      </c>
      <c r="D15" s="287"/>
      <c r="E15" s="287"/>
    </row>
    <row r="16" spans="1:5" ht="15.75">
      <c r="A16" s="287" t="s">
        <v>377</v>
      </c>
      <c r="B16" s="287"/>
      <c r="C16" s="287">
        <f>+'12 Month P&amp;L '!N124</f>
        <v>13889.890000000001</v>
      </c>
      <c r="D16" s="287"/>
      <c r="E16" s="287"/>
    </row>
    <row r="17" spans="1:5" ht="15.75">
      <c r="A17" s="287" t="s">
        <v>378</v>
      </c>
      <c r="B17" s="287"/>
      <c r="C17" s="289">
        <f>+'12 Month P&amp;L '!N125</f>
        <v>9322.48</v>
      </c>
      <c r="D17" s="287"/>
      <c r="E17" s="287"/>
    </row>
    <row r="18" spans="1:5" ht="15.75">
      <c r="A18" s="287"/>
      <c r="B18" s="287"/>
      <c r="C18" s="287">
        <f>SUM(C15:C17)</f>
        <v>50535.789999999994</v>
      </c>
      <c r="D18" s="287"/>
      <c r="E18" s="287"/>
    </row>
    <row r="19" spans="1:5">
      <c r="A19" s="255"/>
      <c r="B19" s="255"/>
      <c r="C19" s="255"/>
      <c r="D19" s="255"/>
      <c r="E19" s="255"/>
    </row>
    <row r="20" spans="1:5">
      <c r="A20" s="255"/>
      <c r="B20" s="255"/>
      <c r="C20" s="255"/>
      <c r="D20" s="255"/>
      <c r="E20" s="25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H2"/>
    </sheetView>
  </sheetViews>
  <sheetFormatPr defaultRowHeight="15"/>
  <cols>
    <col min="1" max="16384" width="8.88671875" style="336"/>
  </cols>
  <sheetData>
    <row r="1" spans="1:8">
      <c r="A1" s="333" t="s">
        <v>365</v>
      </c>
      <c r="B1" s="334"/>
      <c r="C1" s="334"/>
      <c r="D1" s="334"/>
      <c r="E1" s="334"/>
      <c r="F1" s="334"/>
      <c r="G1" s="334"/>
      <c r="H1" s="335"/>
    </row>
    <row r="2" spans="1:8">
      <c r="A2" s="337" t="s">
        <v>519</v>
      </c>
      <c r="B2" s="337"/>
      <c r="C2" s="337"/>
      <c r="D2" s="337"/>
      <c r="E2" s="337"/>
      <c r="F2" s="337"/>
      <c r="G2" s="337"/>
      <c r="H2" s="338"/>
    </row>
    <row r="3" spans="1:8">
      <c r="A3" s="314"/>
      <c r="B3" s="314"/>
      <c r="C3" s="314"/>
      <c r="D3" s="314"/>
      <c r="E3" s="314"/>
      <c r="F3" s="314"/>
      <c r="G3" s="314"/>
      <c r="H3" s="339"/>
    </row>
    <row r="4" spans="1:8">
      <c r="A4" s="314"/>
      <c r="B4" s="314"/>
      <c r="C4" s="314"/>
      <c r="D4" s="314"/>
      <c r="E4" s="314"/>
      <c r="F4" s="314"/>
      <c r="G4" s="314"/>
      <c r="H4" s="339"/>
    </row>
    <row r="5" spans="1:8">
      <c r="A5" s="314" t="s">
        <v>522</v>
      </c>
      <c r="B5" s="314"/>
      <c r="C5" s="314"/>
      <c r="D5" s="314"/>
      <c r="E5" s="314"/>
      <c r="F5" s="314" t="s">
        <v>520</v>
      </c>
      <c r="G5" s="314"/>
      <c r="H5" s="339">
        <v>15552.24</v>
      </c>
    </row>
    <row r="6" spans="1:8">
      <c r="A6" s="314"/>
      <c r="B6" s="314"/>
      <c r="C6" s="314"/>
      <c r="D6" s="314"/>
      <c r="E6" s="314"/>
      <c r="F6" s="314"/>
      <c r="G6" s="314"/>
      <c r="H6" s="339"/>
    </row>
    <row r="7" spans="1:8">
      <c r="A7" s="314" t="s">
        <v>523</v>
      </c>
      <c r="B7" s="314"/>
      <c r="C7" s="314"/>
      <c r="D7" s="314"/>
      <c r="E7" s="314"/>
      <c r="F7" s="314" t="s">
        <v>520</v>
      </c>
      <c r="G7" s="314"/>
      <c r="H7" s="339">
        <v>22458.720000000001</v>
      </c>
    </row>
    <row r="8" spans="1:8">
      <c r="A8" s="314"/>
      <c r="B8" s="314"/>
      <c r="C8" s="314"/>
      <c r="D8" s="314"/>
      <c r="E8" s="314"/>
      <c r="F8" s="314"/>
      <c r="G8" s="314"/>
      <c r="H8" s="339"/>
    </row>
    <row r="9" spans="1:8">
      <c r="A9" s="314" t="s">
        <v>521</v>
      </c>
      <c r="B9" s="314"/>
      <c r="C9" s="314"/>
      <c r="D9" s="314"/>
      <c r="E9" s="314"/>
      <c r="F9" s="314"/>
      <c r="G9" s="314"/>
      <c r="H9" s="339">
        <f>+H7-H5</f>
        <v>6906.4800000000014</v>
      </c>
    </row>
    <row r="10" spans="1:8">
      <c r="A10" s="314"/>
      <c r="B10" s="314"/>
      <c r="C10" s="314"/>
      <c r="D10" s="314"/>
      <c r="E10" s="314"/>
      <c r="F10" s="314"/>
      <c r="G10" s="314"/>
      <c r="H10" s="339"/>
    </row>
    <row r="11" spans="1:8">
      <c r="A11" s="314"/>
      <c r="B11" s="314"/>
      <c r="C11" s="314"/>
      <c r="D11" s="314"/>
      <c r="E11" s="314"/>
      <c r="F11" s="314"/>
      <c r="G11" s="314"/>
      <c r="H11" s="339"/>
    </row>
    <row r="12" spans="1:8">
      <c r="A12" s="314"/>
      <c r="B12" s="314"/>
      <c r="C12" s="314"/>
      <c r="D12" s="314"/>
      <c r="E12" s="314"/>
      <c r="F12" s="314"/>
      <c r="G12" s="314"/>
      <c r="H12" s="339"/>
    </row>
    <row r="13" spans="1:8">
      <c r="A13" s="314"/>
      <c r="B13" s="314"/>
      <c r="C13" s="314"/>
      <c r="D13" s="314"/>
      <c r="E13" s="314"/>
      <c r="F13" s="314"/>
      <c r="G13" s="314"/>
      <c r="H13" s="339"/>
    </row>
    <row r="14" spans="1:8">
      <c r="A14" s="314"/>
      <c r="B14" s="314"/>
      <c r="C14" s="314"/>
      <c r="D14" s="314"/>
      <c r="E14" s="314"/>
      <c r="F14" s="314"/>
      <c r="G14" s="314"/>
      <c r="H14" s="339"/>
    </row>
    <row r="15" spans="1:8">
      <c r="A15" s="314"/>
      <c r="B15" s="314"/>
      <c r="C15" s="314"/>
      <c r="D15" s="314"/>
      <c r="E15" s="314"/>
      <c r="F15" s="314"/>
      <c r="G15" s="314"/>
      <c r="H15" s="33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D28" sqref="D28"/>
    </sheetView>
  </sheetViews>
  <sheetFormatPr defaultRowHeight="15"/>
  <cols>
    <col min="1" max="16384" width="8.88671875" style="212"/>
  </cols>
  <sheetData>
    <row r="1" spans="1:8">
      <c r="A1" s="333" t="s">
        <v>365</v>
      </c>
      <c r="B1" s="334"/>
      <c r="C1" s="334"/>
      <c r="D1" s="334"/>
      <c r="E1" s="334"/>
      <c r="F1" s="334"/>
      <c r="G1" s="334"/>
      <c r="H1" s="335"/>
    </row>
    <row r="2" spans="1:8">
      <c r="A2" s="337" t="s">
        <v>519</v>
      </c>
      <c r="B2" s="337"/>
      <c r="C2" s="337"/>
      <c r="D2" s="337"/>
      <c r="E2" s="337"/>
      <c r="F2" s="337"/>
      <c r="G2" s="337"/>
      <c r="H2" s="338"/>
    </row>
    <row r="5" spans="1:8">
      <c r="A5" s="212" t="s">
        <v>635</v>
      </c>
      <c r="G5" s="409">
        <v>41705</v>
      </c>
    </row>
    <row r="6" spans="1:8">
      <c r="G6" s="409"/>
    </row>
    <row r="7" spans="1:8">
      <c r="A7" s="212" t="s">
        <v>636</v>
      </c>
      <c r="G7" s="409">
        <v>33205</v>
      </c>
      <c r="H7" s="385">
        <f>+G7/$G$5</f>
        <v>0.79618750749310629</v>
      </c>
    </row>
    <row r="8" spans="1:8">
      <c r="A8" s="212" t="s">
        <v>637</v>
      </c>
      <c r="G8" s="409">
        <v>7395</v>
      </c>
      <c r="H8" s="385">
        <f>+G8/$G$5</f>
        <v>0.17731686848099748</v>
      </c>
    </row>
    <row r="9" spans="1:8">
      <c r="A9" s="212" t="s">
        <v>638</v>
      </c>
      <c r="G9" s="409">
        <v>1105</v>
      </c>
      <c r="H9" s="385">
        <f>+G9/$G$5</f>
        <v>2.6495624025896176E-2</v>
      </c>
    </row>
    <row r="10" spans="1:8">
      <c r="G10" s="40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topLeftCell="A16" workbookViewId="0">
      <selection activeCell="F24" sqref="F24"/>
    </sheetView>
  </sheetViews>
  <sheetFormatPr defaultRowHeight="15"/>
  <cols>
    <col min="1" max="1" width="10.5546875" bestFit="1" customWidth="1"/>
    <col min="3" max="12" width="9" bestFit="1" customWidth="1"/>
    <col min="16" max="16" width="9" bestFit="1" customWidth="1"/>
  </cols>
  <sheetData>
    <row r="1" spans="1:17" ht="15.75">
      <c r="A1" s="387" t="s">
        <v>365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404"/>
    </row>
    <row r="2" spans="1:17" ht="15.75">
      <c r="A2" s="410" t="s">
        <v>641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410"/>
      <c r="P2" s="410"/>
      <c r="Q2" s="404"/>
    </row>
    <row r="3" spans="1:17" ht="15.75">
      <c r="A3" s="389"/>
      <c r="B3" s="389"/>
      <c r="C3" s="389"/>
      <c r="D3" s="389"/>
      <c r="E3" s="389"/>
      <c r="F3" s="389"/>
      <c r="G3" s="411"/>
      <c r="H3" s="389"/>
      <c r="I3" s="389"/>
      <c r="J3" s="389"/>
      <c r="K3" s="389"/>
      <c r="L3" s="411"/>
      <c r="M3" s="389"/>
      <c r="N3" s="389" t="s">
        <v>642</v>
      </c>
      <c r="O3" s="412"/>
      <c r="P3" s="412"/>
      <c r="Q3" s="404"/>
    </row>
    <row r="4" spans="1:17" ht="15.75">
      <c r="A4" s="389"/>
      <c r="B4" s="389"/>
      <c r="C4" s="413" t="s">
        <v>643</v>
      </c>
      <c r="D4" s="414" t="s">
        <v>20</v>
      </c>
      <c r="E4" s="414" t="s">
        <v>103</v>
      </c>
      <c r="F4" s="414"/>
      <c r="G4" s="415" t="s">
        <v>644</v>
      </c>
      <c r="H4" s="413" t="s">
        <v>645</v>
      </c>
      <c r="I4" s="414" t="s">
        <v>20</v>
      </c>
      <c r="J4" s="414" t="s">
        <v>103</v>
      </c>
      <c r="K4" s="414"/>
      <c r="L4" s="415" t="s">
        <v>644</v>
      </c>
      <c r="M4" s="414" t="s">
        <v>633</v>
      </c>
      <c r="N4" s="414" t="s">
        <v>646</v>
      </c>
      <c r="O4" s="416"/>
      <c r="P4" s="416" t="s">
        <v>647</v>
      </c>
      <c r="Q4" s="404"/>
    </row>
    <row r="5" spans="1:17" ht="15.75">
      <c r="A5" s="417" t="s">
        <v>648</v>
      </c>
      <c r="B5" s="389"/>
      <c r="C5" s="414" t="s">
        <v>76</v>
      </c>
      <c r="D5" s="416" t="s">
        <v>649</v>
      </c>
      <c r="E5" s="418" t="s">
        <v>352</v>
      </c>
      <c r="F5" s="416" t="s">
        <v>650</v>
      </c>
      <c r="G5" s="419" t="s">
        <v>651</v>
      </c>
      <c r="H5" s="416" t="s">
        <v>76</v>
      </c>
      <c r="I5" s="416" t="s">
        <v>649</v>
      </c>
      <c r="J5" s="418" t="s">
        <v>352</v>
      </c>
      <c r="K5" s="416" t="s">
        <v>650</v>
      </c>
      <c r="L5" s="419" t="s">
        <v>651</v>
      </c>
      <c r="M5" s="416" t="s">
        <v>652</v>
      </c>
      <c r="N5" s="416" t="s">
        <v>653</v>
      </c>
      <c r="O5" s="416"/>
      <c r="P5" s="416" t="s">
        <v>646</v>
      </c>
      <c r="Q5" s="404"/>
    </row>
    <row r="6" spans="1:17" ht="15.75">
      <c r="A6" s="420">
        <v>43466</v>
      </c>
      <c r="B6" s="389"/>
      <c r="C6" s="421">
        <v>1977.56</v>
      </c>
      <c r="D6" s="422">
        <v>626.57000000000005</v>
      </c>
      <c r="E6" s="423">
        <f>SUM(C6:D6)</f>
        <v>2604.13</v>
      </c>
      <c r="F6" s="422">
        <v>849</v>
      </c>
      <c r="G6" s="424">
        <f>(C6+D6)/F6</f>
        <v>3.0672909305064784</v>
      </c>
      <c r="H6" s="422">
        <v>241.84</v>
      </c>
      <c r="I6" s="422">
        <v>71.260000000000005</v>
      </c>
      <c r="J6" s="423">
        <f>SUM(H6:I6)</f>
        <v>313.10000000000002</v>
      </c>
      <c r="K6" s="422">
        <v>105.1</v>
      </c>
      <c r="L6" s="424">
        <f>(H6+I6)/K6</f>
        <v>2.9790675547098004</v>
      </c>
      <c r="M6" s="423"/>
      <c r="N6" s="423"/>
      <c r="O6" s="424"/>
      <c r="P6" s="424">
        <f t="shared" ref="P6:P20" si="0">+C6+D6+H6+I6+M6+N6</f>
        <v>2917.2300000000005</v>
      </c>
      <c r="Q6" s="404"/>
    </row>
    <row r="7" spans="1:17" ht="15.75">
      <c r="A7" s="420">
        <v>43497</v>
      </c>
      <c r="B7" s="389"/>
      <c r="C7" s="421">
        <v>1538.07</v>
      </c>
      <c r="D7" s="422">
        <v>482.23</v>
      </c>
      <c r="E7" s="423">
        <f t="shared" ref="E7:E20" si="1">SUM(C7:D7)</f>
        <v>2020.3</v>
      </c>
      <c r="F7" s="422">
        <v>653.4</v>
      </c>
      <c r="G7" s="424">
        <f>(C7+D7)/F7</f>
        <v>3.0919804101622286</v>
      </c>
      <c r="H7" s="422">
        <v>160.16999999999999</v>
      </c>
      <c r="I7" s="422">
        <v>47.19</v>
      </c>
      <c r="J7" s="423">
        <f t="shared" ref="J7:J20" si="2">SUM(H7:I7)</f>
        <v>207.35999999999999</v>
      </c>
      <c r="K7" s="422">
        <v>69.599999999999994</v>
      </c>
      <c r="L7" s="424">
        <f>(H7+I7)/K7</f>
        <v>2.9793103448275864</v>
      </c>
      <c r="M7" s="423"/>
      <c r="N7" s="423"/>
      <c r="O7" s="424"/>
      <c r="P7" s="424">
        <f t="shared" si="0"/>
        <v>2227.66</v>
      </c>
      <c r="Q7" s="404"/>
    </row>
    <row r="8" spans="1:17" ht="15.75">
      <c r="A8" s="420">
        <v>43525</v>
      </c>
      <c r="B8" s="389"/>
      <c r="C8" s="421">
        <v>1828.7</v>
      </c>
      <c r="D8" s="422">
        <v>551.48</v>
      </c>
      <c r="E8" s="423">
        <f t="shared" si="1"/>
        <v>2380.1800000000003</v>
      </c>
      <c r="F8" s="422">
        <v>747.3</v>
      </c>
      <c r="G8" s="424">
        <f>(C8+D8)/F8</f>
        <v>3.1850394754449356</v>
      </c>
      <c r="H8" s="422">
        <v>98.61</v>
      </c>
      <c r="I8" s="422">
        <v>30.38</v>
      </c>
      <c r="J8" s="423">
        <f t="shared" si="2"/>
        <v>128.99</v>
      </c>
      <c r="K8" s="422">
        <v>44.8</v>
      </c>
      <c r="L8" s="424">
        <f>(H8+I8)/K8</f>
        <v>2.8792410714285719</v>
      </c>
      <c r="M8" s="423"/>
      <c r="N8" s="423"/>
      <c r="O8" s="424"/>
      <c r="P8" s="424">
        <f t="shared" si="0"/>
        <v>2509.1700000000005</v>
      </c>
      <c r="Q8" s="404"/>
    </row>
    <row r="9" spans="1:17" ht="15.75">
      <c r="A9" s="420">
        <v>43556</v>
      </c>
      <c r="B9" s="389"/>
      <c r="C9" s="421">
        <v>2192.48</v>
      </c>
      <c r="D9" s="422">
        <v>598.97</v>
      </c>
      <c r="E9" s="423">
        <f t="shared" si="1"/>
        <v>2791.45</v>
      </c>
      <c r="F9" s="422">
        <v>811.6</v>
      </c>
      <c r="G9" s="424">
        <f>(C9+D9)/F9</f>
        <v>3.4394406111384916</v>
      </c>
      <c r="H9" s="422">
        <v>246.47</v>
      </c>
      <c r="I9" s="422">
        <v>65.77</v>
      </c>
      <c r="J9" s="423">
        <f t="shared" si="2"/>
        <v>312.24</v>
      </c>
      <c r="K9" s="422">
        <v>97</v>
      </c>
      <c r="L9" s="424">
        <f>(H9+I9)/K9</f>
        <v>3.2189690721649487</v>
      </c>
      <c r="M9" s="424"/>
      <c r="N9" s="423"/>
      <c r="O9" s="424"/>
      <c r="P9" s="424">
        <f t="shared" si="0"/>
        <v>3103.6899999999996</v>
      </c>
      <c r="Q9" s="404"/>
    </row>
    <row r="10" spans="1:17" ht="15.75">
      <c r="A10" s="420">
        <v>43586</v>
      </c>
      <c r="B10" s="389"/>
      <c r="C10" s="421">
        <v>2617.69</v>
      </c>
      <c r="D10" s="422">
        <v>685.82</v>
      </c>
      <c r="E10" s="423">
        <f t="shared" si="1"/>
        <v>3303.51</v>
      </c>
      <c r="F10" s="422">
        <v>929.3</v>
      </c>
      <c r="G10" s="424">
        <f t="shared" ref="G10:G20" si="3">(C10+D10)/F10</f>
        <v>3.554836974066502</v>
      </c>
      <c r="H10" s="422">
        <v>190.05</v>
      </c>
      <c r="I10" s="422">
        <v>46.12</v>
      </c>
      <c r="J10" s="423">
        <f t="shared" si="2"/>
        <v>236.17000000000002</v>
      </c>
      <c r="K10" s="422">
        <v>68</v>
      </c>
      <c r="L10" s="424">
        <f t="shared" ref="L10:L20" si="4">(H10+I10)/K10</f>
        <v>3.4730882352941177</v>
      </c>
      <c r="M10" s="424"/>
      <c r="N10" s="423"/>
      <c r="O10" s="424"/>
      <c r="P10" s="424">
        <f t="shared" si="0"/>
        <v>3539.6800000000003</v>
      </c>
      <c r="Q10" s="404"/>
    </row>
    <row r="11" spans="1:17" ht="15.75">
      <c r="A11" s="420">
        <v>43617</v>
      </c>
      <c r="B11" s="389"/>
      <c r="C11" s="421">
        <v>2521.7399999999998</v>
      </c>
      <c r="D11" s="422">
        <v>698.4</v>
      </c>
      <c r="E11" s="423">
        <f t="shared" si="1"/>
        <v>3220.14</v>
      </c>
      <c r="F11" s="422">
        <v>946.3</v>
      </c>
      <c r="G11" s="424">
        <f t="shared" si="3"/>
        <v>3.4028743527422591</v>
      </c>
      <c r="H11" s="422">
        <v>252.3</v>
      </c>
      <c r="I11" s="422">
        <v>63.66</v>
      </c>
      <c r="J11" s="423">
        <f t="shared" si="2"/>
        <v>315.96000000000004</v>
      </c>
      <c r="K11" s="422">
        <v>93.9</v>
      </c>
      <c r="L11" s="424">
        <f t="shared" si="4"/>
        <v>3.3648562300319491</v>
      </c>
      <c r="M11" s="424"/>
      <c r="N11" s="423"/>
      <c r="O11" s="424"/>
      <c r="P11" s="424">
        <f t="shared" si="0"/>
        <v>3536.1</v>
      </c>
      <c r="Q11" s="404"/>
    </row>
    <row r="12" spans="1:17" ht="15.75">
      <c r="A12" s="420">
        <v>43647</v>
      </c>
      <c r="B12" s="389"/>
      <c r="C12" s="421">
        <v>2929.86</v>
      </c>
      <c r="D12" s="422">
        <v>806.92</v>
      </c>
      <c r="E12" s="423">
        <f t="shared" si="1"/>
        <v>3736.78</v>
      </c>
      <c r="F12" s="421">
        <v>1093.4000000000001</v>
      </c>
      <c r="G12" s="424">
        <f t="shared" si="3"/>
        <v>3.4175781964514358</v>
      </c>
      <c r="H12" s="422">
        <v>268.32</v>
      </c>
      <c r="I12" s="422">
        <v>66.94</v>
      </c>
      <c r="J12" s="423">
        <f t="shared" si="2"/>
        <v>335.26</v>
      </c>
      <c r="K12" s="422">
        <v>98.72</v>
      </c>
      <c r="L12" s="424">
        <f t="shared" si="4"/>
        <v>3.3960696920583469</v>
      </c>
      <c r="M12" s="424"/>
      <c r="N12" s="423"/>
      <c r="O12" s="424"/>
      <c r="P12" s="424">
        <f t="shared" si="0"/>
        <v>4072.0400000000004</v>
      </c>
      <c r="Q12" s="404"/>
    </row>
    <row r="13" spans="1:17" ht="15.75">
      <c r="A13" s="420">
        <v>43678</v>
      </c>
      <c r="B13" s="389"/>
      <c r="C13" s="421">
        <v>2514.94</v>
      </c>
      <c r="D13" s="422">
        <v>750</v>
      </c>
      <c r="E13" s="423">
        <f t="shared" si="1"/>
        <v>3264.94</v>
      </c>
      <c r="F13" s="421">
        <v>1016.3</v>
      </c>
      <c r="G13" s="424">
        <f t="shared" si="3"/>
        <v>3.2125750270589393</v>
      </c>
      <c r="H13" s="422">
        <v>176</v>
      </c>
      <c r="I13" s="422">
        <v>46.84</v>
      </c>
      <c r="J13" s="423">
        <f t="shared" si="2"/>
        <v>222.84</v>
      </c>
      <c r="K13" s="422">
        <v>69.09</v>
      </c>
      <c r="L13" s="424">
        <f t="shared" si="4"/>
        <v>3.225358228397742</v>
      </c>
      <c r="M13" s="423"/>
      <c r="N13" s="423"/>
      <c r="O13" s="424"/>
      <c r="P13" s="424">
        <f t="shared" si="0"/>
        <v>3487.78</v>
      </c>
      <c r="Q13" s="404"/>
    </row>
    <row r="14" spans="1:17" ht="15.75">
      <c r="A14" s="420">
        <v>43709</v>
      </c>
      <c r="B14" s="389"/>
      <c r="C14" s="421">
        <v>2509.14</v>
      </c>
      <c r="D14" s="422">
        <v>730.48</v>
      </c>
      <c r="E14" s="423">
        <f t="shared" si="1"/>
        <v>3239.62</v>
      </c>
      <c r="F14" s="422">
        <v>989.8</v>
      </c>
      <c r="G14" s="424">
        <f t="shared" si="3"/>
        <v>3.2730046474035159</v>
      </c>
      <c r="H14" s="422">
        <v>225.15</v>
      </c>
      <c r="I14" s="422">
        <v>58.72</v>
      </c>
      <c r="J14" s="423">
        <f t="shared" si="2"/>
        <v>283.87</v>
      </c>
      <c r="K14" s="422">
        <v>86.59</v>
      </c>
      <c r="L14" s="424">
        <f t="shared" si="4"/>
        <v>3.2783231320013857</v>
      </c>
      <c r="M14" s="423"/>
      <c r="N14" s="423"/>
      <c r="O14" s="424"/>
      <c r="P14" s="424">
        <f t="shared" si="0"/>
        <v>3523.49</v>
      </c>
      <c r="Q14" s="404"/>
    </row>
    <row r="15" spans="1:17" ht="15.75">
      <c r="A15" s="420">
        <v>43739</v>
      </c>
      <c r="B15" s="389"/>
      <c r="C15" s="421">
        <v>2851.42</v>
      </c>
      <c r="D15" s="422">
        <v>762.95</v>
      </c>
      <c r="E15" s="423">
        <f t="shared" si="1"/>
        <v>3614.37</v>
      </c>
      <c r="F15" s="421">
        <v>1039.8</v>
      </c>
      <c r="G15" s="424">
        <f t="shared" si="3"/>
        <v>3.4760242354298905</v>
      </c>
      <c r="H15" s="422">
        <v>254.26</v>
      </c>
      <c r="I15" s="422">
        <v>63.61</v>
      </c>
      <c r="J15" s="423">
        <f t="shared" si="2"/>
        <v>317.87</v>
      </c>
      <c r="K15" s="422">
        <v>93.82</v>
      </c>
      <c r="L15" s="424">
        <f t="shared" si="4"/>
        <v>3.3880835642720104</v>
      </c>
      <c r="M15" s="424"/>
      <c r="N15" s="423"/>
      <c r="O15" s="424"/>
      <c r="P15" s="424">
        <f t="shared" si="0"/>
        <v>3932.2400000000002</v>
      </c>
      <c r="Q15" s="404"/>
    </row>
    <row r="16" spans="1:17" ht="15.75">
      <c r="A16" s="420">
        <v>43770</v>
      </c>
      <c r="B16" s="389"/>
      <c r="C16" s="421">
        <v>2495.6</v>
      </c>
      <c r="D16" s="422">
        <v>642.79999999999995</v>
      </c>
      <c r="E16" s="423">
        <f t="shared" si="1"/>
        <v>3138.3999999999996</v>
      </c>
      <c r="F16" s="422">
        <v>871</v>
      </c>
      <c r="G16" s="424">
        <f t="shared" si="3"/>
        <v>3.6032146957520088</v>
      </c>
      <c r="H16" s="422">
        <v>224.39</v>
      </c>
      <c r="I16" s="422">
        <v>57.73</v>
      </c>
      <c r="J16" s="423">
        <f t="shared" si="2"/>
        <v>282.12</v>
      </c>
      <c r="K16" s="422">
        <v>85.15</v>
      </c>
      <c r="L16" s="424">
        <f t="shared" si="4"/>
        <v>3.3132119788608336</v>
      </c>
      <c r="M16" s="423"/>
      <c r="N16" s="423"/>
      <c r="O16" s="424"/>
      <c r="P16" s="424">
        <f t="shared" si="0"/>
        <v>3420.5199999999995</v>
      </c>
      <c r="Q16" s="404"/>
    </row>
    <row r="17" spans="1:17" ht="15.75">
      <c r="A17" s="420">
        <v>43800</v>
      </c>
      <c r="B17" s="389"/>
      <c r="C17" s="421">
        <v>1764.12</v>
      </c>
      <c r="D17" s="422">
        <v>521.04999999999995</v>
      </c>
      <c r="E17" s="423">
        <f t="shared" si="1"/>
        <v>2285.17</v>
      </c>
      <c r="F17" s="422">
        <v>706</v>
      </c>
      <c r="G17" s="424">
        <f t="shared" si="3"/>
        <v>3.2367847025495751</v>
      </c>
      <c r="H17" s="422">
        <v>192.78</v>
      </c>
      <c r="I17" s="422">
        <v>54.55</v>
      </c>
      <c r="J17" s="423">
        <f t="shared" si="2"/>
        <v>247.32999999999998</v>
      </c>
      <c r="K17" s="422">
        <v>80.47</v>
      </c>
      <c r="L17" s="424">
        <f t="shared" si="4"/>
        <v>3.0735677892382252</v>
      </c>
      <c r="M17" s="423"/>
      <c r="N17" s="423"/>
      <c r="O17" s="424"/>
      <c r="P17" s="424">
        <f t="shared" si="0"/>
        <v>2532.5000000000005</v>
      </c>
      <c r="Q17" s="404"/>
    </row>
    <row r="18" spans="1:17" ht="15.75">
      <c r="A18" s="420">
        <v>43831</v>
      </c>
      <c r="B18" s="389"/>
      <c r="C18" s="425">
        <v>1789.16</v>
      </c>
      <c r="D18" s="425">
        <v>550.9</v>
      </c>
      <c r="E18" s="398">
        <f t="shared" si="1"/>
        <v>2340.06</v>
      </c>
      <c r="F18" s="398">
        <v>746.4</v>
      </c>
      <c r="G18" s="425">
        <f t="shared" si="3"/>
        <v>3.1351286173633439</v>
      </c>
      <c r="H18" s="425">
        <v>254.16</v>
      </c>
      <c r="I18" s="425">
        <v>74.349999999999994</v>
      </c>
      <c r="J18" s="398">
        <f t="shared" si="2"/>
        <v>328.51</v>
      </c>
      <c r="K18" s="398">
        <v>109.65</v>
      </c>
      <c r="L18" s="425">
        <f t="shared" si="4"/>
        <v>2.9959872321021428</v>
      </c>
      <c r="M18" s="423"/>
      <c r="N18" s="423"/>
      <c r="O18" s="424"/>
      <c r="P18" s="424">
        <f t="shared" si="0"/>
        <v>2668.5699999999997</v>
      </c>
      <c r="Q18" s="404"/>
    </row>
    <row r="19" spans="1:17" ht="15.75">
      <c r="A19" s="420">
        <v>43862</v>
      </c>
      <c r="B19" s="389"/>
      <c r="C19" s="425">
        <v>1751.91</v>
      </c>
      <c r="D19" s="425">
        <v>565.66</v>
      </c>
      <c r="E19" s="398">
        <f t="shared" si="1"/>
        <v>2317.5700000000002</v>
      </c>
      <c r="F19" s="398">
        <v>766.5</v>
      </c>
      <c r="G19" s="425">
        <f t="shared" si="3"/>
        <v>3.0235746901500327</v>
      </c>
      <c r="H19" s="425">
        <v>178.92</v>
      </c>
      <c r="I19" s="425">
        <v>52.47</v>
      </c>
      <c r="J19" s="398">
        <f t="shared" si="2"/>
        <v>231.39</v>
      </c>
      <c r="K19" s="398">
        <v>77.39</v>
      </c>
      <c r="L19" s="425">
        <f t="shared" si="4"/>
        <v>2.9899211784468274</v>
      </c>
      <c r="M19" s="423"/>
      <c r="N19" s="423"/>
      <c r="O19" s="424"/>
      <c r="P19" s="424">
        <f t="shared" si="0"/>
        <v>2548.96</v>
      </c>
      <c r="Q19" s="404"/>
    </row>
    <row r="20" spans="1:17" ht="15.75">
      <c r="A20" s="420">
        <v>43891</v>
      </c>
      <c r="B20" s="389"/>
      <c r="C20" s="425">
        <v>1496.62</v>
      </c>
      <c r="D20" s="425">
        <v>531.04</v>
      </c>
      <c r="E20" s="398">
        <f t="shared" si="1"/>
        <v>2027.6599999999999</v>
      </c>
      <c r="F20" s="398">
        <v>719.6</v>
      </c>
      <c r="G20" s="425">
        <f t="shared" si="3"/>
        <v>2.8177598665925512</v>
      </c>
      <c r="H20" s="425">
        <v>184.74</v>
      </c>
      <c r="I20" s="425">
        <v>64.760000000000005</v>
      </c>
      <c r="J20" s="398">
        <f t="shared" si="2"/>
        <v>249.5</v>
      </c>
      <c r="K20" s="398">
        <v>95.51</v>
      </c>
      <c r="L20" s="425">
        <f t="shared" si="4"/>
        <v>2.6122919066066381</v>
      </c>
      <c r="M20" s="423"/>
      <c r="N20" s="423"/>
      <c r="O20" s="424"/>
      <c r="P20" s="424">
        <f t="shared" si="0"/>
        <v>2277.16</v>
      </c>
      <c r="Q20" s="404"/>
    </row>
    <row r="21" spans="1:17" ht="15.75">
      <c r="A21" s="420">
        <v>43922</v>
      </c>
      <c r="B21" s="389"/>
      <c r="C21" s="424"/>
      <c r="D21" s="424"/>
      <c r="E21" s="423"/>
      <c r="F21" s="423"/>
      <c r="G21" s="424"/>
      <c r="H21" s="424"/>
      <c r="I21" s="424"/>
      <c r="J21" s="423"/>
      <c r="K21" s="423"/>
      <c r="L21" s="424"/>
      <c r="M21" s="423"/>
      <c r="N21" s="423"/>
      <c r="O21" s="424"/>
      <c r="P21" s="424"/>
      <c r="Q21" s="404"/>
    </row>
    <row r="22" spans="1:17" ht="15.75">
      <c r="A22" s="389" t="s">
        <v>654</v>
      </c>
      <c r="B22" s="389"/>
      <c r="C22" s="423">
        <f>SUM(C6:C17)</f>
        <v>27741.319999999996</v>
      </c>
      <c r="D22" s="423">
        <f>SUM(D6:D17)</f>
        <v>7857.670000000001</v>
      </c>
      <c r="E22" s="423">
        <f>SUM(E6:E17)</f>
        <v>35598.99</v>
      </c>
      <c r="F22" s="423">
        <f>SUM(F6:F17)</f>
        <v>10653.199999999999</v>
      </c>
      <c r="G22" s="424"/>
      <c r="H22" s="423">
        <f>SUM(H6:H17)</f>
        <v>2530.34</v>
      </c>
      <c r="I22" s="423">
        <f>SUM(I6:I17)</f>
        <v>672.77</v>
      </c>
      <c r="J22" s="423">
        <f>SUM(J6:J17)</f>
        <v>3203.1099999999997</v>
      </c>
      <c r="K22" s="423">
        <f>SUM(K6:K17)</f>
        <v>992.24000000000012</v>
      </c>
      <c r="L22" s="424">
        <f>+J22/K22</f>
        <v>3.2281605256792703</v>
      </c>
      <c r="M22" s="389"/>
      <c r="N22" s="389"/>
      <c r="O22" s="389"/>
      <c r="P22" s="423">
        <f>SUM(P6:P17)</f>
        <v>38802.099999999991</v>
      </c>
      <c r="Q22" s="404"/>
    </row>
    <row r="23" spans="1:17" ht="15.75">
      <c r="A23" s="389"/>
      <c r="B23" s="389"/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404"/>
    </row>
    <row r="24" spans="1:17" ht="15.75">
      <c r="A24" s="389" t="s">
        <v>655</v>
      </c>
      <c r="B24" s="389"/>
      <c r="C24" s="423">
        <f>SUM(C9:C20)</f>
        <v>27434.679999999997</v>
      </c>
      <c r="D24" s="423">
        <f>SUM(D9:D20)</f>
        <v>7844.99</v>
      </c>
      <c r="E24" s="423">
        <f>SUM(E9:E20)</f>
        <v>35279.67</v>
      </c>
      <c r="F24" s="389"/>
      <c r="G24" s="389"/>
      <c r="H24" s="423">
        <f>SUM(H9:H20)</f>
        <v>2647.54</v>
      </c>
      <c r="I24" s="423">
        <f>SUM(I9:I20)</f>
        <v>715.52</v>
      </c>
      <c r="J24" s="423">
        <f>SUM(J9:J20)</f>
        <v>3363.06</v>
      </c>
      <c r="K24" s="389"/>
      <c r="L24" s="389"/>
      <c r="M24" s="389"/>
      <c r="N24" s="389"/>
      <c r="O24" s="389"/>
      <c r="P24" s="423">
        <f>SUM(P9:P20)</f>
        <v>38642.729999999996</v>
      </c>
      <c r="Q24" s="404"/>
    </row>
    <row r="25" spans="1:17" ht="15.75">
      <c r="A25" s="389"/>
      <c r="B25" s="389"/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404"/>
    </row>
    <row r="26" spans="1:17" ht="15.75">
      <c r="A26" s="389"/>
      <c r="B26" s="389"/>
      <c r="C26" s="423">
        <f>+C24-C22</f>
        <v>-306.63999999999942</v>
      </c>
      <c r="D26" s="423">
        <f>+D24-D22</f>
        <v>-12.680000000001201</v>
      </c>
      <c r="E26" s="423">
        <f>+E24-E22</f>
        <v>-319.31999999999971</v>
      </c>
      <c r="F26" s="389"/>
      <c r="G26" s="389"/>
      <c r="H26" s="423">
        <f>+H24-H22</f>
        <v>117.19999999999982</v>
      </c>
      <c r="I26" s="423">
        <f>+I24-I22</f>
        <v>42.75</v>
      </c>
      <c r="J26" s="423">
        <f>+J24-J22</f>
        <v>159.95000000000027</v>
      </c>
      <c r="K26" s="389"/>
      <c r="L26" s="389"/>
      <c r="M26" s="423"/>
      <c r="N26" s="389"/>
      <c r="O26" s="389"/>
      <c r="P26" s="423">
        <f>+P24-P22</f>
        <v>-159.36999999999534</v>
      </c>
      <c r="Q26" s="404"/>
    </row>
    <row r="27" spans="1:17" ht="15.75">
      <c r="A27" s="404"/>
      <c r="B27" s="404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Q27" s="404"/>
    </row>
    <row r="28" spans="1:17" ht="15.75">
      <c r="A28" s="404"/>
      <c r="B28" s="404"/>
      <c r="C28" s="404"/>
      <c r="D28" s="404"/>
      <c r="E28" s="404"/>
      <c r="F28" s="404"/>
      <c r="G28" s="404"/>
      <c r="H28" s="404"/>
      <c r="I28" s="404"/>
      <c r="J28" s="404"/>
      <c r="K28" s="404"/>
      <c r="L28" s="404"/>
      <c r="M28" s="404"/>
      <c r="N28" s="404"/>
      <c r="O28" s="404"/>
      <c r="P28" s="404"/>
      <c r="Q28" s="404"/>
    </row>
    <row r="29" spans="1:17" ht="15.75">
      <c r="A29" s="404"/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</row>
    <row r="30" spans="1:17" ht="15.75">
      <c r="A30" s="404"/>
      <c r="B30" s="404"/>
      <c r="C30" s="404"/>
      <c r="D30" s="404"/>
      <c r="E30" s="404"/>
      <c r="F30" s="404"/>
      <c r="G30" s="404"/>
      <c r="H30" s="404"/>
      <c r="I30" s="404"/>
      <c r="J30" s="404"/>
      <c r="K30" s="404"/>
      <c r="L30" s="404"/>
      <c r="M30" s="404"/>
      <c r="N30" s="404"/>
      <c r="O30" s="404"/>
      <c r="P30" s="404"/>
      <c r="Q30" s="404"/>
    </row>
    <row r="31" spans="1:17" ht="15.75">
      <c r="A31" s="404"/>
      <c r="B31" s="404"/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</row>
    <row r="32" spans="1:17" ht="15.75">
      <c r="A32" s="404"/>
      <c r="B32" s="404"/>
      <c r="C32" s="404"/>
      <c r="D32" s="404"/>
      <c r="E32" s="404"/>
      <c r="F32" s="404"/>
      <c r="G32" s="404"/>
      <c r="H32" s="404"/>
      <c r="I32" s="404"/>
      <c r="J32" s="404"/>
      <c r="K32" s="404"/>
      <c r="L32" s="404"/>
      <c r="M32" s="404"/>
      <c r="N32" s="404"/>
      <c r="O32" s="404"/>
      <c r="P32" s="404"/>
      <c r="Q32" s="404"/>
    </row>
    <row r="33" spans="1:17" ht="15.75">
      <c r="A33" s="404"/>
      <c r="B33" s="404"/>
      <c r="C33" s="404"/>
      <c r="D33" s="404"/>
      <c r="E33" s="404"/>
      <c r="F33" s="404"/>
      <c r="G33" s="404"/>
      <c r="H33" s="404"/>
      <c r="I33" s="404"/>
      <c r="J33" s="404"/>
      <c r="K33" s="404"/>
      <c r="L33" s="404"/>
      <c r="M33" s="404"/>
      <c r="N33" s="404"/>
      <c r="O33" s="404"/>
      <c r="P33" s="404"/>
      <c r="Q33" s="404"/>
    </row>
    <row r="34" spans="1:17" ht="15.75">
      <c r="A34" s="404"/>
      <c r="B34" s="404"/>
      <c r="C34" s="404"/>
      <c r="D34" s="404"/>
      <c r="E34" s="404"/>
      <c r="F34" s="404"/>
      <c r="G34" s="404"/>
      <c r="H34" s="404"/>
      <c r="I34" s="404"/>
      <c r="J34" s="404"/>
      <c r="K34" s="404"/>
      <c r="L34" s="404"/>
      <c r="M34" s="404"/>
      <c r="N34" s="404"/>
      <c r="O34" s="404"/>
      <c r="P34" s="404"/>
      <c r="Q34" s="404"/>
    </row>
    <row r="35" spans="1:17" ht="15.75">
      <c r="A35" s="404"/>
      <c r="B35" s="404"/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</row>
    <row r="36" spans="1:17" ht="15.75">
      <c r="A36" s="404"/>
      <c r="B36" s="404"/>
      <c r="C36" s="404"/>
      <c r="D36" s="404"/>
      <c r="E36" s="404"/>
      <c r="F36" s="404"/>
      <c r="G36" s="404"/>
      <c r="H36" s="404"/>
      <c r="I36" s="404"/>
      <c r="J36" s="404"/>
      <c r="K36" s="404"/>
      <c r="L36" s="404"/>
      <c r="M36" s="404"/>
      <c r="N36" s="404"/>
      <c r="O36" s="404"/>
      <c r="P36" s="404"/>
      <c r="Q36" s="404"/>
    </row>
    <row r="37" spans="1:17" ht="15.75">
      <c r="A37" s="404"/>
      <c r="B37" s="404"/>
      <c r="C37" s="404"/>
      <c r="D37" s="404"/>
      <c r="E37" s="404"/>
      <c r="F37" s="404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</row>
    <row r="38" spans="1:17" ht="15.75">
      <c r="A38" s="404"/>
      <c r="B38" s="404"/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/>
      <c r="N38" s="404"/>
      <c r="O38" s="404"/>
      <c r="P38" s="404"/>
      <c r="Q38" s="404"/>
    </row>
    <row r="39" spans="1:17" ht="15.75">
      <c r="A39" s="404"/>
      <c r="B39" s="404"/>
      <c r="C39" s="404"/>
      <c r="D39" s="404"/>
      <c r="E39" s="404"/>
      <c r="F39" s="404"/>
      <c r="G39" s="404"/>
      <c r="H39" s="404"/>
      <c r="I39" s="404"/>
      <c r="J39" s="404"/>
      <c r="K39" s="404"/>
      <c r="L39" s="404"/>
      <c r="M39" s="404"/>
      <c r="N39" s="404"/>
      <c r="O39" s="404"/>
      <c r="P39" s="404"/>
      <c r="Q39" s="404"/>
    </row>
    <row r="40" spans="1:17" ht="15.75">
      <c r="A40" s="404"/>
      <c r="B40" s="404"/>
      <c r="C40" s="404"/>
      <c r="D40" s="404"/>
      <c r="E40" s="404"/>
      <c r="F40" s="404"/>
      <c r="G40" s="404"/>
      <c r="H40" s="404"/>
      <c r="I40" s="404"/>
      <c r="J40" s="404"/>
      <c r="K40" s="404"/>
      <c r="L40" s="404"/>
      <c r="M40" s="404"/>
      <c r="N40" s="404"/>
      <c r="O40" s="404"/>
      <c r="P40" s="404"/>
      <c r="Q40" s="404"/>
    </row>
    <row r="41" spans="1:17" ht="15.75">
      <c r="A41" s="404"/>
      <c r="B41" s="404"/>
      <c r="C41" s="404"/>
      <c r="D41" s="404"/>
      <c r="E41" s="404"/>
      <c r="F41" s="404"/>
      <c r="G41" s="404"/>
      <c r="H41" s="404"/>
      <c r="I41" s="404"/>
      <c r="J41" s="404"/>
      <c r="K41" s="404"/>
      <c r="L41" s="404"/>
      <c r="M41" s="404"/>
      <c r="N41" s="404"/>
      <c r="O41" s="404"/>
      <c r="P41" s="404"/>
      <c r="Q41" s="404"/>
    </row>
    <row r="42" spans="1:17" ht="15.75">
      <c r="A42" s="404"/>
      <c r="B42" s="404"/>
      <c r="C42" s="404"/>
      <c r="D42" s="404"/>
      <c r="E42" s="404"/>
      <c r="F42" s="404"/>
      <c r="G42" s="404"/>
      <c r="H42" s="404"/>
      <c r="I42" s="404"/>
      <c r="J42" s="404"/>
      <c r="K42" s="404"/>
      <c r="L42" s="404"/>
      <c r="M42" s="404"/>
      <c r="N42" s="404"/>
      <c r="O42" s="404"/>
      <c r="P42" s="404"/>
      <c r="Q42" s="404"/>
    </row>
    <row r="43" spans="1:17" ht="15.75">
      <c r="A43" s="404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</row>
    <row r="44" spans="1:17" ht="15.75">
      <c r="A44" s="404"/>
      <c r="B44" s="404"/>
      <c r="C44" s="404"/>
      <c r="D44" s="404"/>
      <c r="E44" s="404"/>
      <c r="F44" s="404"/>
      <c r="G44" s="404"/>
      <c r="H44" s="404"/>
      <c r="I44" s="404"/>
      <c r="J44" s="404"/>
      <c r="K44" s="404"/>
      <c r="L44" s="404"/>
      <c r="M44" s="404"/>
      <c r="N44" s="404"/>
      <c r="O44" s="404"/>
      <c r="P44" s="404"/>
      <c r="Q44" s="404"/>
    </row>
    <row r="45" spans="1:17" ht="15.75">
      <c r="A45" s="404"/>
      <c r="B45" s="404"/>
      <c r="C45" s="404"/>
      <c r="D45" s="404"/>
      <c r="E45" s="404"/>
      <c r="F45" s="404"/>
      <c r="G45" s="404"/>
      <c r="H45" s="404"/>
      <c r="I45" s="404"/>
      <c r="J45" s="404"/>
      <c r="K45" s="404"/>
      <c r="L45" s="404"/>
      <c r="M45" s="404"/>
      <c r="N45" s="404"/>
      <c r="O45" s="404"/>
      <c r="P45" s="404"/>
      <c r="Q45" s="404"/>
    </row>
    <row r="46" spans="1:17" ht="15.75">
      <c r="A46" s="404"/>
      <c r="B46" s="404"/>
      <c r="C46" s="404"/>
      <c r="D46" s="404"/>
      <c r="E46" s="404"/>
      <c r="F46" s="404"/>
      <c r="G46" s="404"/>
      <c r="H46" s="404"/>
      <c r="I46" s="404"/>
      <c r="J46" s="404"/>
      <c r="K46" s="404"/>
      <c r="L46" s="404"/>
      <c r="M46" s="404"/>
      <c r="N46" s="404"/>
      <c r="O46" s="404"/>
      <c r="P46" s="404"/>
      <c r="Q46" s="404"/>
    </row>
    <row r="47" spans="1:17" ht="15.75">
      <c r="A47" s="404"/>
      <c r="B47" s="404"/>
      <c r="C47" s="404"/>
      <c r="D47" s="404"/>
      <c r="E47" s="404"/>
      <c r="F47" s="404"/>
      <c r="G47" s="404"/>
      <c r="H47" s="404"/>
      <c r="I47" s="404"/>
      <c r="J47" s="404"/>
      <c r="K47" s="404"/>
      <c r="L47" s="404"/>
      <c r="M47" s="404"/>
      <c r="N47" s="404"/>
      <c r="O47" s="404"/>
      <c r="P47" s="404"/>
      <c r="Q47" s="404"/>
    </row>
    <row r="48" spans="1:17" ht="15.75">
      <c r="A48" s="404"/>
      <c r="B48" s="404"/>
      <c r="C48" s="404"/>
      <c r="D48" s="404"/>
      <c r="E48" s="404"/>
      <c r="F48" s="404"/>
      <c r="G48" s="404"/>
      <c r="H48" s="404"/>
      <c r="I48" s="404"/>
      <c r="J48" s="404"/>
      <c r="K48" s="404"/>
      <c r="L48" s="404"/>
      <c r="M48" s="404"/>
      <c r="N48" s="404"/>
      <c r="O48" s="404"/>
      <c r="P48" s="404"/>
      <c r="Q48" s="40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3"/>
  <sheetViews>
    <sheetView workbookViewId="0">
      <selection activeCell="J41" sqref="J41"/>
    </sheetView>
  </sheetViews>
  <sheetFormatPr defaultRowHeight="15"/>
  <cols>
    <col min="1" max="1" width="29.5546875" style="203" customWidth="1"/>
    <col min="2" max="2" width="10.33203125" style="203" bestFit="1" customWidth="1"/>
    <col min="3" max="3" width="9.5546875" style="203" bestFit="1" customWidth="1"/>
    <col min="4" max="4" width="10.21875" style="203" bestFit="1" customWidth="1"/>
    <col min="5" max="5" width="9.5546875" style="203" bestFit="1" customWidth="1"/>
    <col min="6" max="6" width="10.33203125" style="203" customWidth="1"/>
    <col min="7" max="7" width="11.33203125" style="203" customWidth="1"/>
    <col min="8" max="9" width="11.6640625" style="203" bestFit="1" customWidth="1"/>
    <col min="10" max="11" width="10.5546875" style="203" bestFit="1" customWidth="1"/>
    <col min="12" max="16384" width="8.88671875" style="203"/>
  </cols>
  <sheetData>
    <row r="1" spans="1:13">
      <c r="A1" s="213"/>
      <c r="B1" s="226" t="s">
        <v>365</v>
      </c>
      <c r="C1" s="226"/>
      <c r="D1" s="226"/>
      <c r="E1" s="226"/>
      <c r="F1" s="226"/>
      <c r="G1" s="226"/>
      <c r="H1" s="226"/>
      <c r="I1" s="226"/>
      <c r="J1" s="226"/>
      <c r="K1" s="215"/>
    </row>
    <row r="2" spans="1:13">
      <c r="A2" s="214"/>
      <c r="B2" s="227" t="s">
        <v>308</v>
      </c>
      <c r="C2" s="227"/>
      <c r="D2" s="227"/>
      <c r="E2" s="227"/>
      <c r="F2" s="227"/>
      <c r="G2" s="227"/>
      <c r="H2" s="227"/>
      <c r="I2" s="216"/>
      <c r="J2" s="216"/>
      <c r="K2" s="217"/>
    </row>
    <row r="3" spans="1:13">
      <c r="A3" s="218"/>
      <c r="B3" s="228" t="s">
        <v>2</v>
      </c>
      <c r="C3" s="228" t="s">
        <v>3</v>
      </c>
      <c r="D3" s="228" t="s">
        <v>4</v>
      </c>
      <c r="E3" s="228" t="s">
        <v>5</v>
      </c>
      <c r="F3" s="228" t="s">
        <v>6</v>
      </c>
      <c r="G3" s="228"/>
      <c r="H3" s="228" t="s">
        <v>7</v>
      </c>
      <c r="I3" s="228" t="s">
        <v>284</v>
      </c>
      <c r="J3" s="229"/>
      <c r="K3" s="228"/>
    </row>
    <row r="4" spans="1:13">
      <c r="A4" s="218"/>
      <c r="B4" s="219"/>
      <c r="C4" s="219" t="s">
        <v>285</v>
      </c>
      <c r="D4" s="219" t="s">
        <v>286</v>
      </c>
      <c r="E4" s="219" t="s">
        <v>287</v>
      </c>
      <c r="F4" s="219" t="s">
        <v>288</v>
      </c>
      <c r="G4" s="219"/>
      <c r="H4" s="219" t="s">
        <v>289</v>
      </c>
      <c r="I4" s="219" t="s">
        <v>288</v>
      </c>
      <c r="J4" s="219" t="s">
        <v>290</v>
      </c>
      <c r="K4" s="219" t="s">
        <v>288</v>
      </c>
    </row>
    <row r="5" spans="1:13">
      <c r="A5" s="218"/>
      <c r="B5" s="220" t="s">
        <v>291</v>
      </c>
      <c r="C5" s="220" t="s">
        <v>292</v>
      </c>
      <c r="D5" s="220" t="s">
        <v>16</v>
      </c>
      <c r="E5" s="220" t="s">
        <v>292</v>
      </c>
      <c r="F5" s="220" t="s">
        <v>293</v>
      </c>
      <c r="G5" s="220" t="s">
        <v>629</v>
      </c>
      <c r="H5" s="220" t="s">
        <v>631</v>
      </c>
      <c r="I5" s="220" t="s">
        <v>294</v>
      </c>
      <c r="J5" s="220" t="s">
        <v>295</v>
      </c>
      <c r="K5" s="220" t="s">
        <v>295</v>
      </c>
    </row>
    <row r="6" spans="1:13" ht="15.75">
      <c r="A6" s="221" t="s">
        <v>12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</row>
    <row r="7" spans="1:13">
      <c r="A7" s="221" t="s">
        <v>296</v>
      </c>
      <c r="B7" s="250">
        <f>+'12 Month P&amp;L '!N8+'12 Month P&amp;L '!N9</f>
        <v>274665.57</v>
      </c>
      <c r="C7" s="224">
        <f>+'Restating Adj'!K7</f>
        <v>-15896.108934176014</v>
      </c>
      <c r="D7" s="250">
        <f>SUM(B7:C7)</f>
        <v>258769.461065824</v>
      </c>
      <c r="E7" s="250"/>
      <c r="F7" s="250">
        <f>SUM(D7:E7)</f>
        <v>258769.461065824</v>
      </c>
      <c r="G7" s="427" t="s">
        <v>630</v>
      </c>
      <c r="H7" s="250"/>
      <c r="I7" s="250">
        <f>+F7</f>
        <v>258769.461065824</v>
      </c>
      <c r="J7" s="250">
        <f>+'Price Out - Rate Year'!T14-I7</f>
        <v>63953.295734175976</v>
      </c>
      <c r="K7" s="250">
        <f>SUM(I7:J7)</f>
        <v>322722.75679999997</v>
      </c>
    </row>
    <row r="8" spans="1:13">
      <c r="A8" s="221" t="s">
        <v>297</v>
      </c>
      <c r="B8" s="250">
        <f>+'12 Month P&amp;L '!N10+'12 Month P&amp;L '!N13</f>
        <v>480270.49000000005</v>
      </c>
      <c r="C8" s="224">
        <f>+'Restating Adj'!K8</f>
        <v>-26268.289320706484</v>
      </c>
      <c r="D8" s="250">
        <f t="shared" ref="D8:D14" si="0">SUM(B8:C8)</f>
        <v>454002.20067929354</v>
      </c>
      <c r="E8" s="250"/>
      <c r="F8" s="250">
        <f t="shared" ref="F8:F14" si="1">SUM(D8:E8)</f>
        <v>454002.20067929354</v>
      </c>
      <c r="G8" s="427" t="s">
        <v>630</v>
      </c>
      <c r="H8" s="250"/>
      <c r="I8" s="250">
        <f>+F8</f>
        <v>454002.20067929354</v>
      </c>
      <c r="J8" s="250">
        <f>+'Price Out - Rate Year'!V45-Results!I8</f>
        <v>119593.65215270646</v>
      </c>
      <c r="K8" s="250">
        <f>SUM(I8:J8)</f>
        <v>573595.852832</v>
      </c>
    </row>
    <row r="9" spans="1:13">
      <c r="A9" s="221" t="s">
        <v>298</v>
      </c>
      <c r="B9" s="250">
        <f>+'12 Month P&amp;L '!N11</f>
        <v>102581.33000000002</v>
      </c>
      <c r="C9" s="224">
        <f>+'Restating Adj'!K9</f>
        <v>-47871.936745117506</v>
      </c>
      <c r="D9" s="250">
        <f t="shared" si="0"/>
        <v>54709.393254882511</v>
      </c>
      <c r="E9" s="250"/>
      <c r="F9" s="250">
        <f t="shared" si="1"/>
        <v>54709.393254882511</v>
      </c>
      <c r="G9" s="427" t="s">
        <v>630</v>
      </c>
      <c r="H9" s="250"/>
      <c r="I9" s="250">
        <f>+F9</f>
        <v>54709.393254882511</v>
      </c>
      <c r="J9" s="250">
        <f>+'Price Out - Rate Year'!U58-Results!I9</f>
        <v>20807.156345117488</v>
      </c>
      <c r="K9" s="250">
        <f>SUM(I9:J9)</f>
        <v>75516.549599999998</v>
      </c>
    </row>
    <row r="10" spans="1:13">
      <c r="A10" s="221" t="s">
        <v>299</v>
      </c>
      <c r="B10" s="250"/>
      <c r="C10" s="224">
        <f>+'Restating Adj'!K10</f>
        <v>41942.345000000016</v>
      </c>
      <c r="D10" s="250">
        <f t="shared" si="0"/>
        <v>41942.345000000016</v>
      </c>
      <c r="E10" s="250"/>
      <c r="F10" s="250">
        <f t="shared" si="1"/>
        <v>41942.345000000016</v>
      </c>
      <c r="G10" s="427" t="s">
        <v>630</v>
      </c>
      <c r="H10" s="250"/>
      <c r="I10" s="250">
        <f>+F10</f>
        <v>41942.345000000016</v>
      </c>
      <c r="J10" s="250"/>
      <c r="K10" s="250">
        <f>SUM(I10:J10)</f>
        <v>41942.345000000016</v>
      </c>
    </row>
    <row r="11" spans="1:13">
      <c r="A11" s="221" t="s">
        <v>300</v>
      </c>
      <c r="B11" s="250">
        <f>+'12 Month P&amp;L '!N17</f>
        <v>79501.179999999993</v>
      </c>
      <c r="C11" s="224">
        <f>+'Restating Adj'!K11</f>
        <v>0</v>
      </c>
      <c r="D11" s="250">
        <f t="shared" si="0"/>
        <v>79501.179999999993</v>
      </c>
      <c r="E11" s="250"/>
      <c r="F11" s="250">
        <f t="shared" si="1"/>
        <v>79501.179999999993</v>
      </c>
      <c r="G11" s="427" t="s">
        <v>630</v>
      </c>
      <c r="H11" s="250"/>
      <c r="I11" s="250">
        <f>+F11</f>
        <v>79501.179999999993</v>
      </c>
      <c r="J11" s="250">
        <f>+'Price Out - Rate Year'!V16+'Price Out - Rate Year'!V17-Results!I11</f>
        <v>12898.820000000007</v>
      </c>
      <c r="K11" s="250">
        <f>SUM(I11:J11)</f>
        <v>92400</v>
      </c>
      <c r="M11" s="386"/>
    </row>
    <row r="12" spans="1:13">
      <c r="A12" s="221" t="s">
        <v>301</v>
      </c>
      <c r="B12" s="250">
        <f>+'12 Month P&amp;L '!N15</f>
        <v>86994.12999999999</v>
      </c>
      <c r="C12" s="224">
        <f>+'Restating Adj'!K12</f>
        <v>0</v>
      </c>
      <c r="D12" s="250">
        <f t="shared" si="0"/>
        <v>86994.12999999999</v>
      </c>
      <c r="E12" s="250"/>
      <c r="F12" s="250">
        <f t="shared" si="1"/>
        <v>86994.12999999999</v>
      </c>
      <c r="G12" s="427"/>
      <c r="H12" s="250">
        <f>+F12</f>
        <v>86994.12999999999</v>
      </c>
      <c r="I12" s="250"/>
      <c r="J12" s="250"/>
      <c r="K12" s="250"/>
    </row>
    <row r="13" spans="1:13">
      <c r="A13" s="221" t="s">
        <v>302</v>
      </c>
      <c r="B13" s="250">
        <f>+'12 Month P&amp;L '!N16</f>
        <v>16642.46</v>
      </c>
      <c r="C13" s="224">
        <f>+'Restating Adj'!K13</f>
        <v>0</v>
      </c>
      <c r="D13" s="250">
        <f t="shared" si="0"/>
        <v>16642.46</v>
      </c>
      <c r="E13" s="250"/>
      <c r="F13" s="250">
        <f t="shared" si="1"/>
        <v>16642.46</v>
      </c>
      <c r="G13" s="427"/>
      <c r="H13" s="250">
        <f>+F13</f>
        <v>16642.46</v>
      </c>
      <c r="I13" s="250"/>
      <c r="J13" s="250"/>
      <c r="K13" s="250"/>
    </row>
    <row r="14" spans="1:13">
      <c r="A14" s="221" t="s">
        <v>303</v>
      </c>
      <c r="B14" s="253">
        <f>+'12 Month P&amp;L '!N12</f>
        <v>4700</v>
      </c>
      <c r="C14" s="253"/>
      <c r="D14" s="253">
        <f t="shared" si="0"/>
        <v>4700</v>
      </c>
      <c r="E14" s="253"/>
      <c r="F14" s="253">
        <f t="shared" si="1"/>
        <v>4700</v>
      </c>
      <c r="G14" s="428"/>
      <c r="H14" s="253">
        <f>+F14</f>
        <v>4700</v>
      </c>
      <c r="I14" s="253"/>
      <c r="J14" s="253"/>
      <c r="K14" s="253"/>
    </row>
    <row r="15" spans="1:13">
      <c r="A15" s="221" t="s">
        <v>103</v>
      </c>
      <c r="B15" s="250">
        <f>SUM(B7:B14)</f>
        <v>1045355.16</v>
      </c>
      <c r="C15" s="250">
        <f>SUM(C7:C14)</f>
        <v>-48093.989999999991</v>
      </c>
      <c r="D15" s="250">
        <f>SUM(D7:D14)</f>
        <v>997261.17</v>
      </c>
      <c r="E15" s="250">
        <f>SUM(E7:E14)</f>
        <v>0</v>
      </c>
      <c r="F15" s="250">
        <f>SUM(F7:F14)</f>
        <v>997261.17</v>
      </c>
      <c r="G15" s="250"/>
      <c r="H15" s="250">
        <f>SUM(H7:H14)</f>
        <v>108336.59</v>
      </c>
      <c r="I15" s="250">
        <f>SUM(I7:I14)</f>
        <v>888924.58000000007</v>
      </c>
      <c r="J15" s="250">
        <f>SUM(J7:J14)</f>
        <v>217252.92423199993</v>
      </c>
      <c r="K15" s="250">
        <f>SUM(K7:K14)</f>
        <v>1106177.5042320001</v>
      </c>
    </row>
    <row r="16" spans="1:13">
      <c r="A16" s="221"/>
      <c r="B16" s="250"/>
      <c r="C16" s="250"/>
      <c r="D16" s="250"/>
      <c r="E16" s="250"/>
      <c r="F16" s="250"/>
      <c r="G16" s="250"/>
      <c r="H16" s="250"/>
      <c r="I16" s="250"/>
      <c r="J16" s="250"/>
      <c r="K16" s="250"/>
    </row>
    <row r="17" spans="1:13">
      <c r="A17" s="223" t="s">
        <v>158</v>
      </c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M17" s="386"/>
    </row>
    <row r="18" spans="1:13">
      <c r="A18" s="224" t="str">
        <f>+'[1]Consolidate P&amp;L'!C18</f>
        <v>Truck &amp; Cart Maint/Shop Expenses</v>
      </c>
      <c r="B18" s="250">
        <f>+'12 Month P&amp;L '!N113+'12 Month P&amp;L '!N104+'12 Month P&amp;L '!N103+'12 Month P&amp;L '!N102</f>
        <v>52028.299999999996</v>
      </c>
      <c r="C18" s="224">
        <f>+'Restating Adj'!K18</f>
        <v>0</v>
      </c>
      <c r="D18" s="250">
        <f t="shared" ref="D18:D47" si="2">SUM(B18:C18)</f>
        <v>52028.299999999996</v>
      </c>
      <c r="E18" s="250"/>
      <c r="F18" s="250">
        <f t="shared" ref="F18:F47" si="3">SUM(D18:E18)</f>
        <v>52028.299999999996</v>
      </c>
      <c r="G18" s="427" t="s">
        <v>632</v>
      </c>
      <c r="H18" s="250">
        <f>+F18*'Truck Mileage'!$H$9</f>
        <v>1378.522275506534</v>
      </c>
      <c r="I18" s="250">
        <f>+F18-H18</f>
        <v>50649.777724493462</v>
      </c>
      <c r="J18" s="250"/>
      <c r="K18" s="250">
        <f t="shared" ref="K18:K47" si="4">SUM(I18:J18)</f>
        <v>50649.777724493462</v>
      </c>
    </row>
    <row r="19" spans="1:13">
      <c r="A19" s="224" t="str">
        <f>+'[1]Consolidate P&amp;L'!C19</f>
        <v>Shop Supplies</v>
      </c>
      <c r="B19" s="250">
        <f>+'12 Month P&amp;L '!N114</f>
        <v>3468.5800000000004</v>
      </c>
      <c r="C19" s="224">
        <f>+'Restating Adj'!K19</f>
        <v>0</v>
      </c>
      <c r="D19" s="250">
        <f t="shared" si="2"/>
        <v>3468.5800000000004</v>
      </c>
      <c r="E19" s="250"/>
      <c r="F19" s="250">
        <f t="shared" si="3"/>
        <v>3468.5800000000004</v>
      </c>
      <c r="G19" s="427" t="s">
        <v>632</v>
      </c>
      <c r="H19" s="250">
        <f>+F19*'Truck Mileage'!$H$9</f>
        <v>91.902191583742976</v>
      </c>
      <c r="I19" s="250">
        <f>+F19-H19</f>
        <v>3376.6778084162574</v>
      </c>
      <c r="J19" s="250"/>
      <c r="K19" s="250">
        <f t="shared" si="4"/>
        <v>3376.6778084162574</v>
      </c>
    </row>
    <row r="20" spans="1:13">
      <c r="A20" s="224" t="str">
        <f>+'[1]Consolidate P&amp;L'!C20</f>
        <v>Snow Removal</v>
      </c>
      <c r="B20" s="250">
        <f>+'12 Month P&amp;L '!N115</f>
        <v>466.26</v>
      </c>
      <c r="C20" s="224">
        <f>+'Restating Adj'!K20</f>
        <v>0</v>
      </c>
      <c r="D20" s="250">
        <f t="shared" si="2"/>
        <v>466.26</v>
      </c>
      <c r="E20" s="250"/>
      <c r="F20" s="250">
        <f t="shared" si="3"/>
        <v>466.26</v>
      </c>
      <c r="G20" s="427" t="s">
        <v>632</v>
      </c>
      <c r="H20" s="250">
        <f>+F20*'Truck Mileage'!$H$9</f>
        <v>12.353849658314351</v>
      </c>
      <c r="I20" s="250">
        <f>+F20-H20</f>
        <v>453.90615034168565</v>
      </c>
      <c r="J20" s="250"/>
      <c r="K20" s="250">
        <f t="shared" si="4"/>
        <v>453.90615034168565</v>
      </c>
    </row>
    <row r="21" spans="1:13">
      <c r="A21" s="224" t="str">
        <f>+'[1]Consolidate P&amp;L'!C21</f>
        <v>Driver payroll</v>
      </c>
      <c r="B21" s="250">
        <f>+'12 Month P&amp;L '!N88+'12 Month P&amp;L '!N89</f>
        <v>186080.6</v>
      </c>
      <c r="C21" s="224">
        <f>+'Restating Adj'!K21</f>
        <v>0</v>
      </c>
      <c r="D21" s="250">
        <f t="shared" si="2"/>
        <v>186080.6</v>
      </c>
      <c r="E21" s="250"/>
      <c r="F21" s="250">
        <f t="shared" si="3"/>
        <v>186080.6</v>
      </c>
      <c r="G21" s="427" t="s">
        <v>545</v>
      </c>
      <c r="H21" s="250">
        <f>+F21*Payroll!O16</f>
        <v>28753.303947601842</v>
      </c>
      <c r="I21" s="250">
        <f>+F21-H21</f>
        <v>157327.29605239816</v>
      </c>
      <c r="J21" s="250"/>
      <c r="K21" s="250">
        <f t="shared" si="4"/>
        <v>157327.29605239816</v>
      </c>
    </row>
    <row r="22" spans="1:13">
      <c r="A22" s="224" t="s">
        <v>304</v>
      </c>
      <c r="B22" s="250"/>
      <c r="C22" s="224">
        <f>+'Restating Adj'!K22</f>
        <v>0</v>
      </c>
      <c r="D22" s="250">
        <f t="shared" si="2"/>
        <v>0</v>
      </c>
      <c r="E22" s="250"/>
      <c r="F22" s="250">
        <f t="shared" si="3"/>
        <v>0</v>
      </c>
      <c r="G22" s="427"/>
      <c r="H22" s="250"/>
      <c r="I22" s="250"/>
      <c r="J22" s="250"/>
      <c r="K22" s="250">
        <f t="shared" si="4"/>
        <v>0</v>
      </c>
    </row>
    <row r="23" spans="1:13">
      <c r="A23" s="224" t="str">
        <f>+'[1]Consolidate P&amp;L'!C22</f>
        <v>Fuel &amp; Oil</v>
      </c>
      <c r="B23" s="250">
        <f>+'12 Month P&amp;L '!N49</f>
        <v>41169.129999999997</v>
      </c>
      <c r="C23" s="224">
        <f>+'Restating Adj'!K23</f>
        <v>0</v>
      </c>
      <c r="D23" s="250">
        <f t="shared" si="2"/>
        <v>41169.129999999997</v>
      </c>
      <c r="E23" s="250">
        <f>+'Pro Forma Adj'!K23</f>
        <v>-159.36999999999534</v>
      </c>
      <c r="F23" s="250">
        <f t="shared" si="3"/>
        <v>41009.760000000002</v>
      </c>
      <c r="G23" s="427" t="s">
        <v>632</v>
      </c>
      <c r="H23" s="250">
        <f>+F23*'Truck Mileage'!$H$9</f>
        <v>1086.5791823522361</v>
      </c>
      <c r="I23" s="250">
        <f>+F23-H23</f>
        <v>39923.180817647764</v>
      </c>
      <c r="J23" s="250"/>
      <c r="K23" s="250">
        <f t="shared" si="4"/>
        <v>39923.180817647764</v>
      </c>
    </row>
    <row r="24" spans="1:13">
      <c r="A24" s="224" t="str">
        <f>+'[1]Consolidate P&amp;L'!C23</f>
        <v>Disposal Fees &amp; Charges</v>
      </c>
      <c r="B24" s="250">
        <f>+'12 Month P&amp;L '!N141</f>
        <v>209585.84999999998</v>
      </c>
      <c r="C24" s="224">
        <f>+'Restating Adj'!K24</f>
        <v>-39784.970000000016</v>
      </c>
      <c r="D24" s="250">
        <f t="shared" si="2"/>
        <v>169800.87999999995</v>
      </c>
      <c r="E24" s="250"/>
      <c r="F24" s="250">
        <f t="shared" si="3"/>
        <v>169800.87999999995</v>
      </c>
      <c r="G24" s="427" t="s">
        <v>630</v>
      </c>
      <c r="H24" s="250"/>
      <c r="I24" s="250">
        <f>+F24</f>
        <v>169800.87999999995</v>
      </c>
      <c r="J24" s="250"/>
      <c r="K24" s="250">
        <f t="shared" si="4"/>
        <v>169800.87999999995</v>
      </c>
    </row>
    <row r="25" spans="1:13">
      <c r="A25" s="224" t="s">
        <v>305</v>
      </c>
      <c r="B25" s="250"/>
      <c r="C25" s="224">
        <f>+'Restating Adj'!K25</f>
        <v>41942.345000000016</v>
      </c>
      <c r="D25" s="250">
        <f t="shared" si="2"/>
        <v>41942.345000000016</v>
      </c>
      <c r="E25" s="250"/>
      <c r="F25" s="250">
        <f t="shared" si="3"/>
        <v>41942.345000000016</v>
      </c>
      <c r="G25" s="427" t="s">
        <v>630</v>
      </c>
      <c r="H25" s="250"/>
      <c r="I25" s="250">
        <f>+F25</f>
        <v>41942.345000000016</v>
      </c>
      <c r="J25" s="250"/>
      <c r="K25" s="250">
        <f t="shared" si="4"/>
        <v>41942.345000000016</v>
      </c>
    </row>
    <row r="26" spans="1:13">
      <c r="A26" s="224" t="s">
        <v>306</v>
      </c>
      <c r="B26" s="250">
        <f>+'12 Month P&amp;L '!N140</f>
        <v>43867.39</v>
      </c>
      <c r="C26" s="224">
        <f>+'Restating Adj'!K26</f>
        <v>0</v>
      </c>
      <c r="D26" s="250">
        <f t="shared" si="2"/>
        <v>43867.39</v>
      </c>
      <c r="E26" s="250">
        <f>+'Pro Forma Adj'!C26</f>
        <v>3976.977350000001</v>
      </c>
      <c r="F26" s="250">
        <f t="shared" si="3"/>
        <v>47844.36735</v>
      </c>
      <c r="G26" s="427" t="s">
        <v>630</v>
      </c>
      <c r="H26" s="250">
        <f>+F26</f>
        <v>47844.36735</v>
      </c>
      <c r="I26" s="250"/>
      <c r="J26" s="250"/>
      <c r="K26" s="250">
        <f t="shared" si="4"/>
        <v>0</v>
      </c>
    </row>
    <row r="27" spans="1:13">
      <c r="A27" s="224" t="str">
        <f>+'[1]Consolidate P&amp;L'!C24</f>
        <v>Advertising</v>
      </c>
      <c r="B27" s="250">
        <f>+'12 Month P&amp;L '!N27</f>
        <v>6413.3600000000006</v>
      </c>
      <c r="C27" s="224">
        <f>+'Restating Adj'!K27</f>
        <v>0</v>
      </c>
      <c r="D27" s="250">
        <f t="shared" si="2"/>
        <v>6413.3600000000006</v>
      </c>
      <c r="E27" s="250"/>
      <c r="F27" s="250">
        <f t="shared" si="3"/>
        <v>6413.3600000000006</v>
      </c>
      <c r="G27" s="427" t="s">
        <v>634</v>
      </c>
      <c r="H27" s="250">
        <f>+'Customer Count Test Year'!$H$71*F27</f>
        <v>267.88701738541431</v>
      </c>
      <c r="I27" s="250">
        <f t="shared" ref="I27:I32" si="5">+F27-H27</f>
        <v>6145.4729826145867</v>
      </c>
      <c r="J27" s="250"/>
      <c r="K27" s="250">
        <f t="shared" si="4"/>
        <v>6145.4729826145867</v>
      </c>
    </row>
    <row r="28" spans="1:13">
      <c r="A28" s="224" t="str">
        <f>+'[1]Consolidate P&amp;L'!C25</f>
        <v>Insurance</v>
      </c>
      <c r="B28" s="250">
        <f>+'12 Month P&amp;L '!N52</f>
        <v>21668</v>
      </c>
      <c r="C28" s="224">
        <f>+'Restating Adj'!K28</f>
        <v>0</v>
      </c>
      <c r="D28" s="250">
        <f t="shared" si="2"/>
        <v>21668</v>
      </c>
      <c r="E28" s="250"/>
      <c r="F28" s="250">
        <f t="shared" si="3"/>
        <v>21668</v>
      </c>
      <c r="G28" s="427" t="s">
        <v>632</v>
      </c>
      <c r="H28" s="250">
        <f>+F28*'Truck Mileage'!$H$9</f>
        <v>574.10718139311837</v>
      </c>
      <c r="I28" s="250">
        <f t="shared" si="5"/>
        <v>21093.892818606881</v>
      </c>
      <c r="J28" s="250"/>
      <c r="K28" s="250">
        <f t="shared" si="4"/>
        <v>21093.892818606881</v>
      </c>
    </row>
    <row r="29" spans="1:13">
      <c r="A29" s="224" t="str">
        <f>+'[1]Consolidate P&amp;L'!C26</f>
        <v>Officer payroll</v>
      </c>
      <c r="B29" s="250">
        <f>+'12 Month P&amp;L '!N90</f>
        <v>195114.35000000003</v>
      </c>
      <c r="C29" s="224">
        <f>+'Restating Adj'!K29</f>
        <v>0</v>
      </c>
      <c r="D29" s="250">
        <f t="shared" si="2"/>
        <v>195114.35000000003</v>
      </c>
      <c r="E29" s="250"/>
      <c r="F29" s="250">
        <f t="shared" si="3"/>
        <v>195114.35000000003</v>
      </c>
      <c r="G29" s="427" t="s">
        <v>545</v>
      </c>
      <c r="H29" s="250">
        <f>+F29*Payroll!$O$16</f>
        <v>30149.20529108767</v>
      </c>
      <c r="I29" s="250">
        <f t="shared" si="5"/>
        <v>164965.14470891235</v>
      </c>
      <c r="J29" s="250"/>
      <c r="K29" s="250">
        <f t="shared" si="4"/>
        <v>164965.14470891235</v>
      </c>
    </row>
    <row r="30" spans="1:13">
      <c r="A30" s="224" t="str">
        <f>+'[1]Consolidate P&amp;L'!C27</f>
        <v>Office supplies</v>
      </c>
      <c r="B30" s="250">
        <f>+'12 Month P&amp;L '!N69</f>
        <v>15612.97</v>
      </c>
      <c r="C30" s="224">
        <f>+'Restating Adj'!K30</f>
        <v>432</v>
      </c>
      <c r="D30" s="250">
        <f t="shared" si="2"/>
        <v>16044.97</v>
      </c>
      <c r="E30" s="250"/>
      <c r="F30" s="250">
        <f t="shared" si="3"/>
        <v>16044.97</v>
      </c>
      <c r="G30" s="427" t="s">
        <v>634</v>
      </c>
      <c r="H30" s="250">
        <f>+'Customer Count Test Year'!$H$71*F30</f>
        <v>670.20082411379542</v>
      </c>
      <c r="I30" s="250">
        <f t="shared" si="5"/>
        <v>15374.769175886204</v>
      </c>
      <c r="J30" s="250"/>
      <c r="K30" s="250">
        <f t="shared" si="4"/>
        <v>15374.769175886204</v>
      </c>
    </row>
    <row r="31" spans="1:13">
      <c r="A31" s="224" t="str">
        <f>+'[1]Consolidate P&amp;L'!C28</f>
        <v>Drug Testing</v>
      </c>
      <c r="B31" s="250">
        <f>+'12 Month P&amp;L '!N30</f>
        <v>590.04</v>
      </c>
      <c r="C31" s="224">
        <f>+'Restating Adj'!K31</f>
        <v>0</v>
      </c>
      <c r="D31" s="250">
        <f t="shared" si="2"/>
        <v>590.04</v>
      </c>
      <c r="E31" s="250"/>
      <c r="F31" s="250">
        <f t="shared" si="3"/>
        <v>590.04</v>
      </c>
      <c r="G31" s="427" t="s">
        <v>545</v>
      </c>
      <c r="H31" s="250">
        <f>+F31*Payroll!$O$16</f>
        <v>91.17339185945761</v>
      </c>
      <c r="I31" s="250">
        <f t="shared" si="5"/>
        <v>498.86660814054233</v>
      </c>
      <c r="J31" s="250"/>
      <c r="K31" s="250">
        <f t="shared" si="4"/>
        <v>498.86660814054233</v>
      </c>
    </row>
    <row r="32" spans="1:13">
      <c r="A32" s="224" t="s">
        <v>322</v>
      </c>
      <c r="B32" s="250">
        <f>+'12 Month P&amp;L '!N28</f>
        <v>65</v>
      </c>
      <c r="C32" s="224">
        <f>+'Restating Adj'!K32</f>
        <v>0</v>
      </c>
      <c r="D32" s="250">
        <f t="shared" si="2"/>
        <v>65</v>
      </c>
      <c r="E32" s="250"/>
      <c r="F32" s="250">
        <f t="shared" si="3"/>
        <v>65</v>
      </c>
      <c r="G32" s="427" t="s">
        <v>634</v>
      </c>
      <c r="H32" s="250">
        <f>+'Customer Count Test Year'!$H$71*F32</f>
        <v>2.7150598329193949</v>
      </c>
      <c r="I32" s="250">
        <f t="shared" si="5"/>
        <v>62.284940167080606</v>
      </c>
      <c r="J32" s="250"/>
      <c r="K32" s="250">
        <f t="shared" si="4"/>
        <v>62.284940167080606</v>
      </c>
    </row>
    <row r="33" spans="1:11">
      <c r="A33" s="224" t="s">
        <v>323</v>
      </c>
      <c r="B33" s="250">
        <f>+'12 Month P&amp;L '!N29</f>
        <v>1400</v>
      </c>
      <c r="C33" s="224">
        <f>+'Restating Adj'!K33</f>
        <v>-1400</v>
      </c>
      <c r="D33" s="250">
        <f t="shared" si="2"/>
        <v>0</v>
      </c>
      <c r="E33" s="250"/>
      <c r="F33" s="250">
        <f t="shared" si="3"/>
        <v>0</v>
      </c>
      <c r="G33" s="427"/>
      <c r="H33" s="250"/>
      <c r="I33" s="250"/>
      <c r="J33" s="250"/>
      <c r="K33" s="250">
        <f t="shared" si="4"/>
        <v>0</v>
      </c>
    </row>
    <row r="34" spans="1:11">
      <c r="A34" s="224" t="str">
        <f>+'[1]Consolidate P&amp;L'!C29</f>
        <v>Dues</v>
      </c>
      <c r="B34" s="250">
        <f>+'12 Month P&amp;L '!N34</f>
        <v>4500</v>
      </c>
      <c r="C34" s="224">
        <f>+'Restating Adj'!K34</f>
        <v>-672</v>
      </c>
      <c r="D34" s="250">
        <f t="shared" si="2"/>
        <v>3828</v>
      </c>
      <c r="E34" s="250"/>
      <c r="F34" s="250">
        <f t="shared" si="3"/>
        <v>3828</v>
      </c>
      <c r="G34" s="427" t="s">
        <v>634</v>
      </c>
      <c r="H34" s="250">
        <f>+'Customer Count Test Year'!$H$71*F34</f>
        <v>159.89613908331449</v>
      </c>
      <c r="I34" s="250">
        <f>+F34-H34</f>
        <v>3668.1038609166853</v>
      </c>
      <c r="J34" s="250"/>
      <c r="K34" s="250">
        <f t="shared" si="4"/>
        <v>3668.1038609166853</v>
      </c>
    </row>
    <row r="35" spans="1:11">
      <c r="A35" s="224" t="str">
        <f>+'[1]Consolidate P&amp;L'!C30</f>
        <v xml:space="preserve">Legal &amp; accounting-regulatory </v>
      </c>
      <c r="B35" s="250">
        <f>+'12 Month P&amp;L '!N97</f>
        <v>12848.9</v>
      </c>
      <c r="C35" s="224">
        <f>+'Restating Adj'!K35</f>
        <v>0</v>
      </c>
      <c r="D35" s="250">
        <f t="shared" si="2"/>
        <v>12848.9</v>
      </c>
      <c r="E35" s="250"/>
      <c r="F35" s="250">
        <f t="shared" si="3"/>
        <v>12848.9</v>
      </c>
      <c r="G35" s="427" t="s">
        <v>634</v>
      </c>
      <c r="H35" s="250">
        <f>+'Customer Count Test Year'!$H$71*F35</f>
        <v>536.70049672612322</v>
      </c>
      <c r="I35" s="250">
        <f>+F35-H35</f>
        <v>12312.199503273876</v>
      </c>
      <c r="J35" s="250"/>
      <c r="K35" s="250">
        <f t="shared" si="4"/>
        <v>12312.199503273876</v>
      </c>
    </row>
    <row r="36" spans="1:11">
      <c r="A36" s="224" t="str">
        <f>+'[1]Consolidate P&amp;L'!C31</f>
        <v>Communications and utilities</v>
      </c>
      <c r="B36" s="250">
        <f>+'12 Month P&amp;L '!N133</f>
        <v>6779.89</v>
      </c>
      <c r="C36" s="224">
        <f>+'Restating Adj'!K36</f>
        <v>0</v>
      </c>
      <c r="D36" s="250">
        <f t="shared" si="2"/>
        <v>6779.89</v>
      </c>
      <c r="E36" s="250"/>
      <c r="F36" s="250">
        <f t="shared" si="3"/>
        <v>6779.89</v>
      </c>
      <c r="G36" s="427" t="s">
        <v>634</v>
      </c>
      <c r="H36" s="250">
        <f>+'Customer Count Test Year'!$H$71*F36</f>
        <v>283.19703093249041</v>
      </c>
      <c r="I36" s="250">
        <f>+F36-H36</f>
        <v>6496.6929690675097</v>
      </c>
      <c r="J36" s="250"/>
      <c r="K36" s="250">
        <f t="shared" si="4"/>
        <v>6496.6929690675097</v>
      </c>
    </row>
    <row r="37" spans="1:11">
      <c r="A37" s="224" t="str">
        <f>+'[1]Consolidate P&amp;L'!C32</f>
        <v>Employee welfare</v>
      </c>
      <c r="B37" s="250">
        <f>+'12 Month P&amp;L '!N80</f>
        <v>17434.82</v>
      </c>
      <c r="C37" s="224">
        <f>+'Restating Adj'!K37</f>
        <v>0</v>
      </c>
      <c r="D37" s="250">
        <f t="shared" si="2"/>
        <v>17434.82</v>
      </c>
      <c r="E37" s="250">
        <f>+'Pro Forma Adj'!B37</f>
        <v>6906.4800000000014</v>
      </c>
      <c r="F37" s="250">
        <f t="shared" si="3"/>
        <v>24341.300000000003</v>
      </c>
      <c r="G37" s="427" t="s">
        <v>545</v>
      </c>
      <c r="H37" s="250">
        <f>+F37*Payroll!$O$16</f>
        <v>3761.2346337004542</v>
      </c>
      <c r="I37" s="250">
        <f>+F37-H37</f>
        <v>20580.06536629955</v>
      </c>
      <c r="J37" s="250"/>
      <c r="K37" s="250">
        <f t="shared" si="4"/>
        <v>20580.06536629955</v>
      </c>
    </row>
    <row r="38" spans="1:11">
      <c r="A38" s="224" t="str">
        <f>+'[1]Consolidate P&amp;L'!C33</f>
        <v>Travel</v>
      </c>
      <c r="B38" s="250">
        <f>+'12 Month P&amp;L '!N128</f>
        <v>1937.02</v>
      </c>
      <c r="C38" s="224">
        <f>+'Restating Adj'!K38</f>
        <v>0</v>
      </c>
      <c r="D38" s="250">
        <f t="shared" si="2"/>
        <v>1937.02</v>
      </c>
      <c r="E38" s="250"/>
      <c r="F38" s="250">
        <f t="shared" si="3"/>
        <v>1937.02</v>
      </c>
      <c r="G38" s="427" t="s">
        <v>634</v>
      </c>
      <c r="H38" s="250">
        <f>+'Customer Count Test Year'!$H$71*F38</f>
        <v>80.909618424023478</v>
      </c>
      <c r="I38" s="250">
        <f>+F38-H38</f>
        <v>1856.1103815759766</v>
      </c>
      <c r="J38" s="250"/>
      <c r="K38" s="250">
        <f t="shared" si="4"/>
        <v>1856.1103815759766</v>
      </c>
    </row>
    <row r="39" spans="1:11">
      <c r="A39" s="224" t="str">
        <f>+'[1]Consolidate P&amp;L'!C34</f>
        <v>Other General Expenses</v>
      </c>
      <c r="B39" s="250"/>
      <c r="C39" s="224">
        <f>+'Restating Adj'!K39</f>
        <v>0</v>
      </c>
      <c r="D39" s="250">
        <f t="shared" si="2"/>
        <v>0</v>
      </c>
      <c r="E39" s="250"/>
      <c r="F39" s="250">
        <f t="shared" si="3"/>
        <v>0</v>
      </c>
      <c r="G39" s="427"/>
      <c r="H39" s="250"/>
      <c r="I39" s="250"/>
      <c r="J39" s="250"/>
      <c r="K39" s="250">
        <f t="shared" si="4"/>
        <v>0</v>
      </c>
    </row>
    <row r="40" spans="1:11">
      <c r="A40" s="224" t="str">
        <f>+'[1]Consolidate P&amp;L'!C35</f>
        <v>Depreciation</v>
      </c>
      <c r="B40" s="250"/>
      <c r="C40" s="224">
        <f>+'Restating Adj'!K40</f>
        <v>176567.32078571434</v>
      </c>
      <c r="D40" s="250">
        <f t="shared" si="2"/>
        <v>176567.32078571434</v>
      </c>
      <c r="E40" s="250"/>
      <c r="F40" s="250">
        <f t="shared" si="3"/>
        <v>176567.32078571434</v>
      </c>
      <c r="G40" s="427" t="s">
        <v>630</v>
      </c>
      <c r="H40" s="250">
        <f>+'Regulatory Depreciation Sch'!Q125</f>
        <v>6373.5985000000001</v>
      </c>
      <c r="I40" s="250">
        <f>+F40-H40</f>
        <v>170193.72228571435</v>
      </c>
      <c r="J40" s="250"/>
      <c r="K40" s="250">
        <f t="shared" si="4"/>
        <v>170193.72228571435</v>
      </c>
    </row>
    <row r="41" spans="1:11">
      <c r="A41" s="224" t="str">
        <f>+'[1]Consolidate P&amp;L'!C36</f>
        <v>Operating Taxes &amp; Licenses</v>
      </c>
      <c r="B41" s="250">
        <f>+'12 Month P&amp;L '!N127</f>
        <v>73533.51999999999</v>
      </c>
      <c r="C41" s="224">
        <f>+'Restating Adj'!K41</f>
        <v>-55437.789999999994</v>
      </c>
      <c r="D41" s="250">
        <f t="shared" si="2"/>
        <v>18095.729999999996</v>
      </c>
      <c r="E41" s="250"/>
      <c r="F41" s="250">
        <f t="shared" si="3"/>
        <v>18095.729999999996</v>
      </c>
      <c r="G41" s="427" t="s">
        <v>12</v>
      </c>
      <c r="H41" s="250">
        <f>+H15/F15*F41</f>
        <v>1965.813711327695</v>
      </c>
      <c r="I41" s="250">
        <f>+F41-H41</f>
        <v>16129.916288672301</v>
      </c>
      <c r="J41" s="250">
        <f>+J15*0.018</f>
        <v>3910.5526361759985</v>
      </c>
      <c r="K41" s="250">
        <f t="shared" si="4"/>
        <v>20040.468924848297</v>
      </c>
    </row>
    <row r="42" spans="1:11">
      <c r="A42" s="224" t="s">
        <v>307</v>
      </c>
      <c r="B42" s="250"/>
      <c r="C42" s="224">
        <f>+'Restating Adj'!K42</f>
        <v>4902</v>
      </c>
      <c r="D42" s="250">
        <f t="shared" si="2"/>
        <v>4902</v>
      </c>
      <c r="E42" s="250"/>
      <c r="F42" s="250">
        <f t="shared" si="3"/>
        <v>4902</v>
      </c>
      <c r="G42" s="427" t="s">
        <v>630</v>
      </c>
      <c r="H42" s="250"/>
      <c r="I42" s="250">
        <f>+F42-H42</f>
        <v>4902</v>
      </c>
      <c r="J42" s="250">
        <f>+J15*0.0051</f>
        <v>1107.9899135831997</v>
      </c>
      <c r="K42" s="250">
        <f t="shared" si="4"/>
        <v>6009.9899135832002</v>
      </c>
    </row>
    <row r="43" spans="1:11">
      <c r="A43" s="224" t="str">
        <f>+'[1]Consolidate P&amp;L'!C37</f>
        <v>Vehicle Licenses &amp; Registration</v>
      </c>
      <c r="B43" s="250">
        <f>+'12 Month P&amp;L '!N57</f>
        <v>3036.7200000000003</v>
      </c>
      <c r="C43" s="224">
        <f>+'Restating Adj'!K43</f>
        <v>0</v>
      </c>
      <c r="D43" s="250">
        <f t="shared" si="2"/>
        <v>3036.7200000000003</v>
      </c>
      <c r="E43" s="250"/>
      <c r="F43" s="250">
        <f t="shared" si="3"/>
        <v>3036.7200000000003</v>
      </c>
      <c r="G43" s="427" t="s">
        <v>632</v>
      </c>
      <c r="H43" s="250">
        <f>+F43*'Truck Mileage'!$H$9</f>
        <v>80.459791391919438</v>
      </c>
      <c r="I43" s="250">
        <f>+F43-H43</f>
        <v>2956.260208608081</v>
      </c>
      <c r="J43" s="250"/>
      <c r="K43" s="250">
        <f t="shared" si="4"/>
        <v>2956.260208608081</v>
      </c>
    </row>
    <row r="44" spans="1:11">
      <c r="A44" s="224" t="str">
        <f>+'[1]Consolidate P&amp;L'!C38</f>
        <v>Real &amp; Personal Property Taxes</v>
      </c>
      <c r="B44" s="250"/>
      <c r="C44" s="224">
        <f>+'Restating Adj'!K44</f>
        <v>0</v>
      </c>
      <c r="D44" s="250">
        <f t="shared" si="2"/>
        <v>0</v>
      </c>
      <c r="E44" s="250"/>
      <c r="F44" s="250">
        <f t="shared" si="3"/>
        <v>0</v>
      </c>
      <c r="G44" s="427"/>
      <c r="H44" s="250"/>
      <c r="I44" s="250"/>
      <c r="J44" s="250"/>
      <c r="K44" s="250">
        <f t="shared" si="4"/>
        <v>0</v>
      </c>
    </row>
    <row r="45" spans="1:11">
      <c r="A45" s="224" t="str">
        <f>+'[1]Consolidate P&amp;L'!C39</f>
        <v>Payroll Taxes</v>
      </c>
      <c r="B45" s="250">
        <f>+'12 Month P&amp;L '!N87</f>
        <v>37605.18</v>
      </c>
      <c r="C45" s="224">
        <f>+'Restating Adj'!K45</f>
        <v>0</v>
      </c>
      <c r="D45" s="250">
        <f t="shared" si="2"/>
        <v>37605.18</v>
      </c>
      <c r="E45" s="250"/>
      <c r="F45" s="250">
        <f t="shared" si="3"/>
        <v>37605.18</v>
      </c>
      <c r="G45" s="427" t="s">
        <v>545</v>
      </c>
      <c r="H45" s="250">
        <f>+F45*Payroll!O16</f>
        <v>5810.7786117643527</v>
      </c>
      <c r="I45" s="250">
        <f>+F45-H45</f>
        <v>31794.401388235648</v>
      </c>
      <c r="J45" s="250"/>
      <c r="K45" s="250">
        <f t="shared" si="4"/>
        <v>31794.401388235648</v>
      </c>
    </row>
    <row r="46" spans="1:11">
      <c r="A46" s="224" t="str">
        <f>+'[1]Consolidate P&amp;L'!C40</f>
        <v>Building rent</v>
      </c>
      <c r="B46" s="250">
        <f>+'12 Month P&amp;L '!N100</f>
        <v>34776.199999999997</v>
      </c>
      <c r="C46" s="224">
        <f>+'Restating Adj'!K46</f>
        <v>0</v>
      </c>
      <c r="D46" s="250">
        <f t="shared" si="2"/>
        <v>34776.199999999997</v>
      </c>
      <c r="E46" s="250"/>
      <c r="F46" s="250">
        <f t="shared" si="3"/>
        <v>34776.199999999997</v>
      </c>
      <c r="G46" s="427" t="s">
        <v>634</v>
      </c>
      <c r="H46" s="250">
        <f>+'Customer Count Test Year'!$H$71*F46</f>
        <v>1452.6071347934069</v>
      </c>
      <c r="I46" s="250">
        <f>+F46-H46</f>
        <v>33323.592865206592</v>
      </c>
      <c r="J46" s="250"/>
      <c r="K46" s="250">
        <f t="shared" si="4"/>
        <v>33323.592865206592</v>
      </c>
    </row>
    <row r="47" spans="1:11">
      <c r="A47" s="224" t="str">
        <f>+'[1]Consolidate P&amp;L'!C41</f>
        <v>Other Disposal Expense</v>
      </c>
      <c r="B47" s="253">
        <f>+'12 Month P&amp;L '!N75</f>
        <v>7772.97</v>
      </c>
      <c r="C47" s="224">
        <f>+'Restating Adj'!K47</f>
        <v>0</v>
      </c>
      <c r="D47" s="250">
        <f t="shared" si="2"/>
        <v>7772.97</v>
      </c>
      <c r="E47" s="253"/>
      <c r="F47" s="250">
        <f t="shared" si="3"/>
        <v>7772.97</v>
      </c>
      <c r="G47" s="428" t="s">
        <v>634</v>
      </c>
      <c r="H47" s="250">
        <f>+'Customer Count Test Year'!$H$71*F47</f>
        <v>324.67813276134569</v>
      </c>
      <c r="I47" s="250">
        <f>+F47-H47</f>
        <v>7448.291867238655</v>
      </c>
      <c r="J47" s="253"/>
      <c r="K47" s="250">
        <f t="shared" si="4"/>
        <v>7448.291867238655</v>
      </c>
    </row>
    <row r="48" spans="1:11">
      <c r="A48" s="224" t="str">
        <f>+'[1]Consolidate P&amp;L'!C42</f>
        <v>Total expenses</v>
      </c>
      <c r="B48" s="254">
        <f>SUM(B18:B47)</f>
        <v>977755.05</v>
      </c>
      <c r="C48" s="254">
        <f>SUM(C18:C47)</f>
        <v>126548.90578571435</v>
      </c>
      <c r="D48" s="254">
        <f>SUM(D18:D47)</f>
        <v>1104303.9557857143</v>
      </c>
      <c r="E48" s="254">
        <f>SUM(E18:E47)</f>
        <v>10724.087350000007</v>
      </c>
      <c r="F48" s="254">
        <f>SUM(F18:F47)</f>
        <v>1115028.0431357143</v>
      </c>
      <c r="G48" s="254"/>
      <c r="H48" s="254">
        <f>SUM(H18:H47)</f>
        <v>131752.19136328017</v>
      </c>
      <c r="I48" s="254">
        <f>SUM(I18:I47)</f>
        <v>983275.85177243408</v>
      </c>
      <c r="J48" s="254">
        <f>SUM(J18:J47)</f>
        <v>5018.5425497591987</v>
      </c>
      <c r="K48" s="254">
        <f>SUM(K18:K47)</f>
        <v>988294.39432219323</v>
      </c>
    </row>
    <row r="49" spans="1:11">
      <c r="A49" s="224" t="str">
        <f>+'[1]Consolidate P&amp;L'!B43</f>
        <v>Operating Income</v>
      </c>
      <c r="B49" s="250">
        <f>+B15-B48</f>
        <v>67600.109999999986</v>
      </c>
      <c r="C49" s="250">
        <f>+C15-C48</f>
        <v>-174642.89578571433</v>
      </c>
      <c r="D49" s="250">
        <f>+D15-D48</f>
        <v>-107042.78578571428</v>
      </c>
      <c r="E49" s="250">
        <f>+E15-E48</f>
        <v>-10724.087350000007</v>
      </c>
      <c r="F49" s="250">
        <f>+F15-F48</f>
        <v>-117766.87313571421</v>
      </c>
      <c r="G49" s="250"/>
      <c r="H49" s="250">
        <f>+H15-H48</f>
        <v>-23415.601363280177</v>
      </c>
      <c r="I49" s="250">
        <f>+I15-I48</f>
        <v>-94351.271772434004</v>
      </c>
      <c r="J49" s="250">
        <f>+J15-J48</f>
        <v>212234.38168224072</v>
      </c>
      <c r="K49" s="250">
        <f>+K15-K48</f>
        <v>117883.10990980687</v>
      </c>
    </row>
    <row r="50" spans="1:11">
      <c r="A50" s="225" t="s">
        <v>31</v>
      </c>
      <c r="B50" s="436">
        <f>+B48/B15</f>
        <v>0.93533287767958218</v>
      </c>
      <c r="C50" s="250"/>
      <c r="D50" s="250"/>
      <c r="E50" s="250"/>
      <c r="F50" s="250"/>
      <c r="G50" s="250"/>
      <c r="H50" s="250"/>
      <c r="I50" s="250"/>
      <c r="J50" s="250"/>
      <c r="K50" s="436">
        <f>+K48/K15</f>
        <v>0.89343201298271646</v>
      </c>
    </row>
    <row r="51" spans="1:11">
      <c r="A51" s="224" t="str">
        <f>+'[1]Consolidate P&amp;L'!B45</f>
        <v>Other Income/(Expense)</v>
      </c>
      <c r="B51" s="250"/>
      <c r="C51" s="250"/>
      <c r="D51" s="250"/>
      <c r="E51" s="250"/>
      <c r="F51" s="250"/>
      <c r="G51" s="250"/>
      <c r="H51" s="250"/>
      <c r="I51" s="250"/>
      <c r="J51" s="250"/>
      <c r="K51" s="250"/>
    </row>
    <row r="52" spans="1:11">
      <c r="A52" s="224" t="str">
        <f>+'[1]Consolidate P&amp;L'!C46</f>
        <v>Interest Income</v>
      </c>
      <c r="B52" s="224">
        <f>+'12 Month P&amp;L '!N146</f>
        <v>253.18</v>
      </c>
      <c r="C52" s="224">
        <f>+'Restating Adj'!K52</f>
        <v>0</v>
      </c>
      <c r="D52" s="224"/>
      <c r="E52" s="224"/>
      <c r="F52" s="224"/>
      <c r="G52" s="224"/>
      <c r="H52" s="224"/>
      <c r="I52" s="224"/>
      <c r="J52" s="224"/>
      <c r="K52" s="224"/>
    </row>
    <row r="53" spans="1:11">
      <c r="A53" s="224" t="str">
        <f>+'[1]Consolidate P&amp;L'!C47</f>
        <v>Interest expense</v>
      </c>
      <c r="B53" s="224">
        <f>-'12 Month P&amp;L '!N53</f>
        <v>-10361.32</v>
      </c>
      <c r="C53" s="224">
        <f>+'Restating Adj'!K53</f>
        <v>0</v>
      </c>
      <c r="D53" s="224"/>
      <c r="E53" s="224"/>
      <c r="F53" s="224"/>
      <c r="G53" s="224"/>
      <c r="H53" s="224"/>
      <c r="I53" s="224"/>
      <c r="J53" s="224"/>
      <c r="K53" s="224"/>
    </row>
    <row r="54" spans="1:11">
      <c r="A54" s="224" t="str">
        <f>+'[1]Consolidate P&amp;L'!C48</f>
        <v>Rent Income</v>
      </c>
      <c r="B54" s="286"/>
      <c r="C54" s="224">
        <f>+'Restating Adj'!K54</f>
        <v>0</v>
      </c>
      <c r="D54" s="224"/>
      <c r="E54" s="224"/>
      <c r="F54" s="224"/>
      <c r="G54" s="224"/>
      <c r="H54" s="224"/>
      <c r="I54" s="224"/>
      <c r="J54" s="224"/>
      <c r="K54" s="224"/>
    </row>
    <row r="55" spans="1:11">
      <c r="A55" s="224" t="str">
        <f>+'[1]Consolidate P&amp;L'!C49</f>
        <v>Total other income (expense)</v>
      </c>
      <c r="B55" s="286">
        <f>SUM(B52:B54)</f>
        <v>-10108.14</v>
      </c>
      <c r="C55" s="286">
        <f>SUM(C52:C54)</f>
        <v>0</v>
      </c>
      <c r="D55" s="286">
        <f>SUM(D52:D54)</f>
        <v>0</v>
      </c>
      <c r="E55" s="286">
        <f>SUM(E52:E54)</f>
        <v>0</v>
      </c>
      <c r="F55" s="286">
        <f>SUM(F52:F54)</f>
        <v>0</v>
      </c>
      <c r="G55" s="224"/>
      <c r="H55" s="224"/>
      <c r="I55" s="224"/>
      <c r="J55" s="224"/>
      <c r="K55" s="224"/>
    </row>
    <row r="56" spans="1:11">
      <c r="A56" s="224" t="str">
        <f>+'[1]Consolidate P&amp;L'!B50</f>
        <v>Net Income Before taxes</v>
      </c>
      <c r="B56" s="224">
        <f>+B49+B55</f>
        <v>57491.969999999987</v>
      </c>
      <c r="C56" s="224">
        <f>+C49+C55</f>
        <v>-174642.89578571433</v>
      </c>
      <c r="D56" s="224">
        <f>+D49+D55</f>
        <v>-107042.78578571428</v>
      </c>
      <c r="E56" s="224">
        <f>+E49+E55</f>
        <v>-10724.087350000007</v>
      </c>
      <c r="F56" s="224">
        <f>+F49+F55</f>
        <v>-117766.87313571421</v>
      </c>
      <c r="G56" s="224"/>
      <c r="H56" s="224"/>
      <c r="I56" s="224"/>
      <c r="J56" s="224"/>
      <c r="K56" s="224"/>
    </row>
    <row r="57" spans="1:11">
      <c r="A57" s="224" t="str">
        <f>+'[1]Consolidate P&amp;L'!B51</f>
        <v>Provision for income tax</v>
      </c>
      <c r="B57" s="224"/>
      <c r="C57" s="224"/>
      <c r="D57" s="224"/>
      <c r="E57" s="224"/>
      <c r="F57" s="224"/>
      <c r="G57" s="224"/>
      <c r="H57" s="224"/>
      <c r="I57" s="224"/>
      <c r="J57" s="224"/>
      <c r="K57" s="224"/>
    </row>
    <row r="58" spans="1:11">
      <c r="A58" s="224" t="str">
        <f>+'[1]Consolidate P&amp;L'!B52</f>
        <v>Net Income</v>
      </c>
      <c r="B58" s="250"/>
      <c r="C58" s="250"/>
      <c r="D58" s="250"/>
      <c r="E58" s="250"/>
      <c r="F58" s="250"/>
      <c r="G58" s="250"/>
      <c r="H58" s="250"/>
      <c r="I58" s="250"/>
      <c r="J58" s="250"/>
      <c r="K58" s="250"/>
    </row>
    <row r="59" spans="1:11" ht="15.75">
      <c r="A59" s="222"/>
      <c r="B59" s="250">
        <f>+'12 Month P&amp;L '!N149-Results!B56</f>
        <v>0</v>
      </c>
      <c r="C59" s="250"/>
      <c r="D59" s="250"/>
      <c r="E59" s="250"/>
      <c r="F59" s="250"/>
      <c r="G59" s="250"/>
      <c r="H59" s="250"/>
      <c r="I59" s="250"/>
      <c r="J59" s="250"/>
      <c r="K59" s="250"/>
    </row>
    <row r="60" spans="1:11">
      <c r="B60" s="251"/>
      <c r="C60" s="251"/>
      <c r="D60" s="251"/>
      <c r="E60" s="251"/>
      <c r="F60" s="251"/>
      <c r="G60" s="251"/>
      <c r="H60" s="251"/>
      <c r="I60" s="251"/>
      <c r="J60" s="251"/>
      <c r="K60" s="251"/>
    </row>
    <row r="61" spans="1:11">
      <c r="B61" s="251"/>
      <c r="C61" s="251"/>
      <c r="D61" s="251"/>
      <c r="E61" s="251"/>
      <c r="F61" s="251"/>
      <c r="G61" s="251"/>
      <c r="H61" s="251"/>
      <c r="I61" s="251"/>
      <c r="J61" s="251"/>
      <c r="K61" s="251"/>
    </row>
    <row r="62" spans="1:11">
      <c r="B62" s="251"/>
      <c r="C62" s="251"/>
      <c r="D62" s="251"/>
      <c r="E62" s="251"/>
      <c r="F62" s="251"/>
      <c r="G62" s="251"/>
      <c r="H62" s="251"/>
      <c r="I62" s="251"/>
      <c r="J62" s="251"/>
      <c r="K62" s="251"/>
    </row>
    <row r="63" spans="1:11">
      <c r="B63" s="251"/>
      <c r="C63" s="251"/>
      <c r="D63" s="251"/>
      <c r="E63" s="251"/>
      <c r="F63" s="251"/>
      <c r="G63" s="251"/>
      <c r="H63" s="251"/>
      <c r="I63" s="251"/>
      <c r="J63" s="251"/>
      <c r="K63" s="251"/>
    </row>
  </sheetData>
  <printOptions headings="1" gridLines="1"/>
  <pageMargins left="0.25" right="0.25" top="0.75" bottom="0.75" header="0.3" footer="0.3"/>
  <pageSetup fitToHeight="0" orientation="landscape" r:id="rId1"/>
  <headerFooter>
    <oddFooter>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H48" sqref="H48"/>
    </sheetView>
  </sheetViews>
  <sheetFormatPr defaultRowHeight="1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74753" r:id="rId4">
          <objectPr defaultSize="0" r:id="rId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8</xdr:col>
                <xdr:colOff>495300</xdr:colOff>
                <xdr:row>41</xdr:row>
                <xdr:rowOff>114300</xdr:rowOff>
              </to>
            </anchor>
          </objectPr>
        </oleObject>
      </mc:Choice>
      <mc:Fallback>
        <oleObject progId="AcroExch.Document.DC" shapeId="7475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workbookViewId="0">
      <pane ySplit="5" topLeftCell="A6" activePane="bottomLeft" state="frozen"/>
      <selection pane="bottomLeft" activeCell="F9" sqref="F9"/>
    </sheetView>
  </sheetViews>
  <sheetFormatPr defaultRowHeight="15"/>
  <cols>
    <col min="1" max="1" width="29.5546875" style="203" customWidth="1"/>
    <col min="2" max="8" width="8.88671875" style="203"/>
    <col min="9" max="9" width="9.33203125" style="203" customWidth="1"/>
    <col min="10" max="16384" width="8.88671875" style="203"/>
  </cols>
  <sheetData>
    <row r="1" spans="1:11">
      <c r="B1" s="226" t="s">
        <v>365</v>
      </c>
      <c r="C1" s="282"/>
      <c r="D1" s="282"/>
      <c r="E1" s="282"/>
      <c r="F1" s="282"/>
      <c r="G1" s="282"/>
      <c r="H1" s="282"/>
      <c r="I1" s="282"/>
      <c r="J1" s="282"/>
      <c r="K1" s="282"/>
    </row>
    <row r="2" spans="1:11">
      <c r="B2" s="227" t="s">
        <v>366</v>
      </c>
      <c r="C2" s="282"/>
      <c r="D2" s="282"/>
      <c r="E2" s="282"/>
      <c r="F2" s="282"/>
      <c r="G2" s="282"/>
      <c r="H2" s="282"/>
      <c r="I2" s="282"/>
      <c r="J2" s="282"/>
      <c r="K2" s="282"/>
    </row>
    <row r="4" spans="1:11">
      <c r="B4" s="285" t="s">
        <v>367</v>
      </c>
      <c r="C4" s="285" t="s">
        <v>369</v>
      </c>
      <c r="D4" s="285" t="s">
        <v>371</v>
      </c>
      <c r="E4" s="285" t="s">
        <v>373</v>
      </c>
      <c r="F4" s="285" t="s">
        <v>381</v>
      </c>
      <c r="G4" s="285" t="s">
        <v>382</v>
      </c>
      <c r="H4" s="285" t="s">
        <v>525</v>
      </c>
      <c r="I4" s="285" t="s">
        <v>527</v>
      </c>
      <c r="J4" s="283"/>
      <c r="K4" s="283"/>
    </row>
    <row r="5" spans="1:11" ht="63.75">
      <c r="B5" s="284" t="s">
        <v>368</v>
      </c>
      <c r="C5" s="284" t="s">
        <v>370</v>
      </c>
      <c r="D5" s="284" t="s">
        <v>372</v>
      </c>
      <c r="E5" s="284" t="s">
        <v>374</v>
      </c>
      <c r="F5" s="284" t="s">
        <v>380</v>
      </c>
      <c r="G5" s="284" t="s">
        <v>383</v>
      </c>
      <c r="H5" s="284" t="s">
        <v>526</v>
      </c>
      <c r="I5" s="284" t="s">
        <v>528</v>
      </c>
      <c r="J5" s="283"/>
      <c r="K5" s="283"/>
    </row>
    <row r="6" spans="1:11">
      <c r="A6" s="221" t="s">
        <v>12</v>
      </c>
      <c r="B6" s="224"/>
      <c r="C6" s="224"/>
      <c r="D6" s="224"/>
      <c r="E6" s="224"/>
      <c r="F6" s="224"/>
      <c r="G6" s="224"/>
      <c r="H6" s="224"/>
      <c r="I6" s="224"/>
      <c r="J6" s="224"/>
      <c r="K6" s="224"/>
    </row>
    <row r="7" spans="1:11">
      <c r="A7" s="221" t="s">
        <v>296</v>
      </c>
      <c r="B7" s="224"/>
      <c r="C7" s="224"/>
      <c r="D7" s="224"/>
      <c r="E7" s="224">
        <f>(1744/12)*2</f>
        <v>290.66666666666669</v>
      </c>
      <c r="F7" s="224">
        <f>-'Revenue Taxes'!D8</f>
        <v>-16186.77560084268</v>
      </c>
      <c r="G7" s="224"/>
      <c r="H7" s="224"/>
      <c r="I7" s="224"/>
      <c r="J7" s="224"/>
      <c r="K7" s="224">
        <f>SUM(B7:J7)</f>
        <v>-15896.108934176014</v>
      </c>
    </row>
    <row r="8" spans="1:11">
      <c r="A8" s="221" t="s">
        <v>297</v>
      </c>
      <c r="B8" s="224"/>
      <c r="C8" s="224"/>
      <c r="D8" s="224"/>
      <c r="E8" s="224">
        <f>(12212/12)*2</f>
        <v>2035.3333333333333</v>
      </c>
      <c r="F8" s="224">
        <f>-'Revenue Taxes'!D9</f>
        <v>-28303.622654039817</v>
      </c>
      <c r="G8" s="224"/>
      <c r="H8" s="224"/>
      <c r="I8" s="224"/>
      <c r="J8" s="224"/>
      <c r="K8" s="224">
        <f t="shared" ref="K8:K13" si="0">SUM(B8:J8)</f>
        <v>-26268.289320706484</v>
      </c>
    </row>
    <row r="9" spans="1:11">
      <c r="A9" s="221" t="s">
        <v>298</v>
      </c>
      <c r="B9" s="224"/>
      <c r="C9" s="224">
        <f>-'Disposal '!G17</f>
        <v>-41826.545000000013</v>
      </c>
      <c r="D9" s="224"/>
      <c r="E9" s="224"/>
      <c r="F9" s="224">
        <f>-'Revenue Taxes'!D10</f>
        <v>-6045.3917451174948</v>
      </c>
      <c r="G9" s="224"/>
      <c r="H9" s="224"/>
      <c r="I9" s="224"/>
      <c r="J9" s="224"/>
      <c r="K9" s="224">
        <f t="shared" si="0"/>
        <v>-47871.936745117506</v>
      </c>
    </row>
    <row r="10" spans="1:11">
      <c r="A10" s="221" t="s">
        <v>299</v>
      </c>
      <c r="B10" s="224"/>
      <c r="C10" s="224">
        <f>+'Disposal '!G17</f>
        <v>41826.545000000013</v>
      </c>
      <c r="D10" s="224">
        <f>+'Disposal '!G18+'Disposal '!G19</f>
        <v>115.79999999999995</v>
      </c>
      <c r="E10" s="224"/>
      <c r="F10" s="224"/>
      <c r="G10" s="224"/>
      <c r="H10" s="224"/>
      <c r="I10" s="224"/>
      <c r="J10" s="224"/>
      <c r="K10" s="224">
        <f t="shared" si="0"/>
        <v>41942.345000000016</v>
      </c>
    </row>
    <row r="11" spans="1:11">
      <c r="A11" s="221" t="s">
        <v>300</v>
      </c>
      <c r="B11" s="224"/>
      <c r="C11" s="224"/>
      <c r="D11" s="224"/>
      <c r="E11" s="224"/>
      <c r="F11" s="224"/>
      <c r="G11" s="224"/>
      <c r="H11" s="224"/>
      <c r="I11" s="224"/>
      <c r="J11" s="224"/>
      <c r="K11" s="224">
        <f t="shared" si="0"/>
        <v>0</v>
      </c>
    </row>
    <row r="12" spans="1:11">
      <c r="A12" s="221" t="s">
        <v>301</v>
      </c>
      <c r="B12" s="224"/>
      <c r="C12" s="224"/>
      <c r="D12" s="224"/>
      <c r="E12" s="224"/>
      <c r="F12" s="224"/>
      <c r="G12" s="224"/>
      <c r="H12" s="224"/>
      <c r="I12" s="224"/>
      <c r="J12" s="224"/>
      <c r="K12" s="224">
        <f t="shared" si="0"/>
        <v>0</v>
      </c>
    </row>
    <row r="13" spans="1:11">
      <c r="A13" s="221" t="s">
        <v>302</v>
      </c>
      <c r="B13" s="224"/>
      <c r="C13" s="224"/>
      <c r="D13" s="224"/>
      <c r="E13" s="224"/>
      <c r="F13" s="224"/>
      <c r="G13" s="224"/>
      <c r="H13" s="224"/>
      <c r="I13" s="224"/>
      <c r="J13" s="224"/>
      <c r="K13" s="224">
        <f t="shared" si="0"/>
        <v>0</v>
      </c>
    </row>
    <row r="14" spans="1:11">
      <c r="A14" s="221" t="s">
        <v>303</v>
      </c>
      <c r="B14" s="286"/>
      <c r="C14" s="286"/>
      <c r="D14" s="286"/>
      <c r="E14" s="286"/>
      <c r="F14" s="286"/>
      <c r="G14" s="286"/>
      <c r="H14" s="286"/>
      <c r="I14" s="286"/>
      <c r="J14" s="286"/>
      <c r="K14" s="286"/>
    </row>
    <row r="15" spans="1:11">
      <c r="A15" s="221" t="s">
        <v>103</v>
      </c>
      <c r="B15" s="224">
        <f>SUM(B7:B14)</f>
        <v>0</v>
      </c>
      <c r="C15" s="224">
        <f t="shared" ref="C15:K15" si="1">SUM(C7:C14)</f>
        <v>0</v>
      </c>
      <c r="D15" s="224">
        <f t="shared" si="1"/>
        <v>115.79999999999995</v>
      </c>
      <c r="E15" s="224">
        <f t="shared" si="1"/>
        <v>2326</v>
      </c>
      <c r="F15" s="224">
        <f t="shared" si="1"/>
        <v>-50535.789999999994</v>
      </c>
      <c r="G15" s="224">
        <f t="shared" si="1"/>
        <v>0</v>
      </c>
      <c r="H15" s="224">
        <f t="shared" si="1"/>
        <v>0</v>
      </c>
      <c r="I15" s="224">
        <f t="shared" si="1"/>
        <v>0</v>
      </c>
      <c r="J15" s="224">
        <f t="shared" si="1"/>
        <v>0</v>
      </c>
      <c r="K15" s="224">
        <f t="shared" si="1"/>
        <v>-48093.989999999991</v>
      </c>
    </row>
    <row r="16" spans="1:11">
      <c r="A16" s="221"/>
      <c r="B16" s="224"/>
      <c r="C16" s="224"/>
      <c r="D16" s="224"/>
      <c r="E16" s="224"/>
      <c r="F16" s="224"/>
      <c r="G16" s="224"/>
      <c r="H16" s="224"/>
      <c r="I16" s="224"/>
      <c r="J16" s="224"/>
      <c r="K16" s="224"/>
    </row>
    <row r="17" spans="1:11">
      <c r="A17" s="223" t="s">
        <v>158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</row>
    <row r="18" spans="1:11">
      <c r="A18" s="224" t="str">
        <f>+'[1]Consolidate P&amp;L'!C18</f>
        <v>Truck &amp; Cart Maint/Shop Expenses</v>
      </c>
      <c r="B18" s="224"/>
      <c r="C18" s="224"/>
      <c r="D18" s="224"/>
      <c r="E18" s="224"/>
      <c r="F18" s="224"/>
      <c r="G18" s="224"/>
      <c r="H18" s="224"/>
      <c r="I18" s="224"/>
      <c r="J18" s="224"/>
      <c r="K18" s="224">
        <f t="shared" ref="K18:K46" si="2">SUM(B18:J18)</f>
        <v>0</v>
      </c>
    </row>
    <row r="19" spans="1:11">
      <c r="A19" s="224" t="str">
        <f>+'[1]Consolidate P&amp;L'!C19</f>
        <v>Shop Supplies</v>
      </c>
      <c r="B19" s="224"/>
      <c r="C19" s="224"/>
      <c r="D19" s="224"/>
      <c r="E19" s="224"/>
      <c r="F19" s="224"/>
      <c r="G19" s="224"/>
      <c r="H19" s="224"/>
      <c r="I19" s="224"/>
      <c r="J19" s="224"/>
      <c r="K19" s="224">
        <f t="shared" si="2"/>
        <v>0</v>
      </c>
    </row>
    <row r="20" spans="1:11">
      <c r="A20" s="224" t="str">
        <f>+'[1]Consolidate P&amp;L'!C20</f>
        <v>Snow Removal</v>
      </c>
      <c r="B20" s="224"/>
      <c r="C20" s="224"/>
      <c r="D20" s="224"/>
      <c r="E20" s="224"/>
      <c r="F20" s="224"/>
      <c r="G20" s="224"/>
      <c r="H20" s="224"/>
      <c r="I20" s="224"/>
      <c r="J20" s="224"/>
      <c r="K20" s="224">
        <f t="shared" si="2"/>
        <v>0</v>
      </c>
    </row>
    <row r="21" spans="1:11">
      <c r="A21" s="224" t="str">
        <f>+'[1]Consolidate P&amp;L'!C21</f>
        <v>Driver payroll</v>
      </c>
      <c r="B21" s="224"/>
      <c r="C21" s="224"/>
      <c r="D21" s="224"/>
      <c r="E21" s="224"/>
      <c r="F21" s="224"/>
      <c r="G21" s="224"/>
      <c r="H21" s="224"/>
      <c r="I21" s="224"/>
      <c r="J21" s="224"/>
      <c r="K21" s="224">
        <f t="shared" si="2"/>
        <v>0</v>
      </c>
    </row>
    <row r="22" spans="1:11">
      <c r="A22" s="224" t="s">
        <v>304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>
        <f t="shared" si="2"/>
        <v>0</v>
      </c>
    </row>
    <row r="23" spans="1:11">
      <c r="A23" s="224" t="str">
        <f>+'[1]Consolidate P&amp;L'!C22</f>
        <v>Fuel &amp; Oil</v>
      </c>
      <c r="B23" s="224"/>
      <c r="C23" s="224"/>
      <c r="D23" s="224"/>
      <c r="E23" s="224"/>
      <c r="F23" s="224"/>
      <c r="G23" s="224"/>
      <c r="H23" s="224"/>
      <c r="I23" s="224"/>
      <c r="J23" s="224"/>
      <c r="K23" s="224">
        <f t="shared" si="2"/>
        <v>0</v>
      </c>
    </row>
    <row r="24" spans="1:11">
      <c r="A24" s="224" t="str">
        <f>+'[1]Consolidate P&amp;L'!C23</f>
        <v>Disposal Fees &amp; Charges</v>
      </c>
      <c r="B24" s="224"/>
      <c r="C24" s="224">
        <f>-'Disposal '!G17</f>
        <v>-41826.545000000013</v>
      </c>
      <c r="D24" s="224">
        <f>+'Disposal '!D18+'Disposal '!D19</f>
        <v>2041.5749999999971</v>
      </c>
      <c r="E24" s="224"/>
      <c r="F24" s="224"/>
      <c r="G24" s="224"/>
      <c r="H24" s="224"/>
      <c r="I24" s="224"/>
      <c r="J24" s="224"/>
      <c r="K24" s="224">
        <f t="shared" si="2"/>
        <v>-39784.970000000016</v>
      </c>
    </row>
    <row r="25" spans="1:11">
      <c r="A25" s="224" t="s">
        <v>305</v>
      </c>
      <c r="B25" s="224"/>
      <c r="C25" s="224">
        <f>+'Disposal '!G17</f>
        <v>41826.545000000013</v>
      </c>
      <c r="D25" s="224">
        <f>+'Disposal '!G19+'Disposal '!G18</f>
        <v>115.79999999999995</v>
      </c>
      <c r="E25" s="224"/>
      <c r="F25" s="224"/>
      <c r="G25" s="224"/>
      <c r="H25" s="224"/>
      <c r="I25" s="224"/>
      <c r="J25" s="224"/>
      <c r="K25" s="224">
        <f t="shared" si="2"/>
        <v>41942.345000000016</v>
      </c>
    </row>
    <row r="26" spans="1:11">
      <c r="A26" s="224" t="s">
        <v>306</v>
      </c>
      <c r="B26" s="224"/>
      <c r="C26" s="224"/>
      <c r="D26" s="224"/>
      <c r="E26" s="224"/>
      <c r="F26" s="224"/>
      <c r="G26" s="224"/>
      <c r="H26" s="224"/>
      <c r="I26" s="224"/>
      <c r="J26" s="224"/>
      <c r="K26" s="224">
        <f t="shared" si="2"/>
        <v>0</v>
      </c>
    </row>
    <row r="27" spans="1:11">
      <c r="A27" s="224" t="str">
        <f>+'[1]Consolidate P&amp;L'!C24</f>
        <v>Advertising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>
        <f t="shared" si="2"/>
        <v>0</v>
      </c>
    </row>
    <row r="28" spans="1:11">
      <c r="A28" s="224" t="str">
        <f>+'[1]Consolidate P&amp;L'!C25</f>
        <v>Insurance</v>
      </c>
      <c r="B28" s="224"/>
      <c r="C28" s="224"/>
      <c r="D28" s="224"/>
      <c r="E28" s="224"/>
      <c r="F28" s="224"/>
      <c r="G28" s="224"/>
      <c r="H28" s="224"/>
      <c r="I28" s="224"/>
      <c r="J28" s="224"/>
      <c r="K28" s="224">
        <f t="shared" si="2"/>
        <v>0</v>
      </c>
    </row>
    <row r="29" spans="1:11">
      <c r="A29" s="224" t="str">
        <f>+'[1]Consolidate P&amp;L'!C26</f>
        <v>Officer payroll</v>
      </c>
      <c r="B29" s="224"/>
      <c r="C29" s="224"/>
      <c r="D29" s="224"/>
      <c r="E29" s="224"/>
      <c r="F29" s="224"/>
      <c r="G29" s="224"/>
      <c r="H29" s="224"/>
      <c r="I29" s="224"/>
      <c r="J29" s="224"/>
      <c r="K29" s="224">
        <f t="shared" si="2"/>
        <v>0</v>
      </c>
    </row>
    <row r="30" spans="1:11">
      <c r="A30" s="224" t="str">
        <f>+'[1]Consolidate P&amp;L'!C27</f>
        <v>Office supplies</v>
      </c>
      <c r="B30" s="224">
        <v>432</v>
      </c>
      <c r="C30" s="224"/>
      <c r="D30" s="224"/>
      <c r="E30" s="224"/>
      <c r="F30" s="224"/>
      <c r="G30" s="224"/>
      <c r="H30" s="224"/>
      <c r="I30" s="224"/>
      <c r="J30" s="224"/>
      <c r="K30" s="224">
        <f t="shared" si="2"/>
        <v>432</v>
      </c>
    </row>
    <row r="31" spans="1:11">
      <c r="A31" s="224" t="str">
        <f>+'[1]Consolidate P&amp;L'!C28</f>
        <v>Drug Testing</v>
      </c>
      <c r="B31" s="224"/>
      <c r="C31" s="224"/>
      <c r="D31" s="224"/>
      <c r="E31" s="224"/>
      <c r="F31" s="224"/>
      <c r="G31" s="224"/>
      <c r="H31" s="224"/>
      <c r="I31" s="224"/>
      <c r="J31" s="224"/>
      <c r="K31" s="224">
        <f t="shared" si="2"/>
        <v>0</v>
      </c>
    </row>
    <row r="32" spans="1:11">
      <c r="A32" s="224" t="s">
        <v>322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>
        <f t="shared" si="2"/>
        <v>0</v>
      </c>
    </row>
    <row r="33" spans="1:11">
      <c r="A33" s="224" t="s">
        <v>323</v>
      </c>
      <c r="B33" s="224">
        <v>672</v>
      </c>
      <c r="C33" s="224"/>
      <c r="D33" s="224"/>
      <c r="E33" s="224"/>
      <c r="F33" s="224"/>
      <c r="G33" s="224"/>
      <c r="H33" s="224"/>
      <c r="I33" s="224">
        <v>-2072</v>
      </c>
      <c r="J33" s="224"/>
      <c r="K33" s="224">
        <f t="shared" si="2"/>
        <v>-1400</v>
      </c>
    </row>
    <row r="34" spans="1:11">
      <c r="A34" s="224" t="str">
        <f>+'[1]Consolidate P&amp;L'!C29</f>
        <v>Dues</v>
      </c>
      <c r="B34" s="224">
        <v>-672</v>
      </c>
      <c r="C34" s="224"/>
      <c r="D34" s="224"/>
      <c r="E34" s="224"/>
      <c r="F34" s="224"/>
      <c r="G34" s="224"/>
      <c r="H34" s="224"/>
      <c r="I34" s="224"/>
      <c r="J34" s="224"/>
      <c r="K34" s="224">
        <f t="shared" si="2"/>
        <v>-672</v>
      </c>
    </row>
    <row r="35" spans="1:11">
      <c r="A35" s="224" t="str">
        <f>+'[1]Consolidate P&amp;L'!C30</f>
        <v xml:space="preserve">Legal &amp; accounting-regulatory </v>
      </c>
      <c r="B35" s="224"/>
      <c r="C35" s="224"/>
      <c r="D35" s="224"/>
      <c r="E35" s="224"/>
      <c r="F35" s="224"/>
      <c r="G35" s="224"/>
      <c r="H35" s="224"/>
      <c r="I35" s="224"/>
      <c r="J35" s="224"/>
      <c r="K35" s="224">
        <f t="shared" si="2"/>
        <v>0</v>
      </c>
    </row>
    <row r="36" spans="1:11">
      <c r="A36" s="224" t="str">
        <f>+'[1]Consolidate P&amp;L'!C31</f>
        <v>Communications and utilities</v>
      </c>
      <c r="B36" s="224"/>
      <c r="C36" s="224"/>
      <c r="D36" s="224"/>
      <c r="E36" s="224"/>
      <c r="F36" s="224"/>
      <c r="G36" s="224"/>
      <c r="H36" s="224"/>
      <c r="I36" s="224"/>
      <c r="J36" s="224"/>
      <c r="K36" s="224">
        <f t="shared" si="2"/>
        <v>0</v>
      </c>
    </row>
    <row r="37" spans="1:11">
      <c r="A37" s="224" t="str">
        <f>+'[1]Consolidate P&amp;L'!C32</f>
        <v>Employee welfare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>
        <f t="shared" si="2"/>
        <v>0</v>
      </c>
    </row>
    <row r="38" spans="1:11">
      <c r="A38" s="224" t="str">
        <f>+'[1]Consolidate P&amp;L'!C33</f>
        <v>Travel</v>
      </c>
      <c r="B38" s="224"/>
      <c r="C38" s="224"/>
      <c r="D38" s="224"/>
      <c r="E38" s="224"/>
      <c r="F38" s="224"/>
      <c r="G38" s="224"/>
      <c r="H38" s="224"/>
      <c r="I38" s="224"/>
      <c r="J38" s="224"/>
      <c r="K38" s="224">
        <f t="shared" si="2"/>
        <v>0</v>
      </c>
    </row>
    <row r="39" spans="1:11">
      <c r="A39" s="224" t="str">
        <f>+'[1]Consolidate P&amp;L'!C34</f>
        <v>Other General Expenses</v>
      </c>
      <c r="B39" s="224"/>
      <c r="C39" s="224"/>
      <c r="D39" s="224"/>
      <c r="E39" s="224"/>
      <c r="F39" s="224"/>
      <c r="G39" s="224"/>
      <c r="H39" s="224"/>
      <c r="I39" s="224"/>
      <c r="J39" s="224"/>
      <c r="K39" s="224">
        <f t="shared" si="2"/>
        <v>0</v>
      </c>
    </row>
    <row r="40" spans="1:11">
      <c r="A40" s="224" t="str">
        <f>+'[1]Consolidate P&amp;L'!C35</f>
        <v>Depreciation</v>
      </c>
      <c r="B40" s="224">
        <f>40143.56+23116.26+5820+104.22</f>
        <v>69184.039999999994</v>
      </c>
      <c r="C40" s="224"/>
      <c r="D40" s="224"/>
      <c r="E40" s="224"/>
      <c r="F40" s="224"/>
      <c r="G40" s="224">
        <f>+'Regulatory Depreciation Sch'!Q127-'Restating Adj'!B40</f>
        <v>107383.28078571435</v>
      </c>
      <c r="H40" s="224"/>
      <c r="I40" s="224"/>
      <c r="J40" s="224"/>
      <c r="K40" s="224">
        <f t="shared" si="2"/>
        <v>176567.32078571434</v>
      </c>
    </row>
    <row r="41" spans="1:11">
      <c r="A41" s="224" t="str">
        <f>+'[1]Consolidate P&amp;L'!C36</f>
        <v>Operating Taxes &amp; Licenses</v>
      </c>
      <c r="B41" s="224"/>
      <c r="C41" s="224"/>
      <c r="D41" s="224"/>
      <c r="E41" s="224"/>
      <c r="F41" s="224">
        <f>-'Revenue Taxes'!C18</f>
        <v>-50535.789999999994</v>
      </c>
      <c r="G41" s="224"/>
      <c r="H41" s="224">
        <v>-4902</v>
      </c>
      <c r="I41" s="224"/>
      <c r="J41" s="224"/>
      <c r="K41" s="224">
        <f t="shared" si="2"/>
        <v>-55437.789999999994</v>
      </c>
    </row>
    <row r="42" spans="1:11">
      <c r="A42" s="224" t="s">
        <v>307</v>
      </c>
      <c r="B42" s="224"/>
      <c r="C42" s="224"/>
      <c r="D42" s="224"/>
      <c r="E42" s="224"/>
      <c r="F42" s="224"/>
      <c r="G42" s="224"/>
      <c r="H42" s="224">
        <v>4902</v>
      </c>
      <c r="I42" s="224"/>
      <c r="J42" s="224"/>
      <c r="K42" s="224">
        <f t="shared" si="2"/>
        <v>4902</v>
      </c>
    </row>
    <row r="43" spans="1:11">
      <c r="A43" s="224" t="str">
        <f>+'[1]Consolidate P&amp;L'!C37</f>
        <v>Vehicle Licenses &amp; Registration</v>
      </c>
      <c r="B43" s="224"/>
      <c r="C43" s="224"/>
      <c r="D43" s="224"/>
      <c r="E43" s="224"/>
      <c r="F43" s="224"/>
      <c r="G43" s="224"/>
      <c r="H43" s="224"/>
      <c r="I43" s="224"/>
      <c r="J43" s="224"/>
      <c r="K43" s="224">
        <f t="shared" si="2"/>
        <v>0</v>
      </c>
    </row>
    <row r="44" spans="1:11">
      <c r="A44" s="224" t="str">
        <f>+'[1]Consolidate P&amp;L'!C38</f>
        <v>Real &amp; Personal Property Taxes</v>
      </c>
      <c r="B44" s="224"/>
      <c r="C44" s="224"/>
      <c r="D44" s="224"/>
      <c r="E44" s="224"/>
      <c r="F44" s="224"/>
      <c r="G44" s="224"/>
      <c r="H44" s="224"/>
      <c r="I44" s="224"/>
      <c r="J44" s="224"/>
      <c r="K44" s="224">
        <f t="shared" si="2"/>
        <v>0</v>
      </c>
    </row>
    <row r="45" spans="1:11">
      <c r="A45" s="224" t="str">
        <f>+'[1]Consolidate P&amp;L'!C39</f>
        <v>Payroll Taxes</v>
      </c>
      <c r="B45" s="224"/>
      <c r="C45" s="224"/>
      <c r="D45" s="224"/>
      <c r="E45" s="224"/>
      <c r="F45" s="224"/>
      <c r="G45" s="224"/>
      <c r="H45" s="224"/>
      <c r="I45" s="224"/>
      <c r="J45" s="224"/>
      <c r="K45" s="224">
        <f t="shared" si="2"/>
        <v>0</v>
      </c>
    </row>
    <row r="46" spans="1:11">
      <c r="A46" s="224" t="str">
        <f>+'[1]Consolidate P&amp;L'!C40</f>
        <v>Building rent</v>
      </c>
      <c r="B46" s="224"/>
      <c r="C46" s="224"/>
      <c r="D46" s="224"/>
      <c r="E46" s="224"/>
      <c r="F46" s="224"/>
      <c r="G46" s="224"/>
      <c r="H46" s="224"/>
      <c r="I46" s="224"/>
      <c r="J46" s="224"/>
      <c r="K46" s="224">
        <f t="shared" si="2"/>
        <v>0</v>
      </c>
    </row>
    <row r="47" spans="1:11">
      <c r="A47" s="224" t="str">
        <f>+'[1]Consolidate P&amp;L'!C41</f>
        <v>Other Disposal Expense</v>
      </c>
      <c r="B47" s="286"/>
      <c r="C47" s="286"/>
      <c r="D47" s="286"/>
      <c r="E47" s="286"/>
      <c r="F47" s="286"/>
      <c r="G47" s="286"/>
      <c r="H47" s="286"/>
      <c r="I47" s="286"/>
      <c r="J47" s="286"/>
      <c r="K47" s="286"/>
    </row>
    <row r="48" spans="1:11">
      <c r="A48" s="224" t="str">
        <f>+'[1]Consolidate P&amp;L'!C42</f>
        <v>Total expenses</v>
      </c>
      <c r="B48" s="332">
        <f>SUM(B18:B47)</f>
        <v>69616.039999999994</v>
      </c>
      <c r="C48" s="332">
        <f t="shared" ref="C48:K48" si="3">SUM(C18:C47)</f>
        <v>0</v>
      </c>
      <c r="D48" s="332">
        <f t="shared" si="3"/>
        <v>2157.3749999999973</v>
      </c>
      <c r="E48" s="332">
        <f t="shared" si="3"/>
        <v>0</v>
      </c>
      <c r="F48" s="332">
        <f t="shared" si="3"/>
        <v>-50535.789999999994</v>
      </c>
      <c r="G48" s="332">
        <f t="shared" si="3"/>
        <v>107383.28078571435</v>
      </c>
      <c r="H48" s="332">
        <f t="shared" si="3"/>
        <v>0</v>
      </c>
      <c r="I48" s="332">
        <f t="shared" si="3"/>
        <v>-2072</v>
      </c>
      <c r="J48" s="332">
        <f t="shared" si="3"/>
        <v>0</v>
      </c>
      <c r="K48" s="332">
        <f t="shared" si="3"/>
        <v>126548.90578571435</v>
      </c>
    </row>
    <row r="49" spans="1:11">
      <c r="A49" s="224" t="str">
        <f>+'[1]Consolidate P&amp;L'!B43</f>
        <v>Operating Income</v>
      </c>
      <c r="B49" s="224">
        <f>+B15-B48</f>
        <v>-69616.039999999994</v>
      </c>
      <c r="C49" s="224">
        <f t="shared" ref="C49:K49" si="4">+C15-C48</f>
        <v>0</v>
      </c>
      <c r="D49" s="224">
        <f t="shared" si="4"/>
        <v>-2041.5749999999973</v>
      </c>
      <c r="E49" s="224">
        <f t="shared" si="4"/>
        <v>2326</v>
      </c>
      <c r="F49" s="224">
        <f t="shared" si="4"/>
        <v>0</v>
      </c>
      <c r="G49" s="224">
        <f t="shared" si="4"/>
        <v>-107383.28078571435</v>
      </c>
      <c r="H49" s="224">
        <f t="shared" si="4"/>
        <v>0</v>
      </c>
      <c r="I49" s="224">
        <f t="shared" si="4"/>
        <v>2072</v>
      </c>
      <c r="J49" s="224">
        <f t="shared" si="4"/>
        <v>0</v>
      </c>
      <c r="K49" s="224">
        <f t="shared" si="4"/>
        <v>-174642.89578571433</v>
      </c>
    </row>
    <row r="50" spans="1:11">
      <c r="A50" s="225"/>
      <c r="B50" s="224"/>
      <c r="C50" s="224"/>
      <c r="D50" s="224"/>
      <c r="E50" s="224"/>
      <c r="F50" s="224"/>
      <c r="G50" s="224"/>
      <c r="H50" s="224"/>
      <c r="I50" s="224"/>
      <c r="J50" s="224"/>
      <c r="K50" s="224"/>
    </row>
    <row r="51" spans="1:11">
      <c r="A51" s="224" t="str">
        <f>+'[1]Consolidate P&amp;L'!B45</f>
        <v>Other Income/(Expense)</v>
      </c>
      <c r="B51" s="224"/>
      <c r="C51" s="224"/>
      <c r="D51" s="224"/>
      <c r="E51" s="224"/>
      <c r="F51" s="224"/>
      <c r="G51" s="224"/>
      <c r="H51" s="224"/>
      <c r="I51" s="224"/>
      <c r="J51" s="224"/>
      <c r="K51" s="224"/>
    </row>
    <row r="52" spans="1:11">
      <c r="A52" s="224" t="str">
        <f>+'[1]Consolidate P&amp;L'!C46</f>
        <v>Interest Income</v>
      </c>
      <c r="B52" s="224"/>
      <c r="C52" s="224"/>
      <c r="D52" s="224"/>
      <c r="E52" s="224"/>
      <c r="F52" s="224"/>
      <c r="G52" s="224"/>
      <c r="H52" s="224"/>
      <c r="I52" s="224"/>
      <c r="J52" s="224"/>
      <c r="K52" s="224"/>
    </row>
    <row r="53" spans="1:11">
      <c r="A53" s="224" t="str">
        <f>+'[1]Consolidate P&amp;L'!C47</f>
        <v>Interest expense</v>
      </c>
      <c r="B53" s="224"/>
      <c r="C53" s="224"/>
      <c r="D53" s="224"/>
      <c r="E53" s="224"/>
      <c r="F53" s="224"/>
      <c r="G53" s="224"/>
      <c r="H53" s="224"/>
      <c r="I53" s="224"/>
      <c r="J53" s="224"/>
      <c r="K53" s="224"/>
    </row>
    <row r="54" spans="1:11">
      <c r="A54" s="224" t="str">
        <f>+'[1]Consolidate P&amp;L'!C48</f>
        <v>Rent Income</v>
      </c>
      <c r="B54" s="224"/>
      <c r="C54" s="224"/>
      <c r="D54" s="224"/>
      <c r="E54" s="224"/>
      <c r="F54" s="224"/>
      <c r="G54" s="224"/>
      <c r="H54" s="224"/>
      <c r="I54" s="224"/>
      <c r="J54" s="224"/>
      <c r="K54" s="224"/>
    </row>
    <row r="55" spans="1:11">
      <c r="A55" s="224" t="str">
        <f>+'[1]Consolidate P&amp;L'!C49</f>
        <v>Total other income (expense)</v>
      </c>
      <c r="B55" s="224"/>
      <c r="C55" s="224"/>
      <c r="D55" s="224"/>
      <c r="E55" s="224"/>
      <c r="F55" s="224"/>
      <c r="G55" s="224"/>
      <c r="H55" s="224"/>
      <c r="I55" s="224"/>
      <c r="J55" s="224"/>
      <c r="K55" s="224"/>
    </row>
    <row r="56" spans="1:11">
      <c r="A56" s="224" t="str">
        <f>+'[1]Consolidate P&amp;L'!B50</f>
        <v>Net Income Before taxes</v>
      </c>
      <c r="B56" s="224"/>
      <c r="C56" s="224"/>
      <c r="D56" s="224"/>
      <c r="E56" s="224"/>
      <c r="F56" s="224"/>
      <c r="G56" s="224"/>
      <c r="H56" s="224"/>
      <c r="I56" s="224"/>
      <c r="J56" s="224"/>
      <c r="K56" s="224"/>
    </row>
    <row r="57" spans="1:11">
      <c r="A57" s="224" t="str">
        <f>+'[1]Consolidate P&amp;L'!B51</f>
        <v>Provision for income tax</v>
      </c>
      <c r="B57" s="224"/>
      <c r="C57" s="224"/>
      <c r="D57" s="224"/>
      <c r="E57" s="224"/>
      <c r="F57" s="224"/>
      <c r="G57" s="224"/>
      <c r="H57" s="224"/>
      <c r="I57" s="224"/>
      <c r="J57" s="224"/>
      <c r="K57" s="224"/>
    </row>
    <row r="58" spans="1:11">
      <c r="A58" s="224" t="str">
        <f>+'[1]Consolidate P&amp;L'!B52</f>
        <v>Net Income</v>
      </c>
      <c r="B58" s="224"/>
      <c r="C58" s="224"/>
      <c r="D58" s="224"/>
      <c r="E58" s="224"/>
      <c r="F58" s="224"/>
      <c r="G58" s="224"/>
      <c r="H58" s="224"/>
      <c r="I58" s="224"/>
      <c r="J58" s="224"/>
      <c r="K58" s="224"/>
    </row>
    <row r="59" spans="1:11" ht="15.75">
      <c r="A59" s="222"/>
      <c r="B59" s="224"/>
      <c r="C59" s="224"/>
      <c r="D59" s="224"/>
      <c r="E59" s="224"/>
      <c r="F59" s="224"/>
      <c r="G59" s="224"/>
      <c r="H59" s="224"/>
      <c r="I59" s="224"/>
      <c r="J59" s="224"/>
      <c r="K59" s="224"/>
    </row>
    <row r="60" spans="1:11">
      <c r="B60" s="224"/>
      <c r="C60" s="224"/>
      <c r="D60" s="224"/>
      <c r="E60" s="224"/>
      <c r="F60" s="224"/>
      <c r="G60" s="224"/>
      <c r="H60" s="224"/>
      <c r="I60" s="224"/>
      <c r="J60" s="224"/>
      <c r="K60" s="224"/>
    </row>
    <row r="61" spans="1:11">
      <c r="B61" s="224"/>
      <c r="C61" s="224"/>
      <c r="D61" s="224"/>
      <c r="E61" s="224"/>
      <c r="F61" s="224"/>
      <c r="G61" s="224"/>
      <c r="H61" s="224"/>
      <c r="I61" s="224"/>
      <c r="J61" s="224"/>
      <c r="K61" s="22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"/>
  <sheetViews>
    <sheetView topLeftCell="A15" workbookViewId="0">
      <selection activeCell="K48" sqref="K48"/>
    </sheetView>
  </sheetViews>
  <sheetFormatPr defaultRowHeight="15"/>
  <cols>
    <col min="1" max="1" width="29.5546875" style="203" customWidth="1"/>
    <col min="2" max="16384" width="8.88671875" style="203"/>
  </cols>
  <sheetData>
    <row r="1" spans="1:11" ht="15.75">
      <c r="A1" s="340"/>
      <c r="B1" s="342" t="s">
        <v>365</v>
      </c>
      <c r="C1" s="341"/>
      <c r="D1" s="341"/>
      <c r="E1" s="341"/>
      <c r="F1" s="341"/>
      <c r="G1" s="341"/>
      <c r="H1" s="341"/>
      <c r="I1" s="341"/>
      <c r="J1" s="341"/>
      <c r="K1" s="341"/>
    </row>
    <row r="2" spans="1:11" ht="15.75">
      <c r="A2" s="340"/>
      <c r="B2" s="343" t="s">
        <v>518</v>
      </c>
      <c r="C2" s="341"/>
      <c r="D2" s="341"/>
      <c r="E2" s="341"/>
      <c r="F2" s="341"/>
      <c r="G2" s="341"/>
      <c r="H2" s="341"/>
      <c r="I2" s="341"/>
      <c r="J2" s="341"/>
      <c r="K2" s="341"/>
    </row>
    <row r="3" spans="1:11" ht="15.75">
      <c r="A3" s="340"/>
      <c r="B3" s="340"/>
      <c r="C3" s="340"/>
      <c r="D3" s="340"/>
      <c r="E3" s="340"/>
      <c r="F3" s="340"/>
      <c r="G3" s="340"/>
      <c r="H3" s="340"/>
      <c r="I3" s="340"/>
      <c r="J3" s="340"/>
      <c r="K3" s="340"/>
    </row>
    <row r="4" spans="1:11" ht="15.75">
      <c r="A4" s="340"/>
      <c r="B4" s="351" t="s">
        <v>524</v>
      </c>
      <c r="C4" s="340" t="s">
        <v>543</v>
      </c>
      <c r="D4" s="351" t="s">
        <v>639</v>
      </c>
      <c r="E4" s="340"/>
      <c r="F4" s="340"/>
      <c r="G4" s="340"/>
      <c r="H4" s="340"/>
      <c r="I4" s="340"/>
      <c r="J4" s="340"/>
      <c r="K4" s="340"/>
    </row>
    <row r="5" spans="1:11" ht="47.25">
      <c r="A5" s="340"/>
      <c r="B5" s="348" t="s">
        <v>519</v>
      </c>
      <c r="C5" s="348" t="s">
        <v>544</v>
      </c>
      <c r="D5" s="351" t="s">
        <v>640</v>
      </c>
      <c r="E5" s="340"/>
      <c r="F5" s="340"/>
      <c r="G5" s="340"/>
      <c r="H5" s="340"/>
      <c r="I5" s="340"/>
      <c r="J5" s="340"/>
      <c r="K5" s="340" t="s">
        <v>103</v>
      </c>
    </row>
    <row r="6" spans="1:11" ht="15.75">
      <c r="A6" s="344" t="s">
        <v>12</v>
      </c>
      <c r="B6" s="340"/>
      <c r="C6" s="340"/>
      <c r="D6" s="340"/>
      <c r="E6" s="340"/>
      <c r="F6" s="340"/>
      <c r="G6" s="340"/>
      <c r="H6" s="340"/>
      <c r="I6" s="340"/>
      <c r="J6" s="340"/>
      <c r="K6" s="340"/>
    </row>
    <row r="7" spans="1:11" ht="15.75">
      <c r="A7" s="344" t="s">
        <v>296</v>
      </c>
      <c r="B7" s="303"/>
      <c r="C7" s="303"/>
      <c r="D7" s="303"/>
      <c r="E7" s="303"/>
      <c r="F7" s="303"/>
      <c r="G7" s="303"/>
      <c r="H7" s="303"/>
      <c r="I7" s="303"/>
      <c r="J7" s="303"/>
      <c r="K7" s="303"/>
    </row>
    <row r="8" spans="1:11" ht="15.75">
      <c r="A8" s="344" t="s">
        <v>297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</row>
    <row r="9" spans="1:11" ht="15.75">
      <c r="A9" s="344" t="s">
        <v>298</v>
      </c>
      <c r="B9" s="303"/>
      <c r="C9" s="303"/>
      <c r="D9" s="303"/>
      <c r="E9" s="303"/>
      <c r="F9" s="303"/>
      <c r="G9" s="303"/>
      <c r="H9" s="303"/>
      <c r="I9" s="303"/>
      <c r="J9" s="303"/>
      <c r="K9" s="303"/>
    </row>
    <row r="10" spans="1:11" ht="15.75">
      <c r="A10" s="344" t="s">
        <v>299</v>
      </c>
      <c r="B10" s="303"/>
      <c r="C10" s="303"/>
      <c r="D10" s="303"/>
      <c r="E10" s="303"/>
      <c r="F10" s="303"/>
      <c r="G10" s="303"/>
      <c r="H10" s="303"/>
      <c r="I10" s="303"/>
      <c r="J10" s="303"/>
      <c r="K10" s="303"/>
    </row>
    <row r="11" spans="1:11" ht="15.75">
      <c r="A11" s="344" t="s">
        <v>300</v>
      </c>
      <c r="B11" s="303"/>
      <c r="C11" s="303"/>
      <c r="D11" s="303"/>
      <c r="E11" s="303"/>
      <c r="F11" s="303"/>
      <c r="G11" s="303"/>
      <c r="H11" s="303"/>
      <c r="I11" s="303"/>
      <c r="J11" s="303"/>
      <c r="K11" s="303"/>
    </row>
    <row r="12" spans="1:11" ht="15.75">
      <c r="A12" s="344" t="s">
        <v>301</v>
      </c>
      <c r="B12" s="303"/>
      <c r="C12" s="303"/>
      <c r="D12" s="303"/>
      <c r="E12" s="303"/>
      <c r="F12" s="303"/>
      <c r="G12" s="303"/>
      <c r="H12" s="303"/>
      <c r="I12" s="303"/>
      <c r="J12" s="303"/>
      <c r="K12" s="303"/>
    </row>
    <row r="13" spans="1:11" ht="15.75">
      <c r="A13" s="344" t="s">
        <v>302</v>
      </c>
      <c r="B13" s="303"/>
      <c r="C13" s="303"/>
      <c r="D13" s="303"/>
      <c r="E13" s="303"/>
      <c r="F13" s="303"/>
      <c r="G13" s="303"/>
      <c r="H13" s="303"/>
      <c r="I13" s="303"/>
      <c r="J13" s="303"/>
      <c r="K13" s="303"/>
    </row>
    <row r="14" spans="1:11" ht="15.75">
      <c r="A14" s="344" t="s">
        <v>303</v>
      </c>
      <c r="B14" s="349"/>
      <c r="C14" s="349"/>
      <c r="D14" s="349"/>
      <c r="E14" s="349"/>
      <c r="F14" s="349"/>
      <c r="G14" s="349"/>
      <c r="H14" s="349"/>
      <c r="I14" s="349"/>
      <c r="J14" s="349"/>
      <c r="K14" s="349"/>
    </row>
    <row r="15" spans="1:11" ht="15.75">
      <c r="A15" s="344" t="s">
        <v>103</v>
      </c>
      <c r="B15" s="303"/>
      <c r="C15" s="303"/>
      <c r="D15" s="303"/>
      <c r="E15" s="303"/>
      <c r="F15" s="303"/>
      <c r="G15" s="303"/>
      <c r="H15" s="303"/>
      <c r="I15" s="303"/>
      <c r="J15" s="303"/>
      <c r="K15" s="303"/>
    </row>
    <row r="16" spans="1:11" ht="15.75">
      <c r="A16" s="344"/>
      <c r="B16" s="303"/>
      <c r="C16" s="303"/>
      <c r="D16" s="303"/>
      <c r="E16" s="303"/>
      <c r="F16" s="303"/>
      <c r="G16" s="303"/>
      <c r="H16" s="303"/>
      <c r="I16" s="303"/>
      <c r="J16" s="303"/>
      <c r="K16" s="303"/>
    </row>
    <row r="17" spans="1:11" ht="15.75">
      <c r="A17" s="345" t="s">
        <v>158</v>
      </c>
      <c r="B17" s="303"/>
      <c r="C17" s="303"/>
      <c r="D17" s="303"/>
      <c r="E17" s="303"/>
      <c r="F17" s="303"/>
      <c r="G17" s="303"/>
      <c r="H17" s="303"/>
      <c r="I17" s="303"/>
      <c r="J17" s="303"/>
      <c r="K17" s="303"/>
    </row>
    <row r="18" spans="1:11" ht="15.75">
      <c r="A18" s="346" t="str">
        <f>+'[1]Consolidate P&amp;L'!C18</f>
        <v>Truck &amp; Cart Maint/Shop Expenses</v>
      </c>
      <c r="B18" s="303"/>
      <c r="C18" s="303"/>
      <c r="D18" s="303"/>
      <c r="E18" s="303"/>
      <c r="F18" s="303"/>
      <c r="G18" s="303"/>
      <c r="H18" s="303"/>
      <c r="I18" s="303"/>
      <c r="J18" s="303"/>
      <c r="K18" s="303">
        <f>SUM(B18:J18)</f>
        <v>0</v>
      </c>
    </row>
    <row r="19" spans="1:11" ht="15.75">
      <c r="A19" s="346" t="str">
        <f>+'[1]Consolidate P&amp;L'!C19</f>
        <v>Shop Supplies</v>
      </c>
      <c r="B19" s="303"/>
      <c r="C19" s="303"/>
      <c r="D19" s="303"/>
      <c r="E19" s="303"/>
      <c r="F19" s="303"/>
      <c r="G19" s="303"/>
      <c r="H19" s="303"/>
      <c r="I19" s="303"/>
      <c r="J19" s="303"/>
      <c r="K19" s="303">
        <f t="shared" ref="K19:K49" si="0">SUM(B19:J19)</f>
        <v>0</v>
      </c>
    </row>
    <row r="20" spans="1:11" ht="15.75">
      <c r="A20" s="346" t="str">
        <f>+'[1]Consolidate P&amp;L'!C20</f>
        <v>Snow Removal</v>
      </c>
      <c r="B20" s="303"/>
      <c r="C20" s="303"/>
      <c r="D20" s="303"/>
      <c r="E20" s="303"/>
      <c r="F20" s="303"/>
      <c r="G20" s="303"/>
      <c r="H20" s="303"/>
      <c r="I20" s="303"/>
      <c r="J20" s="303"/>
      <c r="K20" s="303">
        <f t="shared" si="0"/>
        <v>0</v>
      </c>
    </row>
    <row r="21" spans="1:11" ht="15.75">
      <c r="A21" s="346" t="str">
        <f>+'[1]Consolidate P&amp;L'!C21</f>
        <v>Driver payroll</v>
      </c>
      <c r="B21" s="303"/>
      <c r="C21" s="303"/>
      <c r="D21" s="303"/>
      <c r="E21" s="303"/>
      <c r="F21" s="303"/>
      <c r="G21" s="303"/>
      <c r="H21" s="303"/>
      <c r="I21" s="303"/>
      <c r="J21" s="303"/>
      <c r="K21" s="303">
        <f t="shared" si="0"/>
        <v>0</v>
      </c>
    </row>
    <row r="22" spans="1:11" ht="15.75">
      <c r="A22" s="346" t="s">
        <v>304</v>
      </c>
      <c r="B22" s="303"/>
      <c r="C22" s="303"/>
      <c r="D22" s="303"/>
      <c r="E22" s="303"/>
      <c r="F22" s="303"/>
      <c r="G22" s="303"/>
      <c r="H22" s="303"/>
      <c r="I22" s="303"/>
      <c r="J22" s="303"/>
      <c r="K22" s="303">
        <f t="shared" si="0"/>
        <v>0</v>
      </c>
    </row>
    <row r="23" spans="1:11" ht="15.75">
      <c r="A23" s="346" t="str">
        <f>+'[1]Consolidate P&amp;L'!C22</f>
        <v>Fuel &amp; Oil</v>
      </c>
      <c r="B23" s="303"/>
      <c r="C23" s="303"/>
      <c r="D23" s="303">
        <f>+'Fuel Cost'!P26</f>
        <v>-159.36999999999534</v>
      </c>
      <c r="E23" s="303"/>
      <c r="F23" s="303"/>
      <c r="G23" s="303"/>
      <c r="H23" s="303"/>
      <c r="I23" s="303"/>
      <c r="J23" s="303"/>
      <c r="K23" s="303">
        <f t="shared" si="0"/>
        <v>-159.36999999999534</v>
      </c>
    </row>
    <row r="24" spans="1:11" ht="15.75">
      <c r="A24" s="346" t="str">
        <f>+'[1]Consolidate P&amp;L'!C23</f>
        <v>Disposal Fees &amp; Charges</v>
      </c>
      <c r="B24" s="303"/>
      <c r="C24" s="303"/>
      <c r="D24" s="303"/>
      <c r="E24" s="303"/>
      <c r="F24" s="303"/>
      <c r="G24" s="303"/>
      <c r="H24" s="303"/>
      <c r="I24" s="303"/>
      <c r="J24" s="303"/>
      <c r="K24" s="303">
        <f t="shared" si="0"/>
        <v>0</v>
      </c>
    </row>
    <row r="25" spans="1:11" ht="15.75">
      <c r="A25" s="346" t="s">
        <v>305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>
        <f t="shared" si="0"/>
        <v>0</v>
      </c>
    </row>
    <row r="26" spans="1:11" ht="15.75">
      <c r="A26" s="346" t="s">
        <v>306</v>
      </c>
      <c r="B26" s="303"/>
      <c r="C26" s="303">
        <f>+'Recycling Processing Costs'!D31</f>
        <v>3976.977350000001</v>
      </c>
      <c r="D26" s="303"/>
      <c r="E26" s="303"/>
      <c r="F26" s="303"/>
      <c r="G26" s="303"/>
      <c r="H26" s="303"/>
      <c r="I26" s="303"/>
      <c r="J26" s="303"/>
      <c r="K26" s="303">
        <f t="shared" si="0"/>
        <v>3976.977350000001</v>
      </c>
    </row>
    <row r="27" spans="1:11" ht="15.75">
      <c r="A27" s="346" t="str">
        <f>+'[1]Consolidate P&amp;L'!C24</f>
        <v>Advertising</v>
      </c>
      <c r="B27" s="303"/>
      <c r="C27" s="303"/>
      <c r="D27" s="303"/>
      <c r="E27" s="303"/>
      <c r="F27" s="303"/>
      <c r="G27" s="303"/>
      <c r="H27" s="303"/>
      <c r="I27" s="303"/>
      <c r="J27" s="303"/>
      <c r="K27" s="303">
        <f t="shared" si="0"/>
        <v>0</v>
      </c>
    </row>
    <row r="28" spans="1:11" ht="15.75">
      <c r="A28" s="346" t="str">
        <f>+'[1]Consolidate P&amp;L'!C25</f>
        <v>Insurance</v>
      </c>
      <c r="B28" s="303"/>
      <c r="C28" s="303"/>
      <c r="D28" s="303"/>
      <c r="E28" s="303"/>
      <c r="F28" s="303"/>
      <c r="G28" s="303"/>
      <c r="H28" s="303"/>
      <c r="I28" s="303"/>
      <c r="J28" s="303"/>
      <c r="K28" s="303">
        <f t="shared" si="0"/>
        <v>0</v>
      </c>
    </row>
    <row r="29" spans="1:11" ht="15.75">
      <c r="A29" s="346" t="str">
        <f>+'[1]Consolidate P&amp;L'!C26</f>
        <v>Officer payroll</v>
      </c>
      <c r="B29" s="303"/>
      <c r="C29" s="303"/>
      <c r="D29" s="303"/>
      <c r="E29" s="303"/>
      <c r="F29" s="303"/>
      <c r="G29" s="303"/>
      <c r="H29" s="303"/>
      <c r="I29" s="303"/>
      <c r="J29" s="303"/>
      <c r="K29" s="303">
        <f t="shared" si="0"/>
        <v>0</v>
      </c>
    </row>
    <row r="30" spans="1:11" ht="15.75">
      <c r="A30" s="346" t="str">
        <f>+'[1]Consolidate P&amp;L'!C27</f>
        <v>Office supplies</v>
      </c>
      <c r="B30" s="303"/>
      <c r="C30" s="303"/>
      <c r="D30" s="303"/>
      <c r="E30" s="303"/>
      <c r="F30" s="303"/>
      <c r="G30" s="303"/>
      <c r="H30" s="303"/>
      <c r="I30" s="303"/>
      <c r="J30" s="303"/>
      <c r="K30" s="303">
        <f t="shared" si="0"/>
        <v>0</v>
      </c>
    </row>
    <row r="31" spans="1:11" ht="15.75">
      <c r="A31" s="346" t="str">
        <f>+'[1]Consolidate P&amp;L'!C28</f>
        <v>Drug Testing</v>
      </c>
      <c r="B31" s="303"/>
      <c r="C31" s="303"/>
      <c r="D31" s="303"/>
      <c r="E31" s="303"/>
      <c r="F31" s="303"/>
      <c r="G31" s="303"/>
      <c r="H31" s="303"/>
      <c r="I31" s="303"/>
      <c r="J31" s="303"/>
      <c r="K31" s="303">
        <f t="shared" si="0"/>
        <v>0</v>
      </c>
    </row>
    <row r="32" spans="1:11" ht="15.75">
      <c r="A32" s="346" t="s">
        <v>322</v>
      </c>
      <c r="B32" s="303"/>
      <c r="C32" s="303"/>
      <c r="D32" s="303"/>
      <c r="E32" s="303"/>
      <c r="F32" s="303"/>
      <c r="G32" s="303"/>
      <c r="H32" s="303"/>
      <c r="I32" s="303"/>
      <c r="J32" s="303"/>
      <c r="K32" s="303">
        <f t="shared" si="0"/>
        <v>0</v>
      </c>
    </row>
    <row r="33" spans="1:11" ht="15.75">
      <c r="A33" s="346" t="s">
        <v>323</v>
      </c>
      <c r="B33" s="303"/>
      <c r="C33" s="303"/>
      <c r="D33" s="303"/>
      <c r="E33" s="303"/>
      <c r="F33" s="303"/>
      <c r="G33" s="303"/>
      <c r="H33" s="303"/>
      <c r="I33" s="303"/>
      <c r="J33" s="303"/>
      <c r="K33" s="303">
        <f t="shared" si="0"/>
        <v>0</v>
      </c>
    </row>
    <row r="34" spans="1:11" ht="15.75">
      <c r="A34" s="346" t="str">
        <f>+'[1]Consolidate P&amp;L'!C29</f>
        <v>Dues</v>
      </c>
      <c r="B34" s="303"/>
      <c r="C34" s="303"/>
      <c r="D34" s="303"/>
      <c r="E34" s="303"/>
      <c r="F34" s="303"/>
      <c r="G34" s="303"/>
      <c r="H34" s="303"/>
      <c r="I34" s="303"/>
      <c r="J34" s="303"/>
      <c r="K34" s="303">
        <f t="shared" si="0"/>
        <v>0</v>
      </c>
    </row>
    <row r="35" spans="1:11" ht="15.75">
      <c r="A35" s="346" t="str">
        <f>+'[1]Consolidate P&amp;L'!C30</f>
        <v xml:space="preserve">Legal &amp; accounting-regulatory </v>
      </c>
      <c r="B35" s="303"/>
      <c r="C35" s="303"/>
      <c r="D35" s="303"/>
      <c r="E35" s="303"/>
      <c r="F35" s="303"/>
      <c r="G35" s="303"/>
      <c r="H35" s="303"/>
      <c r="I35" s="303"/>
      <c r="J35" s="303"/>
      <c r="K35" s="303">
        <f t="shared" si="0"/>
        <v>0</v>
      </c>
    </row>
    <row r="36" spans="1:11" ht="15.75">
      <c r="A36" s="346" t="str">
        <f>+'[1]Consolidate P&amp;L'!C31</f>
        <v>Communications and utilities</v>
      </c>
      <c r="B36" s="303"/>
      <c r="C36" s="303"/>
      <c r="D36" s="303"/>
      <c r="E36" s="303"/>
      <c r="F36" s="303"/>
      <c r="G36" s="303"/>
      <c r="H36" s="303"/>
      <c r="I36" s="303"/>
      <c r="J36" s="303"/>
      <c r="K36" s="303">
        <f t="shared" si="0"/>
        <v>0</v>
      </c>
    </row>
    <row r="37" spans="1:11" ht="15.75">
      <c r="A37" s="346" t="str">
        <f>+'[1]Consolidate P&amp;L'!C32</f>
        <v>Employee welfare</v>
      </c>
      <c r="B37" s="303">
        <f>+'Medical Insurance'!H9</f>
        <v>6906.4800000000014</v>
      </c>
      <c r="C37" s="303"/>
      <c r="D37" s="303"/>
      <c r="E37" s="303"/>
      <c r="F37" s="303"/>
      <c r="G37" s="303"/>
      <c r="H37" s="303"/>
      <c r="I37" s="303"/>
      <c r="J37" s="303"/>
      <c r="K37" s="303">
        <f t="shared" si="0"/>
        <v>6906.4800000000014</v>
      </c>
    </row>
    <row r="38" spans="1:11" ht="15.75">
      <c r="A38" s="346" t="str">
        <f>+'[1]Consolidate P&amp;L'!C33</f>
        <v>Travel</v>
      </c>
      <c r="B38" s="303"/>
      <c r="C38" s="303"/>
      <c r="D38" s="303"/>
      <c r="E38" s="303"/>
      <c r="F38" s="303"/>
      <c r="G38" s="303"/>
      <c r="H38" s="303"/>
      <c r="I38" s="303"/>
      <c r="J38" s="303"/>
      <c r="K38" s="303">
        <f t="shared" si="0"/>
        <v>0</v>
      </c>
    </row>
    <row r="39" spans="1:11" ht="15.75">
      <c r="A39" s="346" t="str">
        <f>+'[1]Consolidate P&amp;L'!C34</f>
        <v>Other General Expenses</v>
      </c>
      <c r="B39" s="303"/>
      <c r="C39" s="303"/>
      <c r="D39" s="303"/>
      <c r="E39" s="303"/>
      <c r="F39" s="303"/>
      <c r="G39" s="303"/>
      <c r="H39" s="303"/>
      <c r="I39" s="303"/>
      <c r="J39" s="303"/>
      <c r="K39" s="303">
        <f t="shared" si="0"/>
        <v>0</v>
      </c>
    </row>
    <row r="40" spans="1:11" ht="15.75">
      <c r="A40" s="346" t="str">
        <f>+'[1]Consolidate P&amp;L'!C35</f>
        <v>Depreciation</v>
      </c>
      <c r="B40" s="303"/>
      <c r="C40" s="303"/>
      <c r="D40" s="303"/>
      <c r="E40" s="303"/>
      <c r="F40" s="303"/>
      <c r="G40" s="303"/>
      <c r="H40" s="303"/>
      <c r="I40" s="303"/>
      <c r="J40" s="303"/>
      <c r="K40" s="303">
        <f t="shared" si="0"/>
        <v>0</v>
      </c>
    </row>
    <row r="41" spans="1:11" ht="15.75">
      <c r="A41" s="346" t="str">
        <f>+'[1]Consolidate P&amp;L'!C36</f>
        <v>Operating Taxes &amp; Licenses</v>
      </c>
      <c r="B41" s="303"/>
      <c r="C41" s="303"/>
      <c r="D41" s="303"/>
      <c r="E41" s="303"/>
      <c r="F41" s="303"/>
      <c r="G41" s="303"/>
      <c r="H41" s="303"/>
      <c r="I41" s="303"/>
      <c r="J41" s="303"/>
      <c r="K41" s="303">
        <f t="shared" si="0"/>
        <v>0</v>
      </c>
    </row>
    <row r="42" spans="1:11" ht="15.75">
      <c r="A42" s="346" t="s">
        <v>307</v>
      </c>
      <c r="B42" s="303"/>
      <c r="C42" s="303"/>
      <c r="D42" s="303"/>
      <c r="E42" s="303"/>
      <c r="F42" s="303"/>
      <c r="G42" s="303"/>
      <c r="H42" s="303"/>
      <c r="I42" s="303"/>
      <c r="J42" s="303"/>
      <c r="K42" s="303">
        <f t="shared" si="0"/>
        <v>0</v>
      </c>
    </row>
    <row r="43" spans="1:11" ht="15.75">
      <c r="A43" s="346" t="str">
        <f>+'[1]Consolidate P&amp;L'!C37</f>
        <v>Vehicle Licenses &amp; Registration</v>
      </c>
      <c r="B43" s="303"/>
      <c r="C43" s="303"/>
      <c r="D43" s="303"/>
      <c r="E43" s="303"/>
      <c r="F43" s="303"/>
      <c r="G43" s="303"/>
      <c r="H43" s="303"/>
      <c r="I43" s="303"/>
      <c r="J43" s="303"/>
      <c r="K43" s="303">
        <f t="shared" si="0"/>
        <v>0</v>
      </c>
    </row>
    <row r="44" spans="1:11" ht="15.75">
      <c r="A44" s="346" t="str">
        <f>+'[1]Consolidate P&amp;L'!C38</f>
        <v>Real &amp; Personal Property Taxes</v>
      </c>
      <c r="B44" s="303"/>
      <c r="C44" s="303"/>
      <c r="D44" s="303"/>
      <c r="E44" s="303"/>
      <c r="F44" s="303"/>
      <c r="G44" s="303"/>
      <c r="H44" s="303"/>
      <c r="I44" s="303"/>
      <c r="J44" s="303"/>
      <c r="K44" s="303">
        <f t="shared" si="0"/>
        <v>0</v>
      </c>
    </row>
    <row r="45" spans="1:11" ht="15.75">
      <c r="A45" s="346" t="str">
        <f>+'[1]Consolidate P&amp;L'!C39</f>
        <v>Payroll Taxes</v>
      </c>
      <c r="B45" s="303"/>
      <c r="C45" s="303"/>
      <c r="D45" s="303"/>
      <c r="E45" s="303"/>
      <c r="F45" s="303"/>
      <c r="G45" s="303"/>
      <c r="H45" s="303"/>
      <c r="I45" s="303"/>
      <c r="J45" s="303"/>
      <c r="K45" s="303">
        <f t="shared" si="0"/>
        <v>0</v>
      </c>
    </row>
    <row r="46" spans="1:11" ht="15.75">
      <c r="A46" s="346" t="str">
        <f>+'[1]Consolidate P&amp;L'!C40</f>
        <v>Building rent</v>
      </c>
      <c r="B46" s="303"/>
      <c r="C46" s="303"/>
      <c r="D46" s="303"/>
      <c r="E46" s="303"/>
      <c r="F46" s="303"/>
      <c r="G46" s="303"/>
      <c r="H46" s="303"/>
      <c r="I46" s="303"/>
      <c r="J46" s="303"/>
      <c r="K46" s="303">
        <f t="shared" si="0"/>
        <v>0</v>
      </c>
    </row>
    <row r="47" spans="1:11" ht="15.75">
      <c r="A47" s="346" t="str">
        <f>+'[1]Consolidate P&amp;L'!C41</f>
        <v>Other Disposal Expense</v>
      </c>
      <c r="B47" s="349"/>
      <c r="C47" s="349"/>
      <c r="D47" s="349"/>
      <c r="E47" s="349"/>
      <c r="F47" s="349"/>
      <c r="G47" s="349"/>
      <c r="H47" s="349"/>
      <c r="I47" s="349"/>
      <c r="J47" s="349"/>
      <c r="K47" s="349">
        <f t="shared" si="0"/>
        <v>0</v>
      </c>
    </row>
    <row r="48" spans="1:11" ht="15.75">
      <c r="A48" s="346" t="str">
        <f>+'[1]Consolidate P&amp;L'!C42</f>
        <v>Total expenses</v>
      </c>
      <c r="B48" s="350">
        <f>SUM(B18:B47)</f>
        <v>6906.4800000000014</v>
      </c>
      <c r="C48" s="350">
        <f>SUM(C18:C47)</f>
        <v>3976.977350000001</v>
      </c>
      <c r="D48" s="350">
        <f>SUM(D18:D47)</f>
        <v>-159.36999999999534</v>
      </c>
      <c r="E48" s="350">
        <f>SUM(E18:E47)</f>
        <v>0</v>
      </c>
      <c r="F48" s="350">
        <f>SUM(F18:F47)</f>
        <v>0</v>
      </c>
      <c r="G48" s="350"/>
      <c r="H48" s="350"/>
      <c r="I48" s="350"/>
      <c r="J48" s="350"/>
      <c r="K48" s="350">
        <f t="shared" si="0"/>
        <v>10724.087350000007</v>
      </c>
    </row>
    <row r="49" spans="1:11" ht="15.75">
      <c r="A49" s="346" t="str">
        <f>+'[1]Consolidate P&amp;L'!B43</f>
        <v>Operating Income</v>
      </c>
      <c r="B49" s="303"/>
      <c r="C49" s="303"/>
      <c r="D49" s="303"/>
      <c r="E49" s="303"/>
      <c r="F49" s="303"/>
      <c r="G49" s="303"/>
      <c r="H49" s="303"/>
      <c r="I49" s="303"/>
      <c r="J49" s="303"/>
      <c r="K49" s="303">
        <f t="shared" si="0"/>
        <v>0</v>
      </c>
    </row>
    <row r="50" spans="1:11" ht="15.75">
      <c r="A50" s="347"/>
      <c r="B50" s="303"/>
      <c r="C50" s="303"/>
      <c r="D50" s="303"/>
      <c r="E50" s="303"/>
      <c r="F50" s="303"/>
      <c r="G50" s="303"/>
      <c r="H50" s="303"/>
      <c r="I50" s="303"/>
      <c r="J50" s="303"/>
      <c r="K50" s="303"/>
    </row>
    <row r="51" spans="1:11" ht="15.75">
      <c r="A51" s="346" t="str">
        <f>+'[1]Consolidate P&amp;L'!B45</f>
        <v>Other Income/(Expense)</v>
      </c>
      <c r="B51" s="303"/>
      <c r="C51" s="303"/>
      <c r="D51" s="303"/>
      <c r="E51" s="303"/>
      <c r="F51" s="303"/>
      <c r="G51" s="303"/>
      <c r="H51" s="303"/>
      <c r="I51" s="303"/>
      <c r="J51" s="303"/>
      <c r="K51" s="303"/>
    </row>
    <row r="52" spans="1:11" ht="15.75">
      <c r="A52" s="346" t="str">
        <f>+'[1]Consolidate P&amp;L'!C46</f>
        <v>Interest Income</v>
      </c>
      <c r="B52" s="303"/>
      <c r="C52" s="303"/>
      <c r="D52" s="303"/>
      <c r="E52" s="303"/>
      <c r="F52" s="303"/>
      <c r="G52" s="303"/>
      <c r="H52" s="303"/>
      <c r="I52" s="303"/>
      <c r="J52" s="303"/>
      <c r="K52" s="303"/>
    </row>
    <row r="53" spans="1:11" ht="15.75">
      <c r="A53" s="346" t="str">
        <f>+'[1]Consolidate P&amp;L'!C47</f>
        <v>Interest expense</v>
      </c>
      <c r="B53" s="303"/>
      <c r="C53" s="303"/>
      <c r="D53" s="303"/>
      <c r="E53" s="303"/>
      <c r="F53" s="303"/>
      <c r="G53" s="303"/>
      <c r="H53" s="303"/>
      <c r="I53" s="303"/>
      <c r="J53" s="303"/>
      <c r="K53" s="303"/>
    </row>
    <row r="54" spans="1:11" ht="15.75">
      <c r="A54" s="346" t="str">
        <f>+'[1]Consolidate P&amp;L'!C48</f>
        <v>Rent Income</v>
      </c>
      <c r="B54" s="303"/>
      <c r="C54" s="303"/>
      <c r="D54" s="303"/>
      <c r="E54" s="303"/>
      <c r="F54" s="303"/>
      <c r="G54" s="303"/>
      <c r="H54" s="303"/>
      <c r="I54" s="303"/>
      <c r="J54" s="303"/>
      <c r="K54" s="303"/>
    </row>
    <row r="55" spans="1:11" ht="15.75">
      <c r="A55" s="346" t="str">
        <f>+'[1]Consolidate P&amp;L'!C49</f>
        <v>Total other income (expense)</v>
      </c>
      <c r="B55" s="303"/>
      <c r="C55" s="303"/>
      <c r="D55" s="303"/>
      <c r="E55" s="303"/>
      <c r="F55" s="303"/>
      <c r="G55" s="303"/>
      <c r="H55" s="303"/>
      <c r="I55" s="303"/>
      <c r="J55" s="303"/>
      <c r="K55" s="303"/>
    </row>
    <row r="56" spans="1:11" ht="15.75">
      <c r="A56" s="346" t="str">
        <f>+'[1]Consolidate P&amp;L'!B50</f>
        <v>Net Income Before taxes</v>
      </c>
      <c r="B56" s="303"/>
      <c r="C56" s="303"/>
      <c r="D56" s="303"/>
      <c r="E56" s="303"/>
      <c r="F56" s="303"/>
      <c r="G56" s="303"/>
      <c r="H56" s="303"/>
      <c r="I56" s="303"/>
      <c r="J56" s="303"/>
      <c r="K56" s="303"/>
    </row>
    <row r="57" spans="1:11" ht="15.75">
      <c r="A57" s="346" t="str">
        <f>+'[1]Consolidate P&amp;L'!B51</f>
        <v>Provision for income tax</v>
      </c>
      <c r="B57" s="303"/>
      <c r="C57" s="303"/>
      <c r="D57" s="303"/>
      <c r="E57" s="303"/>
      <c r="F57" s="303"/>
      <c r="G57" s="303"/>
      <c r="H57" s="303"/>
      <c r="I57" s="303"/>
      <c r="J57" s="303"/>
      <c r="K57" s="303"/>
    </row>
    <row r="58" spans="1:11" ht="15.75">
      <c r="A58" s="346" t="str">
        <f>+'[1]Consolidate P&amp;L'!B52</f>
        <v>Net Income</v>
      </c>
      <c r="B58" s="303"/>
      <c r="C58" s="303"/>
      <c r="D58" s="303"/>
      <c r="E58" s="303"/>
      <c r="F58" s="303"/>
      <c r="G58" s="303"/>
      <c r="H58" s="303"/>
      <c r="I58" s="303"/>
      <c r="J58" s="303"/>
      <c r="K58" s="303"/>
    </row>
    <row r="59" spans="1:11" ht="15.75">
      <c r="A59" s="340"/>
      <c r="B59" s="340"/>
      <c r="C59" s="340"/>
      <c r="D59" s="340"/>
      <c r="E59" s="340"/>
      <c r="F59" s="340"/>
      <c r="G59" s="340"/>
      <c r="H59" s="340"/>
      <c r="I59" s="340"/>
      <c r="J59" s="340"/>
      <c r="K59" s="34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T113"/>
  <sheetViews>
    <sheetView showGridLines="0" tabSelected="1" showOutlineSymbols="0" topLeftCell="I1" zoomScale="120" zoomScaleNormal="120" workbookViewId="0">
      <selection activeCell="M16" sqref="M16"/>
    </sheetView>
  </sheetViews>
  <sheetFormatPr defaultColWidth="13" defaultRowHeight="15"/>
  <cols>
    <col min="1" max="1" width="3.77734375" customWidth="1"/>
    <col min="2" max="2" width="26.109375" style="52" bestFit="1" customWidth="1"/>
    <col min="3" max="3" width="16.5546875" style="52" customWidth="1"/>
    <col min="4" max="4" width="16.5546875" style="52" hidden="1" customWidth="1"/>
    <col min="5" max="5" width="5.6640625" style="52" customWidth="1"/>
    <col min="6" max="6" width="4.44140625" customWidth="1"/>
    <col min="7" max="7" width="6.6640625" customWidth="1"/>
    <col min="8" max="8" width="11.6640625" customWidth="1"/>
    <col min="9" max="9" width="13.77734375" customWidth="1"/>
    <col min="10" max="10" width="10.33203125" customWidth="1"/>
    <col min="11" max="11" width="11.77734375" bestFit="1" customWidth="1"/>
    <col min="12" max="13" width="14.33203125" customWidth="1"/>
    <col min="14" max="14" width="4.77734375" customWidth="1"/>
    <col min="15" max="15" width="4.88671875" style="52" customWidth="1"/>
    <col min="16" max="16" width="31.44140625" style="52" customWidth="1"/>
    <col min="17" max="17" width="13" style="25"/>
    <col min="18" max="18" width="10.77734375" style="1" customWidth="1"/>
    <col min="20" max="20" width="10.44140625" customWidth="1"/>
    <col min="21" max="21" width="12.21875" customWidth="1"/>
    <col min="23" max="24" width="13.77734375" customWidth="1"/>
    <col min="25" max="25" width="12.44140625" customWidth="1"/>
    <col min="27" max="27" width="12.33203125" customWidth="1"/>
    <col min="30" max="30" width="12.77734375" customWidth="1"/>
    <col min="31" max="31" width="13.44140625" customWidth="1"/>
    <col min="32" max="32" width="16.109375" customWidth="1"/>
    <col min="33" max="33" width="14.109375" customWidth="1"/>
    <col min="34" max="34" width="12.77734375" customWidth="1"/>
    <col min="36" max="36" width="10.77734375" customWidth="1"/>
    <col min="37" max="37" width="12.77734375" customWidth="1"/>
    <col min="38" max="49" width="11.77734375" customWidth="1"/>
  </cols>
  <sheetData>
    <row r="1" spans="1:35" s="39" customFormat="1" ht="15.75" thickBot="1">
      <c r="A1" s="43"/>
      <c r="B1" s="41"/>
      <c r="C1" s="41"/>
      <c r="D1" s="41"/>
      <c r="E1" s="41"/>
      <c r="F1" s="41"/>
      <c r="G1" s="41"/>
      <c r="H1" s="41"/>
      <c r="I1" s="42"/>
      <c r="J1" s="42"/>
      <c r="K1" s="42"/>
      <c r="L1" s="42"/>
      <c r="M1" s="42"/>
      <c r="N1" s="42"/>
      <c r="O1" s="41"/>
      <c r="P1" s="41"/>
      <c r="Q1" s="70"/>
      <c r="R1" s="40"/>
    </row>
    <row r="2" spans="1:35" ht="19.5" thickBot="1">
      <c r="A2" s="43"/>
      <c r="B2" s="449" t="s">
        <v>106</v>
      </c>
      <c r="C2" s="449"/>
      <c r="D2" s="43"/>
      <c r="E2" s="43"/>
      <c r="F2" s="169" t="s">
        <v>112</v>
      </c>
      <c r="G2" s="98"/>
      <c r="H2" s="98"/>
      <c r="I2" s="99" t="s">
        <v>123</v>
      </c>
      <c r="J2" s="98"/>
      <c r="K2" s="98"/>
      <c r="L2" s="98"/>
      <c r="M2" s="169" t="s">
        <v>112</v>
      </c>
      <c r="O2" s="43"/>
      <c r="P2" s="43"/>
      <c r="R2" s="36" t="s">
        <v>1</v>
      </c>
      <c r="S2" s="37"/>
      <c r="T2" s="38"/>
      <c r="AF2" s="446" t="s">
        <v>92</v>
      </c>
      <c r="AG2" s="447"/>
      <c r="AH2" s="447"/>
      <c r="AI2" s="448"/>
    </row>
    <row r="3" spans="1:35" ht="15.75">
      <c r="A3" s="43"/>
      <c r="B3" s="43"/>
      <c r="C3" s="43"/>
      <c r="D3" s="43"/>
      <c r="E3" s="43"/>
      <c r="F3" s="138"/>
      <c r="G3" s="72"/>
      <c r="K3" s="179" t="s">
        <v>121</v>
      </c>
      <c r="M3" s="179" t="s">
        <v>120</v>
      </c>
      <c r="O3" s="43"/>
      <c r="P3" s="43"/>
      <c r="R3"/>
      <c r="T3" t="s">
        <v>8</v>
      </c>
      <c r="V3" s="1" t="s">
        <v>8</v>
      </c>
      <c r="W3" s="1" t="s">
        <v>8</v>
      </c>
      <c r="X3" s="1" t="s">
        <v>8</v>
      </c>
      <c r="Y3" s="1" t="s">
        <v>9</v>
      </c>
      <c r="Z3" s="1" t="s">
        <v>9</v>
      </c>
      <c r="AA3" s="1" t="s">
        <v>9</v>
      </c>
      <c r="AB3" s="1" t="s">
        <v>9</v>
      </c>
      <c r="AC3" s="1" t="s">
        <v>9</v>
      </c>
      <c r="AD3" s="1" t="s">
        <v>9</v>
      </c>
      <c r="AE3" s="1" t="s">
        <v>86</v>
      </c>
      <c r="AF3" s="1" t="s">
        <v>12</v>
      </c>
      <c r="AG3" s="1" t="s">
        <v>89</v>
      </c>
      <c r="AH3" s="1"/>
    </row>
    <row r="4" spans="1:35" ht="19.5" thickBot="1">
      <c r="A4" s="43"/>
      <c r="B4" s="133" t="s">
        <v>115</v>
      </c>
      <c r="C4" s="170"/>
      <c r="D4" s="116"/>
      <c r="E4" s="43"/>
      <c r="F4" s="178"/>
      <c r="G4" s="72"/>
      <c r="H4" s="77" t="s">
        <v>2</v>
      </c>
      <c r="I4" s="77" t="s">
        <v>3</v>
      </c>
      <c r="J4" s="77" t="s">
        <v>4</v>
      </c>
      <c r="K4" s="77" t="s">
        <v>5</v>
      </c>
      <c r="L4" s="77" t="s">
        <v>6</v>
      </c>
      <c r="M4" s="77" t="s">
        <v>7</v>
      </c>
      <c r="O4" s="45"/>
      <c r="P4" s="43"/>
      <c r="R4"/>
      <c r="T4" s="1" t="s">
        <v>14</v>
      </c>
      <c r="V4" s="1" t="s">
        <v>15</v>
      </c>
      <c r="W4" s="1" t="s">
        <v>16</v>
      </c>
      <c r="X4" s="1" t="s">
        <v>17</v>
      </c>
      <c r="Y4" s="1" t="s">
        <v>18</v>
      </c>
      <c r="Z4" s="1" t="s">
        <v>18</v>
      </c>
      <c r="AA4" s="1" t="s">
        <v>18</v>
      </c>
      <c r="AB4" s="1" t="s">
        <v>16</v>
      </c>
      <c r="AC4" s="1" t="s">
        <v>14</v>
      </c>
      <c r="AD4" s="1" t="s">
        <v>14</v>
      </c>
      <c r="AE4" s="1" t="s">
        <v>93</v>
      </c>
      <c r="AF4" s="1" t="s">
        <v>88</v>
      </c>
      <c r="AG4" s="1" t="s">
        <v>90</v>
      </c>
      <c r="AH4" s="1" t="s">
        <v>91</v>
      </c>
      <c r="AI4" s="1" t="s">
        <v>87</v>
      </c>
    </row>
    <row r="5" spans="1:35" ht="15.75">
      <c r="A5" s="43"/>
      <c r="B5" s="134" t="s">
        <v>32</v>
      </c>
      <c r="C5" s="129">
        <f>+Results!I15</f>
        <v>888924.58000000007</v>
      </c>
      <c r="D5" s="116"/>
      <c r="E5" s="43"/>
      <c r="F5" s="139" t="s">
        <v>10</v>
      </c>
      <c r="G5" s="76"/>
      <c r="H5" s="76"/>
      <c r="I5" s="77" t="s">
        <v>11</v>
      </c>
      <c r="J5" s="77" t="s">
        <v>12</v>
      </c>
      <c r="K5" s="78" t="s">
        <v>13</v>
      </c>
      <c r="L5" s="78" t="s">
        <v>118</v>
      </c>
      <c r="M5" s="78" t="s">
        <v>12</v>
      </c>
      <c r="O5" s="49"/>
      <c r="P5" s="43"/>
      <c r="R5" s="2"/>
      <c r="T5" s="1" t="s">
        <v>22</v>
      </c>
      <c r="U5" s="1" t="s">
        <v>23</v>
      </c>
      <c r="V5" s="1" t="s">
        <v>24</v>
      </c>
      <c r="W5" s="1" t="s">
        <v>25</v>
      </c>
      <c r="X5" s="1" t="s">
        <v>26</v>
      </c>
      <c r="Y5" s="1" t="s">
        <v>27</v>
      </c>
      <c r="Z5" s="1" t="s">
        <v>28</v>
      </c>
      <c r="AA5" s="1" t="s">
        <v>29</v>
      </c>
      <c r="AB5" s="1" t="s">
        <v>30</v>
      </c>
      <c r="AC5" s="1" t="s">
        <v>22</v>
      </c>
      <c r="AD5" s="1" t="s">
        <v>31</v>
      </c>
      <c r="AE5" s="1" t="s">
        <v>20</v>
      </c>
      <c r="AF5" s="1" t="s">
        <v>85</v>
      </c>
      <c r="AG5" s="1" t="s">
        <v>85</v>
      </c>
      <c r="AH5" s="1" t="s">
        <v>20</v>
      </c>
      <c r="AI5" s="1" t="s">
        <v>86</v>
      </c>
    </row>
    <row r="6" spans="1:35" ht="15.75">
      <c r="A6" s="43"/>
      <c r="B6" s="134" t="s">
        <v>33</v>
      </c>
      <c r="C6" s="130">
        <f>+Results!I48</f>
        <v>983275.85177243408</v>
      </c>
      <c r="D6" s="116"/>
      <c r="E6" s="43"/>
      <c r="F6" s="140" t="s">
        <v>19</v>
      </c>
      <c r="G6" s="76"/>
      <c r="H6" s="76"/>
      <c r="I6" s="95"/>
      <c r="J6" s="97" t="s">
        <v>117</v>
      </c>
      <c r="K6" s="96"/>
      <c r="L6" s="97" t="s">
        <v>119</v>
      </c>
      <c r="M6" s="97" t="s">
        <v>21</v>
      </c>
      <c r="O6" s="49"/>
      <c r="P6" s="43"/>
      <c r="R6" s="3">
        <v>1</v>
      </c>
      <c r="S6" s="117">
        <f>Revenue/Investment*100</f>
        <v>129.60912159396253</v>
      </c>
      <c r="T6" s="118">
        <f>EXP(y_inter1-(slope*LN(+S6)))</f>
        <v>10.988743694756543</v>
      </c>
      <c r="U6" s="119">
        <f>(+S6*T6/100)/100</f>
        <v>0.14242414176985899</v>
      </c>
      <c r="V6" s="119">
        <f>regDebt_weighted</f>
        <v>3.5860000000000003E-2</v>
      </c>
      <c r="W6" s="119">
        <f>+U6-V6</f>
        <v>0.10656414176985898</v>
      </c>
      <c r="X6" s="119">
        <f>+((W6*(1-0.34))-Pfd_weighted)/Equity_percent</f>
        <v>0.18646027200031082</v>
      </c>
      <c r="Y6" s="119">
        <f>X6*equityP</f>
        <v>0.11187616320018649</v>
      </c>
      <c r="Z6" s="119">
        <f>+Y6/(1-taxrate)</f>
        <v>0.14161539645593227</v>
      </c>
      <c r="AA6" s="119">
        <f>debtP*Debt_Rate</f>
        <v>2.0000000000000004E-2</v>
      </c>
      <c r="AB6" s="119">
        <f>AA6+Z6</f>
        <v>0.16161539645593226</v>
      </c>
      <c r="AC6" s="119">
        <f>AB6/(S6/100)</f>
        <v>0.12469446167704037</v>
      </c>
      <c r="AD6" s="119">
        <f>1-AC6</f>
        <v>0.87530553832295965</v>
      </c>
      <c r="AE6" s="120">
        <f>expenses/(AD6)</f>
        <v>1123351.5712197365</v>
      </c>
      <c r="AF6" s="121">
        <f>+AE6-Revenue</f>
        <v>234426.9912197364</v>
      </c>
      <c r="AG6" s="122">
        <f ca="1">+AF6/$J$49</f>
        <v>269064.29713254224</v>
      </c>
      <c r="AH6" s="122">
        <f ca="1">+AG6*$J$47</f>
        <v>6215.3852637617256</v>
      </c>
      <c r="AI6" s="120">
        <f ca="1">ROUND(+AH6+AE6,5)</f>
        <v>1129566.9564799999</v>
      </c>
    </row>
    <row r="7" spans="1:35" ht="15.75">
      <c r="A7" s="43"/>
      <c r="B7" s="134" t="s">
        <v>104</v>
      </c>
      <c r="C7" s="130">
        <f>+'Regulatory Depreciation Sch'!Z127</f>
        <v>685850.32370237762</v>
      </c>
      <c r="D7" s="116"/>
      <c r="E7" s="43"/>
      <c r="F7" s="141">
        <v>1</v>
      </c>
      <c r="G7" s="76"/>
      <c r="H7" s="79" t="s">
        <v>32</v>
      </c>
      <c r="I7" s="80">
        <f>IF(A65=TRUE,C5,0)</f>
        <v>888924.58000000007</v>
      </c>
      <c r="J7" s="80">
        <f ca="1">(+$I8/($R51))-I7</f>
        <v>211145.73736732267</v>
      </c>
      <c r="K7" s="80">
        <f ca="1">+I7+J7</f>
        <v>1100070.3173673227</v>
      </c>
      <c r="L7" s="80">
        <f ca="1">((+J7/J49*K35)-J7)</f>
        <v>5598.1271512752282</v>
      </c>
      <c r="M7" s="80">
        <f ca="1">IFERROR(+K7+L7,0.00001)</f>
        <v>1105668.444518598</v>
      </c>
      <c r="O7" s="49"/>
      <c r="P7" s="43"/>
      <c r="R7" s="35">
        <v>2</v>
      </c>
      <c r="S7" s="123">
        <f>Revenue/Investment*100</f>
        <v>129.60912159396253</v>
      </c>
      <c r="T7" s="6">
        <f>EXP(y_inter1-(slope*LN(+S7)))</f>
        <v>10.988743694756543</v>
      </c>
      <c r="U7" s="4">
        <f>(+S7*T7/100)/100</f>
        <v>0.14242414176985899</v>
      </c>
      <c r="V7" s="4">
        <f>regDebt_weighted</f>
        <v>3.5860000000000003E-2</v>
      </c>
      <c r="W7" s="4">
        <f>+U7-V7</f>
        <v>0.10656414176985898</v>
      </c>
      <c r="X7" s="4">
        <f>+((W7*(1-0.34))-Pfd_weighted)/Equity_percent</f>
        <v>0.18646027200031082</v>
      </c>
      <c r="Y7" s="4">
        <f>X7*equityP</f>
        <v>0.11187616320018649</v>
      </c>
      <c r="Z7" s="4">
        <f>+Y7/(1-taxrate)</f>
        <v>0.14161539645593227</v>
      </c>
      <c r="AA7" s="4">
        <f>debtP*Debt_Rate</f>
        <v>2.0000000000000004E-2</v>
      </c>
      <c r="AB7" s="4">
        <f>AA7+Z7</f>
        <v>0.16161539645593226</v>
      </c>
      <c r="AC7" s="4">
        <f>AB7/(S7/100)</f>
        <v>0.12469446167704037</v>
      </c>
      <c r="AD7" s="4">
        <f>1-AC7</f>
        <v>0.87530553832295965</v>
      </c>
      <c r="AE7" s="124">
        <f>expenses/(AD7)</f>
        <v>1123351.5712197365</v>
      </c>
      <c r="AF7" s="125">
        <f>+AE7-Revenue</f>
        <v>234426.9912197364</v>
      </c>
      <c r="AG7" s="126">
        <f ca="1">+AF7/$J$49</f>
        <v>269064.29713254224</v>
      </c>
      <c r="AH7" s="126">
        <f ca="1">+AG7*$J$47</f>
        <v>6215.3852637617256</v>
      </c>
      <c r="AI7" s="124">
        <f ca="1">ROUND(+AH7+AE7,5)</f>
        <v>1129566.9564799999</v>
      </c>
    </row>
    <row r="8" spans="1:35" ht="15.75">
      <c r="A8" s="43"/>
      <c r="B8" s="134" t="s">
        <v>114</v>
      </c>
      <c r="C8" s="131">
        <v>0.4</v>
      </c>
      <c r="D8" s="116"/>
      <c r="E8" s="43"/>
      <c r="F8" s="142">
        <f>+F7+1</f>
        <v>2</v>
      </c>
      <c r="G8" s="76"/>
      <c r="H8" s="79" t="s">
        <v>33</v>
      </c>
      <c r="I8" s="80">
        <f>IF(A65=TRUE,C6,0)</f>
        <v>983275.85177243408</v>
      </c>
      <c r="J8" s="72"/>
      <c r="K8" s="80">
        <f>+I8</f>
        <v>983275.85177243408</v>
      </c>
      <c r="L8" s="80">
        <f ca="1">+L7</f>
        <v>5598.1271512752282</v>
      </c>
      <c r="M8" s="80">
        <f ca="1">IFERROR(+K8+L8,0.00001)</f>
        <v>988873.97892370936</v>
      </c>
      <c r="O8" s="49"/>
      <c r="P8" s="43"/>
      <c r="R8" s="5">
        <v>3</v>
      </c>
      <c r="S8" s="123">
        <f>Revenue/Investment*100</f>
        <v>129.60912159396253</v>
      </c>
      <c r="T8" s="6">
        <f>EXP(y_inter1-(slope*LN(+S8)))</f>
        <v>10.988743694756543</v>
      </c>
      <c r="U8" s="4">
        <f>(+S8*T8/100)/100</f>
        <v>0.14242414176985899</v>
      </c>
      <c r="V8" s="4">
        <f>regDebt_weighted</f>
        <v>3.5860000000000003E-2</v>
      </c>
      <c r="W8" s="4">
        <f>+U8-V8</f>
        <v>0.10656414176985898</v>
      </c>
      <c r="X8" s="4">
        <f>+((W8*(1-0.34))-Pfd_weighted)/Equity_percent</f>
        <v>0.18646027200031082</v>
      </c>
      <c r="Y8" s="4">
        <f>X8*equityP</f>
        <v>0.11187616320018649</v>
      </c>
      <c r="Z8" s="4">
        <f>+Y8/(1-taxrate)</f>
        <v>0.14161539645593227</v>
      </c>
      <c r="AA8" s="4">
        <f>debtP*Debt_Rate</f>
        <v>2.0000000000000004E-2</v>
      </c>
      <c r="AB8" s="4">
        <f>AA8+Z8</f>
        <v>0.16161539645593226</v>
      </c>
      <c r="AC8" s="4">
        <f>AB8/(S8/100)</f>
        <v>0.12469446167704037</v>
      </c>
      <c r="AD8" s="4">
        <f>1-AC8</f>
        <v>0.87530553832295965</v>
      </c>
      <c r="AE8" s="124">
        <f>expenses/(AD8)</f>
        <v>1123351.5712197365</v>
      </c>
      <c r="AF8" s="125">
        <f>+AE8-Revenue</f>
        <v>234426.9912197364</v>
      </c>
      <c r="AG8" s="126">
        <f ca="1">+AF8/$J$49</f>
        <v>269064.29713254224</v>
      </c>
      <c r="AH8" s="126">
        <f ca="1">+AG8*$J$47</f>
        <v>6215.3852637617256</v>
      </c>
      <c r="AI8" s="124">
        <f ca="1">ROUND(+AH8+AE8,5)</f>
        <v>1129566.9564799999</v>
      </c>
    </row>
    <row r="9" spans="1:35" ht="15.75">
      <c r="A9" s="43"/>
      <c r="B9" s="134" t="s">
        <v>113</v>
      </c>
      <c r="C9" s="131">
        <v>0.05</v>
      </c>
      <c r="D9" s="116"/>
      <c r="E9" s="43"/>
      <c r="F9" s="142">
        <f t="shared" ref="F9:F49" si="0">+F8+1</f>
        <v>3</v>
      </c>
      <c r="G9" s="76"/>
      <c r="H9" s="79" t="s">
        <v>34</v>
      </c>
      <c r="I9" s="81">
        <f>+I7-I8</f>
        <v>-94351.271772434004</v>
      </c>
      <c r="J9" s="72"/>
      <c r="K9" s="81">
        <f ca="1">+K7-K8</f>
        <v>116794.46559488866</v>
      </c>
      <c r="L9" s="76"/>
      <c r="M9" s="82">
        <f ca="1">+M7-M8</f>
        <v>116794.46559488866</v>
      </c>
      <c r="O9" s="49"/>
      <c r="P9" s="43"/>
      <c r="R9" s="7">
        <v>4</v>
      </c>
      <c r="S9" s="123">
        <f>Revenue/Investment*100</f>
        <v>129.60912159396253</v>
      </c>
      <c r="T9" s="6">
        <f>EXP(y_inter1-(slope*LN(+S9)))</f>
        <v>10.988743694756543</v>
      </c>
      <c r="U9" s="4">
        <f>(+S9*T9/100)/100</f>
        <v>0.14242414176985899</v>
      </c>
      <c r="V9" s="4">
        <f>regDebt_weighted</f>
        <v>3.5860000000000003E-2</v>
      </c>
      <c r="W9" s="4">
        <f>+U9-V9</f>
        <v>0.10656414176985898</v>
      </c>
      <c r="X9" s="4">
        <f>+((W9*(1-0.34))-Pfd_weighted)/Equity_percent</f>
        <v>0.18646027200031082</v>
      </c>
      <c r="Y9" s="4">
        <f>X9*equityP</f>
        <v>0.11187616320018649</v>
      </c>
      <c r="Z9" s="4">
        <f>+Y9/(1-taxrate)</f>
        <v>0.14161539645593227</v>
      </c>
      <c r="AA9" s="4">
        <f>debtP*Debt_Rate</f>
        <v>2.0000000000000004E-2</v>
      </c>
      <c r="AB9" s="4">
        <f>AA9+Z9</f>
        <v>0.16161539645593226</v>
      </c>
      <c r="AC9" s="4">
        <f>AB9/(S9/100)</f>
        <v>0.12469446167704037</v>
      </c>
      <c r="AD9" s="4">
        <f>1-AC9</f>
        <v>0.87530553832295965</v>
      </c>
      <c r="AE9" s="124">
        <f>expenses/(AD9)</f>
        <v>1123351.5712197365</v>
      </c>
      <c r="AF9" s="125">
        <f>+AE9-Revenue</f>
        <v>234426.9912197364</v>
      </c>
      <c r="AG9" s="126">
        <f ca="1">+AF9/$J$49</f>
        <v>269064.29713254224</v>
      </c>
      <c r="AH9" s="126">
        <f ca="1">+AG9*$J$47</f>
        <v>6215.3852637617256</v>
      </c>
      <c r="AI9" s="124">
        <f ca="1">ROUND(+AH9+AE9,5)</f>
        <v>1129566.9564799999</v>
      </c>
    </row>
    <row r="10" spans="1:35" ht="15.75">
      <c r="A10" s="43"/>
      <c r="B10" s="199" t="s">
        <v>98</v>
      </c>
      <c r="C10" s="131">
        <v>0.21</v>
      </c>
      <c r="D10" s="116"/>
      <c r="E10" s="43"/>
      <c r="F10" s="142">
        <f t="shared" si="0"/>
        <v>4</v>
      </c>
      <c r="G10" s="76"/>
      <c r="H10" s="76"/>
      <c r="I10" s="72"/>
      <c r="J10" s="72"/>
      <c r="K10" s="80"/>
      <c r="L10" s="76"/>
      <c r="M10" s="76"/>
      <c r="N10" s="76"/>
      <c r="O10" s="49"/>
      <c r="P10" s="43"/>
      <c r="R10" s="1" t="s">
        <v>36</v>
      </c>
    </row>
    <row r="11" spans="1:35" ht="15.75">
      <c r="A11" s="43"/>
      <c r="B11" s="134" t="s">
        <v>97</v>
      </c>
      <c r="C11" s="132">
        <v>1.7999999999999999E-2</v>
      </c>
      <c r="D11" s="116"/>
      <c r="E11" s="43"/>
      <c r="F11" s="142">
        <f t="shared" si="0"/>
        <v>5</v>
      </c>
      <c r="G11" s="76"/>
      <c r="H11" s="79" t="s">
        <v>35</v>
      </c>
      <c r="I11" s="80">
        <f>+K11</f>
        <v>13717.006474047554</v>
      </c>
      <c r="J11" s="72"/>
      <c r="K11" s="80">
        <f>+M27</f>
        <v>13717.006474047554</v>
      </c>
      <c r="L11" s="76"/>
      <c r="M11" s="80">
        <f>+K11</f>
        <v>13717.006474047554</v>
      </c>
      <c r="O11" s="49"/>
      <c r="P11" s="43"/>
      <c r="R11" s="3">
        <v>1</v>
      </c>
      <c r="S11" s="117">
        <f ca="1">IF((AI6/Investment*100)&gt;0,(AI6/Investment*100),0)</f>
        <v>164.69584068756257</v>
      </c>
      <c r="T11" s="118">
        <f ca="1">EXP(y_inter1-(slope*LN(S11)))</f>
        <v>9.3285509424086541</v>
      </c>
      <c r="U11" s="119">
        <f ca="1">(+S11*T11/100)/100</f>
        <v>0.15363735398567474</v>
      </c>
      <c r="V11" s="119">
        <f>regDebt_weighted</f>
        <v>3.5860000000000003E-2</v>
      </c>
      <c r="W11" s="119">
        <f ca="1">+U11-V11</f>
        <v>0.11777735398567474</v>
      </c>
      <c r="X11" s="119">
        <f ca="1">+((W11*(1-0.34))-Pfd_weighted)/Equity_percent</f>
        <v>0.20797399311205036</v>
      </c>
      <c r="Y11" s="119">
        <f ca="1">+X11*equityP</f>
        <v>0.12478439586723021</v>
      </c>
      <c r="Z11" s="119">
        <f ca="1">+Y11/(1-taxrate)</f>
        <v>0.15795493147750658</v>
      </c>
      <c r="AA11" s="119">
        <f>debtP*Debt_Rate</f>
        <v>2.0000000000000004E-2</v>
      </c>
      <c r="AB11" s="119">
        <f ca="1">+AA11+Z11</f>
        <v>0.17795493147750657</v>
      </c>
      <c r="AC11" s="119">
        <f ca="1">+AB11/(S11/100)</f>
        <v>0.10805065309153573</v>
      </c>
      <c r="AD11" s="119">
        <f ca="1">1-AC11</f>
        <v>0.89194934690846428</v>
      </c>
      <c r="AE11" s="120">
        <f ca="1">expenses/(AD11)</f>
        <v>1102389.7883669196</v>
      </c>
      <c r="AF11" s="121">
        <f ca="1">+AE11-Revenue</f>
        <v>213465.20836691954</v>
      </c>
      <c r="AG11" s="122">
        <f ca="1">+AF11/$J$49</f>
        <v>245005.34666530904</v>
      </c>
      <c r="AH11" s="122">
        <f ca="1">+AG11*$J$47</f>
        <v>5659.6235079686385</v>
      </c>
      <c r="AI11" s="120">
        <f ca="1">ROUND(+AH11+AE11,5)</f>
        <v>1108049.41187</v>
      </c>
    </row>
    <row r="12" spans="1:35" ht="15.75">
      <c r="A12" s="43"/>
      <c r="B12" s="134" t="s">
        <v>99</v>
      </c>
      <c r="C12" s="132">
        <v>5.1000000000000004E-3</v>
      </c>
      <c r="D12" s="116"/>
      <c r="E12" s="43"/>
      <c r="F12" s="142">
        <f t="shared" si="0"/>
        <v>6</v>
      </c>
      <c r="G12" s="76"/>
      <c r="H12" s="79" t="s">
        <v>37</v>
      </c>
      <c r="I12" s="80">
        <f ca="1">IF(I14&lt;0,0,+J38*I14)</f>
        <v>0</v>
      </c>
      <c r="J12" s="80">
        <f ca="1">+K12-I12</f>
        <v>21646.266415376635</v>
      </c>
      <c r="K12" s="80">
        <f ca="1">+(K9-K11)*taxrate</f>
        <v>21646.266415376635</v>
      </c>
      <c r="L12" s="76"/>
      <c r="M12" s="80">
        <f ca="1">+K12</f>
        <v>21646.266415376635</v>
      </c>
      <c r="O12" s="49"/>
      <c r="P12" s="43"/>
      <c r="R12" s="35">
        <v>2</v>
      </c>
      <c r="S12" s="123">
        <f ca="1">IF((AI7/Investment*100)&gt;0,(AI7/Investment*100),0)</f>
        <v>164.69584068756257</v>
      </c>
      <c r="T12" s="34">
        <f ca="1">EXP(y_inter2-(slope*LN(+S12)))</f>
        <v>9.1958260524750504</v>
      </c>
      <c r="U12" s="4">
        <f ca="1">(+S12*T12/100)/100</f>
        <v>0.15145143025289681</v>
      </c>
      <c r="V12" s="4">
        <f>regDebt_weighted</f>
        <v>3.5860000000000003E-2</v>
      </c>
      <c r="W12" s="4">
        <f ca="1">+U12-V12</f>
        <v>0.11559143025289681</v>
      </c>
      <c r="X12" s="4">
        <f ca="1">+((W12*(1-0.34))-Pfd_weighted)/Equity_percent</f>
        <v>0.20378006967125548</v>
      </c>
      <c r="Y12" s="4">
        <f ca="1">+X12*equityP</f>
        <v>0.12226804180275327</v>
      </c>
      <c r="Z12" s="4">
        <f ca="1">+Y12/(1-taxrate)</f>
        <v>0.1547696731680421</v>
      </c>
      <c r="AA12" s="4">
        <f>debtP*Debt_Rate</f>
        <v>2.0000000000000004E-2</v>
      </c>
      <c r="AB12" s="4">
        <f ca="1">+AA12+Z12</f>
        <v>0.17476967316804209</v>
      </c>
      <c r="AC12" s="4">
        <f ca="1">+AB12/(S12/100)</f>
        <v>0.10611662834861153</v>
      </c>
      <c r="AD12" s="4">
        <f ca="1">1-AC12</f>
        <v>0.89388337165138843</v>
      </c>
      <c r="AE12" s="124">
        <f ca="1">expenses/(AD12)</f>
        <v>1100004.6347835055</v>
      </c>
      <c r="AF12" s="125">
        <f ca="1">+AE12-Revenue</f>
        <v>211080.05478350539</v>
      </c>
      <c r="AG12" s="126">
        <f ca="1">+AF12/$J$49</f>
        <v>242267.77933513353</v>
      </c>
      <c r="AH12" s="126">
        <f ca="1">+AG12*$J$47</f>
        <v>5596.3857026415844</v>
      </c>
      <c r="AI12" s="124">
        <f ca="1">ROUND(+AH12+AE12,5)</f>
        <v>1105601.02049</v>
      </c>
    </row>
    <row r="13" spans="1:35" ht="15.75">
      <c r="A13" s="43"/>
      <c r="B13" s="134" t="s">
        <v>100</v>
      </c>
      <c r="C13" s="132">
        <v>0</v>
      </c>
      <c r="D13" s="116"/>
      <c r="E13" s="43"/>
      <c r="F13" s="142">
        <f t="shared" si="0"/>
        <v>7</v>
      </c>
      <c r="G13" s="76"/>
      <c r="H13" s="76"/>
      <c r="I13" s="72"/>
      <c r="J13" s="72"/>
      <c r="K13" s="80"/>
      <c r="L13" s="76"/>
      <c r="M13" s="76"/>
      <c r="O13" s="49"/>
      <c r="P13" s="43"/>
      <c r="R13" s="5">
        <v>3</v>
      </c>
      <c r="S13" s="123">
        <f ca="1">IF((AI8/Investment*100)&gt;0,(AI8/Investment*100),0)</f>
        <v>164.69584068756257</v>
      </c>
      <c r="T13" s="6">
        <f ca="1">EXP(y_inter3-(slope*LN(S13)))</f>
        <v>9.1064202902596048</v>
      </c>
      <c r="U13" s="4">
        <f ca="1">(+S13*T13/100)/100</f>
        <v>0.14997895453585833</v>
      </c>
      <c r="V13" s="4">
        <f>regDebt_weighted</f>
        <v>3.5860000000000003E-2</v>
      </c>
      <c r="W13" s="4">
        <f ca="1">+U13-V13</f>
        <v>0.11411895453585832</v>
      </c>
      <c r="X13" s="4">
        <f ca="1">+((W13*(1-0.34))-Pfd_weighted)/Equity_percent</f>
        <v>0.20095497091182121</v>
      </c>
      <c r="Y13" s="4">
        <f ca="1">+X13*equityP</f>
        <v>0.12057298254709273</v>
      </c>
      <c r="Z13" s="4">
        <f ca="1">+Y13/(1-taxrate)</f>
        <v>0.15262402854062371</v>
      </c>
      <c r="AA13" s="4">
        <f>debtP*Debt_Rate</f>
        <v>2.0000000000000004E-2</v>
      </c>
      <c r="AB13" s="4">
        <f ca="1">+AA13+Z13</f>
        <v>0.1726240285406237</v>
      </c>
      <c r="AC13" s="4">
        <f ca="1">+AB13/(S13/100)</f>
        <v>0.10481383611144217</v>
      </c>
      <c r="AD13" s="4">
        <f ca="1">1-AC13</f>
        <v>0.89518616388855787</v>
      </c>
      <c r="AE13" s="124">
        <f ca="1">expenses/(AD13)</f>
        <v>1098403.7638620636</v>
      </c>
      <c r="AF13" s="125">
        <f ca="1">+AE13-Revenue</f>
        <v>209479.18386206357</v>
      </c>
      <c r="AG13" s="126">
        <f ca="1">+AF13/$J$49</f>
        <v>240430.37483219418</v>
      </c>
      <c r="AH13" s="126">
        <f ca="1">+AG13*$J$47</f>
        <v>5553.9416586236857</v>
      </c>
      <c r="AI13" s="124">
        <f ca="1">ROUND(+AH13+AE13,5)</f>
        <v>1103957.7055200001</v>
      </c>
    </row>
    <row r="14" spans="1:35" ht="16.5" thickBot="1">
      <c r="A14" s="43"/>
      <c r="B14" s="135" t="s">
        <v>101</v>
      </c>
      <c r="C14" s="132">
        <v>0</v>
      </c>
      <c r="D14" s="116"/>
      <c r="E14" s="43"/>
      <c r="F14" s="142">
        <f t="shared" si="0"/>
        <v>8</v>
      </c>
      <c r="G14" s="76"/>
      <c r="H14" s="76" t="s">
        <v>38</v>
      </c>
      <c r="I14" s="106">
        <f ca="1">+I9-SUM(I11:I13)</f>
        <v>-108068.27824648155</v>
      </c>
      <c r="J14" s="72"/>
      <c r="K14" s="106">
        <f ca="1">+K9-SUM(K11:K13)</f>
        <v>81431.192705464477</v>
      </c>
      <c r="L14" s="76"/>
      <c r="M14" s="106">
        <f ca="1">+M9-SUM(M11:M13)</f>
        <v>81431.192705464477</v>
      </c>
      <c r="O14" s="49"/>
      <c r="P14" s="43"/>
      <c r="R14" s="7">
        <v>4</v>
      </c>
      <c r="S14" s="123">
        <f ca="1">IF((AI9/Investment*100)&gt;0,(AI9/Investment*100),0)</f>
        <v>164.69584068756257</v>
      </c>
      <c r="T14" s="8">
        <f ca="1">EXP(y_inter4-(slope*LN(S14)))</f>
        <v>9.0492301804330815</v>
      </c>
      <c r="U14" s="4">
        <f ca="1">(+S14*T14/100)/100</f>
        <v>0.14903705721416899</v>
      </c>
      <c r="V14" s="4">
        <f>regDebt_weighted</f>
        <v>3.5860000000000003E-2</v>
      </c>
      <c r="W14" s="4">
        <f ca="1">+U14-V14</f>
        <v>0.11317705721416899</v>
      </c>
      <c r="X14" s="4">
        <f ca="1">+((W14*(1-0.34))-Pfd_weighted)/Equity_percent</f>
        <v>0.19914784232951024</v>
      </c>
      <c r="Y14" s="4">
        <f ca="1">+X14*equityP</f>
        <v>0.11948870539770615</v>
      </c>
      <c r="Z14" s="4">
        <f ca="1">+Y14/(1-taxrate)</f>
        <v>0.15125152581988119</v>
      </c>
      <c r="AA14" s="4">
        <f>debtP*Debt_Rate</f>
        <v>2.0000000000000004E-2</v>
      </c>
      <c r="AB14" s="4">
        <f ca="1">+AA14+Z14</f>
        <v>0.17125152581988118</v>
      </c>
      <c r="AC14" s="4">
        <f ca="1">+AB14/(S14/100)</f>
        <v>0.10398048008070533</v>
      </c>
      <c r="AD14" s="4">
        <f ca="1">1-AC14</f>
        <v>0.89601951991929463</v>
      </c>
      <c r="AE14" s="124">
        <f ca="1">expenses/(AD14)</f>
        <v>1097382.1774117139</v>
      </c>
      <c r="AF14" s="125">
        <f ca="1">+AE14-Revenue</f>
        <v>208457.5974117138</v>
      </c>
      <c r="AG14" s="126">
        <f ca="1">+AF14/$J$49</f>
        <v>239257.84585507718</v>
      </c>
      <c r="AH14" s="126">
        <f ca="1">+AG14*$J$47</f>
        <v>5526.8562392522826</v>
      </c>
      <c r="AI14" s="124">
        <f ca="1">ROUND(+AH14+AE14,5)</f>
        <v>1102909.0336500001</v>
      </c>
    </row>
    <row r="15" spans="1:35" ht="16.5" thickTop="1">
      <c r="A15" s="43"/>
      <c r="B15" s="453"/>
      <c r="C15" s="453"/>
      <c r="D15" s="43"/>
      <c r="E15" s="43"/>
      <c r="F15" s="142">
        <f t="shared" si="0"/>
        <v>9</v>
      </c>
      <c r="G15" s="72"/>
      <c r="H15" s="72"/>
      <c r="I15" s="72"/>
      <c r="J15" s="72"/>
      <c r="K15" s="73"/>
      <c r="L15" s="72"/>
      <c r="M15" s="72"/>
      <c r="O15" s="49"/>
      <c r="P15" s="43"/>
      <c r="R15" s="1" t="s">
        <v>40</v>
      </c>
    </row>
    <row r="16" spans="1:35" ht="15.75">
      <c r="A16" s="43"/>
      <c r="B16" s="200" t="s">
        <v>124</v>
      </c>
      <c r="C16" s="451"/>
      <c r="D16" s="451"/>
      <c r="E16" s="43"/>
      <c r="F16" s="142">
        <f t="shared" si="0"/>
        <v>10</v>
      </c>
      <c r="G16" s="72"/>
      <c r="H16" s="180" t="s">
        <v>39</v>
      </c>
      <c r="I16" s="181">
        <f>+I8/I7</f>
        <v>1.1061409189207412</v>
      </c>
      <c r="J16" s="182"/>
      <c r="K16" s="181">
        <f ca="1">+K8/K7</f>
        <v>0.89383000000000001</v>
      </c>
      <c r="L16" s="183"/>
      <c r="M16" s="181">
        <f ca="1">+M8/M7</f>
        <v>0.89436755098338694</v>
      </c>
      <c r="O16" s="49"/>
      <c r="P16" s="43"/>
      <c r="R16" s="3">
        <v>1</v>
      </c>
      <c r="S16" s="117">
        <f ca="1">AI11/Investment*100</f>
        <v>161.55848784739135</v>
      </c>
      <c r="T16" s="118">
        <f ca="1">EXP(y_inter1-(slope*LN(+S16)))</f>
        <v>9.4520232603474188</v>
      </c>
      <c r="U16" s="119">
        <f ca="1">(+S16*T16/100)/100</f>
        <v>0.15270545850400988</v>
      </c>
      <c r="V16" s="119">
        <f>regDebt_weighted</f>
        <v>3.5860000000000003E-2</v>
      </c>
      <c r="W16" s="119">
        <f ca="1">+U16-V16</f>
        <v>0.11684545850400987</v>
      </c>
      <c r="X16" s="119">
        <f ca="1">+((W16*(1-0.34))-Pfd_weighted)/Equity_percent</f>
        <v>0.20618605410653057</v>
      </c>
      <c r="Y16" s="119">
        <f ca="1">+X16*equityP</f>
        <v>0.12371163246391834</v>
      </c>
      <c r="Z16" s="119">
        <f ca="1">+Y16/(1-taxrate)</f>
        <v>0.15659700311888397</v>
      </c>
      <c r="AA16" s="119">
        <f>debtP*Debt_Rate</f>
        <v>2.0000000000000004E-2</v>
      </c>
      <c r="AB16" s="119">
        <f ca="1">+AA16+Z16</f>
        <v>0.17659700311888399</v>
      </c>
      <c r="AC16" s="119">
        <f ca="1">+AB16/(S16/100)</f>
        <v>0.1093084030878638</v>
      </c>
      <c r="AD16" s="119">
        <f ca="1">1-AC16</f>
        <v>0.89069159691213617</v>
      </c>
      <c r="AE16" s="120">
        <f ca="1">expenses/(AD16)</f>
        <v>1103946.4784233628</v>
      </c>
      <c r="AF16" s="121">
        <f ca="1">+AE16-Revenue</f>
        <v>215021.89842336276</v>
      </c>
      <c r="AG16" s="122">
        <f ca="1">+AF16/$J$49</f>
        <v>246792.04244513719</v>
      </c>
      <c r="AH16" s="122">
        <f ca="1">+AG16*$J$47</f>
        <v>5700.8961804826686</v>
      </c>
      <c r="AI16" s="120">
        <f ca="1">ROUND(+AH16+AE16,5)</f>
        <v>1109647.3746</v>
      </c>
    </row>
    <row r="17" spans="1:35" ht="15.75">
      <c r="A17" s="43"/>
      <c r="B17" s="450"/>
      <c r="C17" s="451"/>
      <c r="D17" s="43" t="s">
        <v>102</v>
      </c>
      <c r="E17" s="43"/>
      <c r="F17" s="142">
        <f t="shared" si="0"/>
        <v>11</v>
      </c>
      <c r="G17" s="72"/>
      <c r="H17" s="184"/>
      <c r="I17" s="184"/>
      <c r="J17" s="173"/>
      <c r="K17" s="184"/>
      <c r="L17" s="180"/>
      <c r="M17" s="180"/>
      <c r="N17" s="83"/>
      <c r="O17" s="43"/>
      <c r="P17" s="43"/>
      <c r="R17" s="35">
        <v>2</v>
      </c>
      <c r="S17" s="123">
        <f ca="1">AI12/Investment*100</f>
        <v>161.20150159319189</v>
      </c>
      <c r="T17" s="34">
        <f ca="1">EXP(y_inter2-(slope*LN(+S17)))</f>
        <v>9.3316435502976116</v>
      </c>
      <c r="U17" s="4">
        <f ca="1">(+S17*T17/100)/100</f>
        <v>0.15042749526403992</v>
      </c>
      <c r="V17" s="4">
        <f>regDebt_weighted</f>
        <v>3.5860000000000003E-2</v>
      </c>
      <c r="W17" s="4">
        <f ca="1">+U17-V17</f>
        <v>0.11456749526403992</v>
      </c>
      <c r="X17" s="4">
        <f ca="1">+((W17*(1-0.34))-Pfd_weighted)/Equity_percent</f>
        <v>0.20181554323914636</v>
      </c>
      <c r="Y17" s="4">
        <f ca="1">+X17*equityP</f>
        <v>0.12108932594348781</v>
      </c>
      <c r="Z17" s="4">
        <f ca="1">+Y17/(1-taxrate)</f>
        <v>0.15327762777656684</v>
      </c>
      <c r="AA17" s="4">
        <f>debtP*Debt_Rate</f>
        <v>2.0000000000000004E-2</v>
      </c>
      <c r="AB17" s="4">
        <f ca="1">+AA17+Z17</f>
        <v>0.17327762777656686</v>
      </c>
      <c r="AC17" s="4">
        <f ca="1">+AB17/(S17/100)</f>
        <v>0.10749132363161869</v>
      </c>
      <c r="AD17" s="4">
        <f ca="1">1-AC17</f>
        <v>0.89250867636838127</v>
      </c>
      <c r="AE17" s="124">
        <f ca="1">expenses/(AD17)</f>
        <v>1101698.927760999</v>
      </c>
      <c r="AF17" s="125">
        <f ca="1">+AE17-Revenue</f>
        <v>212774.34776099888</v>
      </c>
      <c r="AG17" s="126">
        <f ca="1">+AF17/$J$49</f>
        <v>244212.40928902218</v>
      </c>
      <c r="AH17" s="126">
        <f ca="1">+AG17*$J$47</f>
        <v>5641.3066545764123</v>
      </c>
      <c r="AI17" s="124">
        <f ca="1">ROUND(+AH17+AE17,5)</f>
        <v>1107340.2344200001</v>
      </c>
    </row>
    <row r="18" spans="1:35" ht="15.75">
      <c r="A18" s="43"/>
      <c r="B18" s="452" t="s">
        <v>125</v>
      </c>
      <c r="C18" s="452"/>
      <c r="D18" s="43"/>
      <c r="E18" s="43"/>
      <c r="F18" s="142">
        <f t="shared" si="0"/>
        <v>12</v>
      </c>
      <c r="G18" s="72"/>
      <c r="H18" s="185" t="s">
        <v>83</v>
      </c>
      <c r="I18" s="186"/>
      <c r="J18" s="186"/>
      <c r="K18" s="186"/>
      <c r="L18" s="186"/>
      <c r="M18" s="187"/>
      <c r="N18" s="173"/>
      <c r="O18" s="43"/>
      <c r="P18" s="43"/>
      <c r="R18" s="5">
        <v>3</v>
      </c>
      <c r="S18" s="123">
        <f ca="1">AI13/Investment*100</f>
        <v>160.96189902784951</v>
      </c>
      <c r="T18" s="6">
        <f ca="1">EXP(y_inter3-(slope*LN(S18)))</f>
        <v>9.2503194754255436</v>
      </c>
      <c r="U18" s="4">
        <f ca="1">(+S18*T18/100)/100</f>
        <v>0.14889489893787961</v>
      </c>
      <c r="V18" s="4">
        <f>regDebt_weighted</f>
        <v>3.5860000000000003E-2</v>
      </c>
      <c r="W18" s="4">
        <f ca="1">+U18-V18</f>
        <v>0.1130348989378796</v>
      </c>
      <c r="X18" s="4">
        <f ca="1">+((W18*(1-0.34))-Pfd_weighted)/Equity_percent</f>
        <v>0.19887509679942017</v>
      </c>
      <c r="Y18" s="4">
        <f ca="1">+X18*equityP</f>
        <v>0.1193250580796521</v>
      </c>
      <c r="Z18" s="4">
        <f ca="1">+Y18/(1-taxrate)</f>
        <v>0.1510443773160153</v>
      </c>
      <c r="AA18" s="4">
        <f>debtP*Debt_Rate</f>
        <v>2.0000000000000004E-2</v>
      </c>
      <c r="AB18" s="4">
        <f ca="1">+AA18+Z18</f>
        <v>0.17104437731601529</v>
      </c>
      <c r="AC18" s="4">
        <f ca="1">+AB18/(S18/100)</f>
        <v>0.106263891237032</v>
      </c>
      <c r="AD18" s="4">
        <f ca="1">1-AC18</f>
        <v>0.89373610876296805</v>
      </c>
      <c r="AE18" s="124">
        <f ca="1">expenses/(AD18)</f>
        <v>1100185.8849961865</v>
      </c>
      <c r="AF18" s="125">
        <f ca="1">+AE18-Revenue</f>
        <v>211261.3049961864</v>
      </c>
      <c r="AG18" s="126">
        <f ca="1">+AF18/$J$49</f>
        <v>242475.80982183813</v>
      </c>
      <c r="AH18" s="126">
        <f ca="1">+AG18*$J$47</f>
        <v>5601.1912068844604</v>
      </c>
      <c r="AI18" s="124">
        <f ca="1">ROUND(+AH18+AE18,5)</f>
        <v>1105787.0762</v>
      </c>
    </row>
    <row r="19" spans="1:35" ht="15.75">
      <c r="A19" s="43"/>
      <c r="B19" s="43"/>
      <c r="C19" s="43"/>
      <c r="D19" s="43"/>
      <c r="E19" s="43"/>
      <c r="F19" s="142">
        <f t="shared" si="0"/>
        <v>13</v>
      </c>
      <c r="G19" s="72"/>
      <c r="H19" s="188"/>
      <c r="I19" s="174" t="s">
        <v>122</v>
      </c>
      <c r="J19" s="175">
        <f>+Revenue</f>
        <v>888924.58000000007</v>
      </c>
      <c r="K19" s="176"/>
      <c r="L19" s="174" t="s">
        <v>126</v>
      </c>
      <c r="M19" s="189">
        <f ca="1">+J7</f>
        <v>211145.73736732267</v>
      </c>
      <c r="O19" s="43"/>
      <c r="P19" s="43"/>
      <c r="R19" s="7">
        <v>4</v>
      </c>
      <c r="S19" s="123">
        <f ca="1">AI14/Investment*100</f>
        <v>160.80899804730626</v>
      </c>
      <c r="T19" s="8">
        <f ca="1">EXP(y_inter4-(slope*LN(S19)))</f>
        <v>9.1982001541266349</v>
      </c>
      <c r="U19" s="4">
        <f ca="1">(+S19*T19/100)/100</f>
        <v>0.14791533506236823</v>
      </c>
      <c r="V19" s="4">
        <f>regDebt_weighted</f>
        <v>3.5860000000000003E-2</v>
      </c>
      <c r="W19" s="4">
        <f ca="1">+U19-V19</f>
        <v>0.11205533506236823</v>
      </c>
      <c r="X19" s="4">
        <f ca="1">+((W19*(1-0.34))-Pfd_weighted)/Equity_percent</f>
        <v>0.19699570099175298</v>
      </c>
      <c r="Y19" s="4">
        <f ca="1">+X19*equityP</f>
        <v>0.11819742059505178</v>
      </c>
      <c r="Z19" s="4">
        <f ca="1">+Y19/(1-taxrate)</f>
        <v>0.14961698809500226</v>
      </c>
      <c r="AA19" s="4">
        <f>debtP*Debt_Rate</f>
        <v>2.0000000000000004E-2</v>
      </c>
      <c r="AB19" s="4">
        <f ca="1">+AA19+Z19</f>
        <v>0.16961698809500225</v>
      </c>
      <c r="AC19" s="4">
        <f ca="1">+AB19/(S19/100)</f>
        <v>0.10547729925231229</v>
      </c>
      <c r="AD19" s="4">
        <f ca="1">1-AC19</f>
        <v>0.89452270074768769</v>
      </c>
      <c r="AE19" s="124">
        <f ca="1">expenses/(AD19)</f>
        <v>1099218.4445968359</v>
      </c>
      <c r="AF19" s="125">
        <f ca="1">+AE19-Revenue</f>
        <v>210293.8645968358</v>
      </c>
      <c r="AG19" s="126">
        <f ca="1">+AF19/$J$49</f>
        <v>241365.42714058407</v>
      </c>
      <c r="AH19" s="126">
        <f ca="1">+AG19*$J$47</f>
        <v>5575.541366947492</v>
      </c>
      <c r="AI19" s="124">
        <f ca="1">ROUND(+AH19+AE19,5)</f>
        <v>1104793.98596</v>
      </c>
    </row>
    <row r="20" spans="1:35" ht="15.75">
      <c r="A20" s="43"/>
      <c r="B20" s="115"/>
      <c r="C20" s="43"/>
      <c r="D20" s="43"/>
      <c r="E20" s="43"/>
      <c r="F20" s="142">
        <f t="shared" si="0"/>
        <v>14</v>
      </c>
      <c r="G20" s="72"/>
      <c r="H20" s="188"/>
      <c r="I20" s="174" t="s">
        <v>42</v>
      </c>
      <c r="J20" s="175">
        <f ca="1">+J21-J19</f>
        <v>216743.86451859795</v>
      </c>
      <c r="K20" s="176"/>
      <c r="L20" s="174" t="s">
        <v>41</v>
      </c>
      <c r="M20" s="189">
        <f ca="1">+L8</f>
        <v>5598.1271512752282</v>
      </c>
      <c r="O20" s="43"/>
      <c r="P20" s="43"/>
      <c r="R20" s="1" t="s">
        <v>43</v>
      </c>
    </row>
    <row r="21" spans="1:35" ht="16.5" thickBot="1">
      <c r="A21" s="43"/>
      <c r="B21" s="115" t="s">
        <v>0</v>
      </c>
      <c r="C21" s="43"/>
      <c r="D21" s="43"/>
      <c r="E21" s="43"/>
      <c r="F21" s="142">
        <f t="shared" si="0"/>
        <v>15</v>
      </c>
      <c r="G21" s="72"/>
      <c r="H21" s="188"/>
      <c r="I21" s="190" t="s">
        <v>83</v>
      </c>
      <c r="J21" s="191">
        <f ca="1">+M7</f>
        <v>1105668.444518598</v>
      </c>
      <c r="K21" s="177"/>
      <c r="L21" s="190" t="s">
        <v>42</v>
      </c>
      <c r="M21" s="192">
        <f ca="1">+M19+M20</f>
        <v>216743.8645185979</v>
      </c>
      <c r="O21" s="43"/>
      <c r="P21" s="43"/>
      <c r="R21" s="3">
        <v>1</v>
      </c>
      <c r="S21" s="117">
        <f ca="1">AI16/Investment*100</f>
        <v>161.7914778562571</v>
      </c>
      <c r="T21" s="118">
        <f ca="1">EXP(y_inter1-(slope*LN(+S21)))</f>
        <v>9.4427153556009902</v>
      </c>
      <c r="U21" s="119">
        <f ca="1">(+S21*T21/100)/100</f>
        <v>0.15277508723586566</v>
      </c>
      <c r="V21" s="119">
        <f>regDebt_weighted</f>
        <v>3.5860000000000003E-2</v>
      </c>
      <c r="W21" s="119">
        <f ca="1">+U21-V21</f>
        <v>0.11691508723586566</v>
      </c>
      <c r="X21" s="119">
        <f ca="1">+((W21*(1-0.34))-Pfd_weighted)/Equity_percent</f>
        <v>0.20631964411532364</v>
      </c>
      <c r="Y21" s="119">
        <f ca="1">+X21*equityP</f>
        <v>0.12379178646919417</v>
      </c>
      <c r="Z21" s="119">
        <f ca="1">+Y21/(1-taxrate)</f>
        <v>0.1566984638850559</v>
      </c>
      <c r="AA21" s="119">
        <f>debtP*Debt_Rate</f>
        <v>2.0000000000000004E-2</v>
      </c>
      <c r="AB21" s="119">
        <f ca="1">+AA21+Z21</f>
        <v>0.17669846388505589</v>
      </c>
      <c r="AC21" s="119">
        <f ca="1">+AB21/(S21/100)</f>
        <v>0.10921370286390661</v>
      </c>
      <c r="AD21" s="119">
        <f ca="1">1-AC21</f>
        <v>0.89078629713609336</v>
      </c>
      <c r="AE21" s="120">
        <f ca="1">expenses/(AD21)</f>
        <v>1103829.1169651998</v>
      </c>
      <c r="AF21" s="121">
        <f ca="1">+AE21-Revenue</f>
        <v>214904.53696519975</v>
      </c>
      <c r="AG21" s="122">
        <f ca="1">+AF21/$J$49</f>
        <v>246657.34047209739</v>
      </c>
      <c r="AH21" s="122">
        <f ca="1">+AG21*$J$47</f>
        <v>5697.7845649054498</v>
      </c>
      <c r="AI21" s="120">
        <f ca="1">ROUND(+AH21+AE21,5)</f>
        <v>1109526.9015299999</v>
      </c>
    </row>
    <row r="22" spans="1:35" ht="16.5" thickTop="1">
      <c r="A22" s="43"/>
      <c r="B22" s="43" t="s">
        <v>109</v>
      </c>
      <c r="C22" s="43"/>
      <c r="D22" s="43"/>
      <c r="E22" s="43"/>
      <c r="F22" s="142">
        <f t="shared" si="0"/>
        <v>16</v>
      </c>
      <c r="G22" s="72"/>
      <c r="H22" s="193"/>
      <c r="I22" s="194"/>
      <c r="J22" s="201" t="s">
        <v>127</v>
      </c>
      <c r="K22" s="202">
        <f ca="1">+(J21/J19)-1</f>
        <v>0.24382705731750365</v>
      </c>
      <c r="L22" s="194"/>
      <c r="M22" s="195"/>
      <c r="O22" s="43"/>
      <c r="P22" s="43"/>
      <c r="R22" s="35">
        <v>2</v>
      </c>
      <c r="S22" s="123">
        <f ca="1">AI17/Investment*100</f>
        <v>161.45508664956563</v>
      </c>
      <c r="T22" s="34">
        <f ca="1">EXP(y_inter2-(slope*LN(+S22)))</f>
        <v>9.321620854780555</v>
      </c>
      <c r="U22" s="4">
        <f ca="1">(+S22*T22/100)/100</f>
        <v>0.15050231028229924</v>
      </c>
      <c r="V22" s="4">
        <f>regDebt_weighted</f>
        <v>3.5860000000000003E-2</v>
      </c>
      <c r="W22" s="4">
        <f ca="1">+U22-V22</f>
        <v>0.11464231028229924</v>
      </c>
      <c r="X22" s="4">
        <f ca="1">+((W22*(1-0.34))-Pfd_weighted)/Equity_percent</f>
        <v>0.2019590836811555</v>
      </c>
      <c r="Y22" s="4">
        <f ca="1">+X22*equityP</f>
        <v>0.1211754502086933</v>
      </c>
      <c r="Z22" s="4">
        <f ca="1">+Y22/(1-taxrate)</f>
        <v>0.15338664583378897</v>
      </c>
      <c r="AA22" s="4">
        <f>debtP*Debt_Rate</f>
        <v>2.0000000000000004E-2</v>
      </c>
      <c r="AB22" s="4">
        <f ca="1">+AA22+Z22</f>
        <v>0.17338664583378899</v>
      </c>
      <c r="AC22" s="4">
        <f ca="1">+AB22/(S22/100)</f>
        <v>0.10739001751621521</v>
      </c>
      <c r="AD22" s="4">
        <f ca="1">1-AC22</f>
        <v>0.89260998248378476</v>
      </c>
      <c r="AE22" s="124">
        <f ca="1">expenses/(AD22)</f>
        <v>1101573.8912490779</v>
      </c>
      <c r="AF22" s="125">
        <f ca="1">+AE22-Revenue</f>
        <v>212649.31124907779</v>
      </c>
      <c r="AG22" s="126">
        <f ca="1">+AF22/$J$49</f>
        <v>244068.89824952578</v>
      </c>
      <c r="AH22" s="126">
        <f ca="1">+AG22*$J$47</f>
        <v>5637.9915495640453</v>
      </c>
      <c r="AI22" s="124">
        <f ca="1">ROUND(+AH22+AE22,5)</f>
        <v>1107211.8828</v>
      </c>
    </row>
    <row r="23" spans="1:35" ht="15.75">
      <c r="A23" s="43"/>
      <c r="B23" s="43" t="s">
        <v>108</v>
      </c>
      <c r="C23" s="43"/>
      <c r="D23" s="43"/>
      <c r="E23" s="43"/>
      <c r="F23" s="142">
        <f t="shared" si="0"/>
        <v>17</v>
      </c>
      <c r="H23" s="72"/>
      <c r="I23" s="72"/>
      <c r="J23" s="72"/>
      <c r="K23" s="72"/>
      <c r="L23" s="72"/>
      <c r="M23" s="72"/>
      <c r="N23" s="72"/>
      <c r="O23" s="43"/>
      <c r="P23" s="43"/>
      <c r="R23" s="5">
        <v>3</v>
      </c>
      <c r="S23" s="123">
        <f ca="1">AI18/Investment*100</f>
        <v>161.22862933572844</v>
      </c>
      <c r="T23" s="6">
        <f ca="1">EXP(y_inter3-(slope*LN(S23)))</f>
        <v>9.2398542842677127</v>
      </c>
      <c r="U23" s="4">
        <f ca="1">(+S23*T23/100)/100</f>
        <v>0.14897290415143413</v>
      </c>
      <c r="V23" s="4">
        <f>regDebt_weighted</f>
        <v>3.5860000000000003E-2</v>
      </c>
      <c r="W23" s="4">
        <f ca="1">+U23-V23</f>
        <v>0.11311290415143413</v>
      </c>
      <c r="X23" s="4">
        <f ca="1">+((W23*(1-0.34))-Pfd_weighted)/Equity_percent</f>
        <v>0.1990247579649608</v>
      </c>
      <c r="Y23" s="4">
        <f ca="1">+X23*equityP</f>
        <v>0.11941485477897648</v>
      </c>
      <c r="Z23" s="4">
        <f ca="1">+Y23/(1-taxrate)</f>
        <v>0.15115804402402086</v>
      </c>
      <c r="AA23" s="4">
        <f>debtP*Debt_Rate</f>
        <v>2.0000000000000004E-2</v>
      </c>
      <c r="AB23" s="4">
        <f ca="1">+AA23+Z23</f>
        <v>0.17115804402402085</v>
      </c>
      <c r="AC23" s="4">
        <f ca="1">+AB23/(S23/100)</f>
        <v>0.10615859275688332</v>
      </c>
      <c r="AD23" s="4">
        <f ca="1">1-AC23</f>
        <v>0.89384140724311667</v>
      </c>
      <c r="AE23" s="124">
        <f ca="1">expenses/(AD23)</f>
        <v>1100056.2782218391</v>
      </c>
      <c r="AF23" s="125">
        <f ca="1">+AE23-Revenue</f>
        <v>211131.69822183903</v>
      </c>
      <c r="AG23" s="126">
        <f ca="1">+AF23/$J$49</f>
        <v>242327.05324964505</v>
      </c>
      <c r="AH23" s="126">
        <f ca="1">+AG23*$J$47</f>
        <v>5597.7549300668006</v>
      </c>
      <c r="AI23" s="124">
        <f ca="1">ROUND(+AH23+AE23,5)</f>
        <v>1105654.03315</v>
      </c>
    </row>
    <row r="24" spans="1:35" ht="15.75">
      <c r="A24" s="43"/>
      <c r="B24" s="43" t="s">
        <v>110</v>
      </c>
      <c r="C24" s="43"/>
      <c r="D24" s="43"/>
      <c r="E24" s="43"/>
      <c r="F24" s="142">
        <f t="shared" si="0"/>
        <v>18</v>
      </c>
      <c r="H24" s="100"/>
      <c r="J24" s="145" t="s">
        <v>105</v>
      </c>
      <c r="K24" s="101" t="s">
        <v>44</v>
      </c>
      <c r="L24" s="101"/>
      <c r="M24" s="101"/>
      <c r="N24" s="101"/>
      <c r="O24" s="43"/>
      <c r="P24" s="43"/>
      <c r="R24" s="7">
        <v>4</v>
      </c>
      <c r="S24" s="123">
        <f ca="1">AI19/Investment*100</f>
        <v>161.08383240180865</v>
      </c>
      <c r="T24" s="8">
        <f ca="1">EXP(y_inter4-(slope*LN(S24)))</f>
        <v>9.1874680293724005</v>
      </c>
      <c r="U24" s="4">
        <f ca="1">(+S24*T24/100)/100</f>
        <v>0.1479952560240399</v>
      </c>
      <c r="V24" s="4">
        <f>regDebt_weighted</f>
        <v>3.5860000000000003E-2</v>
      </c>
      <c r="W24" s="4">
        <f ca="1">+U24-V24</f>
        <v>0.1121352560240399</v>
      </c>
      <c r="X24" s="4">
        <f ca="1">+((W24*(1-0.34))-Pfd_weighted)/Equity_percent</f>
        <v>0.19714903772054165</v>
      </c>
      <c r="Y24" s="4">
        <f ca="1">+X24*equityP</f>
        <v>0.11828942263232499</v>
      </c>
      <c r="Z24" s="4">
        <f ca="1">+Y24/(1-taxrate)</f>
        <v>0.14973344637003164</v>
      </c>
      <c r="AA24" s="4">
        <f>debtP*Debt_Rate</f>
        <v>2.0000000000000004E-2</v>
      </c>
      <c r="AB24" s="4">
        <f ca="1">+AA24+Z24</f>
        <v>0.16973344637003163</v>
      </c>
      <c r="AC24" s="4">
        <f ca="1">+AB24/(S24/100)</f>
        <v>0.10536963507712388</v>
      </c>
      <c r="AD24" s="4">
        <f ca="1">1-AC24</f>
        <v>0.89463036492287618</v>
      </c>
      <c r="AE24" s="124">
        <f ca="1">expenses/(AD24)</f>
        <v>1099086.1592957443</v>
      </c>
      <c r="AF24" s="125">
        <f ca="1">+AE24-Revenue</f>
        <v>210161.57929574419</v>
      </c>
      <c r="AG24" s="126">
        <f ca="1">+AF24/$J$49</f>
        <v>241213.59628111697</v>
      </c>
      <c r="AH24" s="126">
        <f ca="1">+AG24*$J$47</f>
        <v>5572.0340740938018</v>
      </c>
      <c r="AI24" s="124">
        <f ca="1">ROUND(+AH24+AE24,5)</f>
        <v>1104658.19337</v>
      </c>
    </row>
    <row r="25" spans="1:35" ht="15.75">
      <c r="A25" s="43"/>
      <c r="B25" s="43" t="s">
        <v>111</v>
      </c>
      <c r="C25" s="43"/>
      <c r="D25" s="43"/>
      <c r="E25" s="43"/>
      <c r="F25" s="142">
        <f t="shared" si="0"/>
        <v>19</v>
      </c>
      <c r="H25" s="84" t="s">
        <v>45</v>
      </c>
      <c r="I25" s="85" t="s">
        <v>46</v>
      </c>
      <c r="J25" s="86" t="s">
        <v>47</v>
      </c>
      <c r="K25" s="84" t="s">
        <v>116</v>
      </c>
      <c r="L25" s="86" t="s">
        <v>49</v>
      </c>
      <c r="M25" s="86" t="s">
        <v>47</v>
      </c>
      <c r="O25" s="43"/>
      <c r="P25" s="43"/>
      <c r="R25" s="1" t="s">
        <v>50</v>
      </c>
      <c r="W25" s="9"/>
      <c r="X25" s="13"/>
      <c r="Y25" s="10"/>
      <c r="Z25" s="10"/>
      <c r="AA25" s="13"/>
      <c r="AC25" s="13"/>
      <c r="AD25" s="13"/>
      <c r="AE25" s="10"/>
      <c r="AF25" s="9"/>
    </row>
    <row r="26" spans="1:35" ht="15.75">
      <c r="A26" s="43"/>
      <c r="B26" s="43"/>
      <c r="C26" s="43"/>
      <c r="D26" s="43"/>
      <c r="E26" s="43"/>
      <c r="F26" s="142">
        <f t="shared" si="0"/>
        <v>20</v>
      </c>
      <c r="H26" s="79" t="s">
        <v>27</v>
      </c>
      <c r="I26" s="88">
        <f>1-I27</f>
        <v>0.6</v>
      </c>
      <c r="J26" s="87">
        <f>+I26*J28</f>
        <v>411510.19422142656</v>
      </c>
      <c r="K26" s="83">
        <f ca="1">+K34</f>
        <v>0.19788377991347586</v>
      </c>
      <c r="L26" s="88">
        <f ca="1">+K26*I26</f>
        <v>0.11873026794808551</v>
      </c>
      <c r="M26" s="80">
        <f ca="1">+J26*K26</f>
        <v>81431.192705464477</v>
      </c>
      <c r="O26" s="43"/>
      <c r="P26" s="43"/>
      <c r="R26" s="3">
        <v>1</v>
      </c>
      <c r="S26" s="117">
        <f ca="1">AI21/Investment*100</f>
        <v>161.77391235168028</v>
      </c>
      <c r="T26" s="118">
        <f ca="1">EXP(y_inter1-(slope*LN(+S26)))</f>
        <v>9.4434163073186941</v>
      </c>
      <c r="U26" s="119">
        <f ca="1">(+S26*T26/100)/100</f>
        <v>0.15276984020006026</v>
      </c>
      <c r="V26" s="119">
        <f>regDebt_weighted</f>
        <v>3.5860000000000003E-2</v>
      </c>
      <c r="W26" s="119">
        <f ca="1">+U26-V26</f>
        <v>0.11690984020006026</v>
      </c>
      <c r="X26" s="119">
        <f ca="1">+((W26*(1-0.34))-Pfd_weighted)/Equity_percent</f>
        <v>0.20630957712802259</v>
      </c>
      <c r="Y26" s="119">
        <f ca="1">+X26*equityP</f>
        <v>0.12378574627681355</v>
      </c>
      <c r="Z26" s="119">
        <f ca="1">+Y26/(1-taxrate)</f>
        <v>0.15669081807191587</v>
      </c>
      <c r="AA26" s="119">
        <f>debtP*Debt_Rate</f>
        <v>2.0000000000000004E-2</v>
      </c>
      <c r="AB26" s="119">
        <f ca="1">+AA26+Z26</f>
        <v>0.17669081807191589</v>
      </c>
      <c r="AC26" s="119">
        <f ca="1">+AB26/(S26/100)</f>
        <v>0.10922083511697965</v>
      </c>
      <c r="AD26" s="119">
        <f ca="1">1-AC26</f>
        <v>0.89077916488302034</v>
      </c>
      <c r="AE26" s="120">
        <f ca="1">expenses/(AD26)</f>
        <v>1103837.9550576496</v>
      </c>
      <c r="AF26" s="121">
        <f ca="1">+AE26-Revenue</f>
        <v>214913.37505764957</v>
      </c>
      <c r="AG26" s="122">
        <f ca="1">+AF26/$J$49</f>
        <v>246667.48441977438</v>
      </c>
      <c r="AH26" s="122">
        <f ca="1">+AG26*$J$47</f>
        <v>5698.0188900967878</v>
      </c>
      <c r="AI26" s="120">
        <f ca="1">ROUND(+AH26+AE26,5)</f>
        <v>1109535.97395</v>
      </c>
    </row>
    <row r="27" spans="1:35" ht="15.75">
      <c r="A27" s="43"/>
      <c r="B27" s="43"/>
      <c r="C27" s="43"/>
      <c r="D27" s="43"/>
      <c r="E27" s="43"/>
      <c r="F27" s="142">
        <f t="shared" si="0"/>
        <v>21</v>
      </c>
      <c r="H27" s="79" t="s">
        <v>29</v>
      </c>
      <c r="I27" s="88">
        <f>IF(A65=TRUE,C8,0)</f>
        <v>0.4</v>
      </c>
      <c r="J27" s="90">
        <f>+I27*J28</f>
        <v>274340.12948095106</v>
      </c>
      <c r="K27" s="83">
        <f>IF(A65=TRUE,C9,0)</f>
        <v>0.05</v>
      </c>
      <c r="L27" s="88">
        <f>+K27*I27</f>
        <v>2.0000000000000004E-2</v>
      </c>
      <c r="M27" s="105">
        <f>+K27*J27</f>
        <v>13717.006474047554</v>
      </c>
      <c r="O27" s="43"/>
      <c r="P27" s="43"/>
      <c r="R27" s="35">
        <v>2</v>
      </c>
      <c r="S27" s="123">
        <f ca="1">AI22/Investment*100</f>
        <v>161.43637241767505</v>
      </c>
      <c r="T27" s="34">
        <f ca="1">EXP(y_inter2-(slope*LN(+S27)))</f>
        <v>9.3223596100840709</v>
      </c>
      <c r="U27" s="4">
        <f ca="1">(+S27*T27/100)/100</f>
        <v>0.15049679178250239</v>
      </c>
      <c r="V27" s="4">
        <f>regDebt_weighted</f>
        <v>3.5860000000000003E-2</v>
      </c>
      <c r="W27" s="4">
        <f ca="1">+U27-V27</f>
        <v>0.11463679178250238</v>
      </c>
      <c r="X27" s="4">
        <f ca="1">+((W27*(1-0.34))-Pfd_weighted)/Equity_percent</f>
        <v>0.20194849586177782</v>
      </c>
      <c r="Y27" s="4">
        <f ca="1">+X27*equityP</f>
        <v>0.12116909751706668</v>
      </c>
      <c r="Z27" s="4">
        <f ca="1">+Y27/(1-taxrate)</f>
        <v>0.15337860445198315</v>
      </c>
      <c r="AA27" s="4">
        <f>debtP*Debt_Rate</f>
        <v>2.0000000000000004E-2</v>
      </c>
      <c r="AB27" s="4">
        <f ca="1">+AA27+Z27</f>
        <v>0.17337860445198316</v>
      </c>
      <c r="AC27" s="4">
        <f ca="1">+AB27/(S27/100)</f>
        <v>0.10739748537176656</v>
      </c>
      <c r="AD27" s="4">
        <f ca="1">1-AC27</f>
        <v>0.89260251462823348</v>
      </c>
      <c r="AE27" s="124">
        <f ca="1">expenses/(AD27)</f>
        <v>1101583.1074394472</v>
      </c>
      <c r="AF27" s="125">
        <f ca="1">+AE27-Revenue</f>
        <v>212658.52743944712</v>
      </c>
      <c r="AG27" s="126">
        <f ca="1">+AF27/$J$49</f>
        <v>244079.47616024784</v>
      </c>
      <c r="AH27" s="126">
        <f ca="1">+AG27*$J$47</f>
        <v>5638.2358993017251</v>
      </c>
      <c r="AI27" s="124">
        <f ca="1">ROUND(+AH27+AE27,5)</f>
        <v>1107221.3433399999</v>
      </c>
    </row>
    <row r="28" spans="1:35" ht="16.5" thickBot="1">
      <c r="A28" s="43"/>
      <c r="B28" s="43"/>
      <c r="C28" s="43"/>
      <c r="D28" s="43"/>
      <c r="E28" s="43"/>
      <c r="F28" s="142">
        <f t="shared" si="0"/>
        <v>22</v>
      </c>
      <c r="H28" s="79" t="s">
        <v>103</v>
      </c>
      <c r="I28" s="91">
        <f>SUM(I26:I27)</f>
        <v>1</v>
      </c>
      <c r="J28" s="136">
        <f>IF(A65=TRUE,C7,0)</f>
        <v>685850.32370237762</v>
      </c>
      <c r="K28" s="144"/>
      <c r="L28" s="143">
        <f ca="1">SUM(L26:L27)</f>
        <v>0.13873026794808552</v>
      </c>
      <c r="M28" s="136">
        <f ca="1">SUM(M26:M27)</f>
        <v>95148.199179512027</v>
      </c>
      <c r="O28" s="43"/>
      <c r="P28" s="43"/>
      <c r="R28" s="5">
        <v>3</v>
      </c>
      <c r="S28" s="123">
        <f ca="1">AI23/Investment*100</f>
        <v>161.20923107266694</v>
      </c>
      <c r="T28" s="6">
        <f ca="1">EXP(y_inter3-(slope*LN(S28)))</f>
        <v>9.2406143940440231</v>
      </c>
      <c r="U28" s="4">
        <f ca="1">(+S28*T28/100)/100</f>
        <v>0.14896723411028551</v>
      </c>
      <c r="V28" s="4">
        <f>regDebt_weighted</f>
        <v>3.5860000000000003E-2</v>
      </c>
      <c r="W28" s="4">
        <f ca="1">+U28-V28</f>
        <v>0.1131072341102855</v>
      </c>
      <c r="X28" s="4">
        <f ca="1">+((W28*(1-0.34))-Pfd_weighted)/Equity_percent</f>
        <v>0.19901387939764079</v>
      </c>
      <c r="Y28" s="4">
        <f ca="1">+X28*equityP</f>
        <v>0.11940832763858447</v>
      </c>
      <c r="Z28" s="4">
        <f ca="1">+Y28/(1-taxrate)</f>
        <v>0.15114978182099301</v>
      </c>
      <c r="AA28" s="4">
        <f>debtP*Debt_Rate</f>
        <v>2.0000000000000004E-2</v>
      </c>
      <c r="AB28" s="4">
        <f ca="1">+AA28+Z28</f>
        <v>0.171149781820993</v>
      </c>
      <c r="AC28" s="4">
        <f ca="1">+AB28/(S28/100)</f>
        <v>0.10616624164893215</v>
      </c>
      <c r="AD28" s="4">
        <f ca="1">1-AC28</f>
        <v>0.89383375835106782</v>
      </c>
      <c r="AE28" s="124">
        <f ca="1">expenses/(AD28)</f>
        <v>1100065.6918422591</v>
      </c>
      <c r="AF28" s="125">
        <f ca="1">+AE28-Revenue</f>
        <v>211141.11184225907</v>
      </c>
      <c r="AG28" s="126">
        <f ca="1">+AF28/$J$49</f>
        <v>242337.85776131245</v>
      </c>
      <c r="AH28" s="126">
        <f ca="1">+AG28*$J$47</f>
        <v>5598.0045142863173</v>
      </c>
      <c r="AI28" s="124">
        <f ca="1">ROUND(+AH28+AE28,5)</f>
        <v>1105663.6963599999</v>
      </c>
    </row>
    <row r="29" spans="1:35" ht="16.5" thickTop="1">
      <c r="A29" s="43"/>
      <c r="B29" s="43"/>
      <c r="C29" s="43"/>
      <c r="D29" s="43"/>
      <c r="E29" s="43"/>
      <c r="F29" s="142">
        <f t="shared" si="0"/>
        <v>23</v>
      </c>
      <c r="G29" s="72"/>
      <c r="H29" s="72"/>
      <c r="I29" s="72"/>
      <c r="J29" s="72"/>
      <c r="K29" s="72"/>
      <c r="L29" s="72"/>
      <c r="M29" s="72"/>
      <c r="N29" s="72"/>
      <c r="O29" s="43"/>
      <c r="P29" s="43"/>
      <c r="R29" s="7">
        <v>4</v>
      </c>
      <c r="S29" s="123">
        <f ca="1">AI24/Investment*100</f>
        <v>161.06403324369685</v>
      </c>
      <c r="T29" s="8">
        <f ca="1">EXP(y_inter4-(slope*LN(S29)))</f>
        <v>9.1882401445225561</v>
      </c>
      <c r="U29" s="4">
        <f ca="1">(+S29*T29/100)/100</f>
        <v>0.14798950160884511</v>
      </c>
      <c r="V29" s="4">
        <f>regDebt_weighted</f>
        <v>3.5860000000000003E-2</v>
      </c>
      <c r="W29" s="4">
        <f ca="1">+U29-V29</f>
        <v>0.11212950160884511</v>
      </c>
      <c r="X29" s="4">
        <f ca="1">+((W29*(1-0.34))-Pfd_weighted)/Equity_percent</f>
        <v>0.19713799727278419</v>
      </c>
      <c r="Y29" s="4">
        <f ca="1">+X29*equityP</f>
        <v>0.1182827983636705</v>
      </c>
      <c r="Z29" s="4">
        <f ca="1">+Y29/(1-taxrate)</f>
        <v>0.14972506121983609</v>
      </c>
      <c r="AA29" s="4">
        <f>debtP*Debt_Rate</f>
        <v>2.0000000000000004E-2</v>
      </c>
      <c r="AB29" s="4">
        <f ca="1">+AA29+Z29</f>
        <v>0.1697250612198361</v>
      </c>
      <c r="AC29" s="4">
        <f ca="1">+AB29/(S29/100)</f>
        <v>0.1053773817789815</v>
      </c>
      <c r="AD29" s="4">
        <f ca="1">1-AC29</f>
        <v>0.89462261822101852</v>
      </c>
      <c r="AE29" s="124">
        <f ca="1">expenses/(AD29)</f>
        <v>1099095.6764850244</v>
      </c>
      <c r="AF29" s="125">
        <f ca="1">+AE29-Revenue</f>
        <v>210171.09648502432</v>
      </c>
      <c r="AG29" s="126">
        <f ca="1">+AF29/$J$49</f>
        <v>241224.51966426073</v>
      </c>
      <c r="AH29" s="126">
        <f ca="1">+AG29*$J$47</f>
        <v>5572.2864042444226</v>
      </c>
      <c r="AI29" s="124">
        <f ca="1">ROUND(+AH29+AE29,5)</f>
        <v>1104667.9628900001</v>
      </c>
    </row>
    <row r="30" spans="1:35" ht="15.75">
      <c r="A30" s="43"/>
      <c r="B30" s="43"/>
      <c r="C30" s="43"/>
      <c r="D30" s="43"/>
      <c r="E30" s="43"/>
      <c r="F30" s="142">
        <f t="shared" si="0"/>
        <v>24</v>
      </c>
      <c r="G30" s="72"/>
      <c r="H30" s="72"/>
      <c r="I30" s="72"/>
      <c r="J30" s="107" t="s">
        <v>94</v>
      </c>
      <c r="K30" s="107" t="s">
        <v>96</v>
      </c>
      <c r="L30" s="72"/>
      <c r="M30" s="72"/>
      <c r="N30" s="72"/>
      <c r="O30" s="43"/>
      <c r="P30" s="43"/>
      <c r="R30" s="1" t="s">
        <v>53</v>
      </c>
      <c r="W30" s="9"/>
      <c r="X30" s="13"/>
      <c r="Y30" s="10"/>
      <c r="Z30" s="10"/>
      <c r="AA30" s="13"/>
      <c r="AC30" s="13"/>
      <c r="AD30" s="13"/>
      <c r="AE30" s="10"/>
      <c r="AF30" s="9"/>
      <c r="AH30" s="10"/>
    </row>
    <row r="31" spans="1:35" ht="15.75">
      <c r="A31" s="43"/>
      <c r="B31" s="43"/>
      <c r="C31" s="43"/>
      <c r="D31" s="43"/>
      <c r="E31" s="43"/>
      <c r="F31" s="142">
        <f t="shared" si="0"/>
        <v>25</v>
      </c>
      <c r="G31" s="72"/>
      <c r="H31" s="102" t="s">
        <v>51</v>
      </c>
      <c r="I31" s="103"/>
      <c r="J31" s="104" t="s">
        <v>95</v>
      </c>
      <c r="K31" s="104" t="s">
        <v>95</v>
      </c>
      <c r="L31" s="72"/>
      <c r="M31" s="72"/>
      <c r="N31" s="72"/>
      <c r="O31" s="43"/>
      <c r="P31" s="43"/>
      <c r="R31" s="3">
        <v>1</v>
      </c>
      <c r="S31" s="117">
        <f ca="1">AI26/Investment*100</f>
        <v>161.77523515050191</v>
      </c>
      <c r="T31" s="118">
        <f ca="1">EXP(y_inter1-(slope*LN(+S31)))</f>
        <v>9.4433635165507059</v>
      </c>
      <c r="U31" s="119">
        <f ca="1">(+S31*T31/100)/100</f>
        <v>0.15277023535016609</v>
      </c>
      <c r="V31" s="119">
        <f>regDebt_weighted</f>
        <v>3.5860000000000003E-2</v>
      </c>
      <c r="W31" s="119">
        <f ca="1">+U31-V31</f>
        <v>0.11691023535016609</v>
      </c>
      <c r="X31" s="119">
        <f ca="1">+((W31*(1-0.34))-Pfd_weighted)/Equity_percent</f>
        <v>0.20631033526485354</v>
      </c>
      <c r="Y31" s="119">
        <f ca="1">+X31*equityP</f>
        <v>0.12378620115891212</v>
      </c>
      <c r="Z31" s="119">
        <f ca="1">+Y31/(1-taxrate)</f>
        <v>0.15669139387204065</v>
      </c>
      <c r="AA31" s="119">
        <f>debtP*Debt_Rate</f>
        <v>2.0000000000000004E-2</v>
      </c>
      <c r="AB31" s="119">
        <f ca="1">+AA31+Z31</f>
        <v>0.17669139387204064</v>
      </c>
      <c r="AC31" s="119">
        <f ca="1">+AB31/(S31/100)</f>
        <v>0.10922029796937831</v>
      </c>
      <c r="AD31" s="119">
        <f ca="1">1-AC31</f>
        <v>0.89077970203062173</v>
      </c>
      <c r="AE31" s="120">
        <f ca="1">expenses/(AD31)</f>
        <v>1103837.2894341419</v>
      </c>
      <c r="AF31" s="121">
        <f ca="1">+AE31-Revenue</f>
        <v>214912.70943414187</v>
      </c>
      <c r="AG31" s="122">
        <f ca="1">+AF31/$J$49</f>
        <v>246666.72044835487</v>
      </c>
      <c r="AH31" s="122">
        <f ca="1">+AG31*$J$47</f>
        <v>5698.001242356997</v>
      </c>
      <c r="AI31" s="120">
        <f ca="1">ROUND(+AH31+AE31,5)</f>
        <v>1109535.2906800001</v>
      </c>
    </row>
    <row r="32" spans="1:35" ht="15.75">
      <c r="A32" s="43"/>
      <c r="B32" s="43"/>
      <c r="C32" s="43"/>
      <c r="D32" s="43"/>
      <c r="E32" s="43"/>
      <c r="F32" s="142">
        <f t="shared" si="0"/>
        <v>26</v>
      </c>
      <c r="G32" s="72"/>
      <c r="H32" s="76"/>
      <c r="I32" s="76"/>
      <c r="J32" s="76"/>
      <c r="K32" s="76"/>
      <c r="L32" s="72"/>
      <c r="M32" s="72"/>
      <c r="N32" s="72"/>
      <c r="O32" s="43"/>
      <c r="P32" s="43"/>
      <c r="R32" s="35">
        <v>2</v>
      </c>
      <c r="S32" s="123">
        <f ca="1">AI27/Investment*100</f>
        <v>161.43775180610322</v>
      </c>
      <c r="T32" s="34">
        <f ca="1">EXP(y_inter2-(slope*LN(+S32)))</f>
        <v>9.3223051529929606</v>
      </c>
      <c r="U32" s="4">
        <f ca="1">(+S32*T32/100)/100</f>
        <v>0.15049719855496346</v>
      </c>
      <c r="V32" s="4">
        <f>regDebt_weighted</f>
        <v>3.5860000000000003E-2</v>
      </c>
      <c r="W32" s="4">
        <f ca="1">+U32-V32</f>
        <v>0.11463719855496346</v>
      </c>
      <c r="X32" s="4">
        <f ca="1">+((W32*(1-0.34))-Pfd_weighted)/Equity_percent</f>
        <v>0.2019492762973136</v>
      </c>
      <c r="Y32" s="4">
        <f ca="1">+X32*equityP</f>
        <v>0.12116956577838815</v>
      </c>
      <c r="Z32" s="4">
        <f ca="1">+Y32/(1-taxrate)</f>
        <v>0.15337919718783311</v>
      </c>
      <c r="AA32" s="4">
        <f>debtP*Debt_Rate</f>
        <v>2.0000000000000004E-2</v>
      </c>
      <c r="AB32" s="4">
        <f ca="1">+AA32+Z32</f>
        <v>0.17337919718783312</v>
      </c>
      <c r="AC32" s="4">
        <f ca="1">+AB32/(S32/100)</f>
        <v>0.10739693488551075</v>
      </c>
      <c r="AD32" s="4">
        <f ca="1">1-AC32</f>
        <v>0.89260306511448928</v>
      </c>
      <c r="AE32" s="124">
        <f ca="1">expenses/(AD32)</f>
        <v>1101582.4280709978</v>
      </c>
      <c r="AF32" s="125">
        <f ca="1">+AE32-Revenue</f>
        <v>212657.84807099774</v>
      </c>
      <c r="AG32" s="126">
        <f ca="1">+AF32/$J$49</f>
        <v>244078.69641302942</v>
      </c>
      <c r="AH32" s="126">
        <f ca="1">+AG32*$J$47</f>
        <v>5638.2178871409797</v>
      </c>
      <c r="AI32" s="124">
        <f ca="1">ROUND(+AH32+AE32,5)</f>
        <v>1107220.6459600001</v>
      </c>
    </row>
    <row r="33" spans="1:46" ht="15.75">
      <c r="A33" s="43"/>
      <c r="B33" s="43"/>
      <c r="C33" s="43"/>
      <c r="D33" s="43"/>
      <c r="E33" s="43"/>
      <c r="F33" s="142">
        <f t="shared" si="0"/>
        <v>27</v>
      </c>
      <c r="G33" s="72"/>
      <c r="H33" s="76" t="s">
        <v>54</v>
      </c>
      <c r="I33" s="76"/>
      <c r="J33" s="89">
        <f ca="1">+K9/J28</f>
        <v>0.17029147841529813</v>
      </c>
      <c r="K33" s="89">
        <f ca="1">+(M14+M11)/J28</f>
        <v>0.13873026794808552</v>
      </c>
      <c r="L33" s="72"/>
      <c r="M33" s="72"/>
      <c r="N33" s="72"/>
      <c r="O33" s="43"/>
      <c r="P33" s="43"/>
      <c r="R33" s="5">
        <v>3</v>
      </c>
      <c r="S33" s="123">
        <f ca="1">AI28/Investment*100</f>
        <v>161.21064001127436</v>
      </c>
      <c r="T33" s="6">
        <f ca="1">EXP(y_inter3-(slope*LN(S33)))</f>
        <v>9.240559180409166</v>
      </c>
      <c r="U33" s="4">
        <f ca="1">(+S33*T33/100)/100</f>
        <v>0.14896764595358186</v>
      </c>
      <c r="V33" s="4">
        <f>regDebt_weighted</f>
        <v>3.5860000000000003E-2</v>
      </c>
      <c r="W33" s="4">
        <f ca="1">+U33-V33</f>
        <v>0.11310764595358186</v>
      </c>
      <c r="X33" s="4">
        <f ca="1">+((W33*(1-0.34))-Pfd_weighted)/Equity_percent</f>
        <v>0.19901466956210473</v>
      </c>
      <c r="Y33" s="4">
        <f ca="1">+X33*equityP</f>
        <v>0.11940880173726283</v>
      </c>
      <c r="Z33" s="4">
        <f ca="1">+Y33/(1-taxrate)</f>
        <v>0.1511503819459023</v>
      </c>
      <c r="AA33" s="4">
        <f>debtP*Debt_Rate</f>
        <v>2.0000000000000004E-2</v>
      </c>
      <c r="AB33" s="4">
        <f ca="1">+AA33+Z33</f>
        <v>0.17115038194590232</v>
      </c>
      <c r="AC33" s="4">
        <f ca="1">+AB33/(S33/100)</f>
        <v>0.10616568604524665</v>
      </c>
      <c r="AD33" s="4">
        <f ca="1">1-AC33</f>
        <v>0.89383431395475332</v>
      </c>
      <c r="AE33" s="124">
        <f ca="1">expenses/(AD33)</f>
        <v>1100065.0080460084</v>
      </c>
      <c r="AF33" s="125">
        <f ca="1">+AE33-Revenue</f>
        <v>211140.42804600834</v>
      </c>
      <c r="AG33" s="126">
        <f ca="1">+AF33/$J$49</f>
        <v>242337.07293207146</v>
      </c>
      <c r="AH33" s="126">
        <f ca="1">+AG33*$J$47</f>
        <v>5597.9863847308507</v>
      </c>
      <c r="AI33" s="124">
        <f ca="1">ROUND(+AH33+AE33,5)</f>
        <v>1105662.99443</v>
      </c>
    </row>
    <row r="34" spans="1:46" ht="15.75">
      <c r="A34" s="43"/>
      <c r="B34" s="43"/>
      <c r="C34" s="43"/>
      <c r="D34" s="43"/>
      <c r="E34" s="43"/>
      <c r="F34" s="142">
        <f t="shared" si="0"/>
        <v>28</v>
      </c>
      <c r="G34" s="72"/>
      <c r="H34" s="76" t="s">
        <v>55</v>
      </c>
      <c r="I34" s="76"/>
      <c r="J34" s="89">
        <f ca="1">+(M9-M11)/J26</f>
        <v>0.2504857973588302</v>
      </c>
      <c r="K34" s="89">
        <f ca="1">+M14/J26</f>
        <v>0.19788377991347586</v>
      </c>
      <c r="L34" s="72"/>
      <c r="M34" s="72"/>
      <c r="N34" s="72"/>
      <c r="O34" s="46"/>
      <c r="P34" s="43"/>
      <c r="R34" s="7">
        <v>4</v>
      </c>
      <c r="S34" s="123">
        <f ca="1">AI29/Investment*100</f>
        <v>161.06545768277087</v>
      </c>
      <c r="T34" s="8">
        <f ca="1">EXP(y_inter4-(slope*LN(S34)))</f>
        <v>9.1881845898060988</v>
      </c>
      <c r="U34" s="4">
        <f ca="1">(+S34*T34/100)/100</f>
        <v>0.14798991562309016</v>
      </c>
      <c r="V34" s="4">
        <f>regDebt_weighted</f>
        <v>3.5860000000000003E-2</v>
      </c>
      <c r="W34" s="4">
        <f ca="1">+U34-V34</f>
        <v>0.11212991562309016</v>
      </c>
      <c r="X34" s="4">
        <f ca="1">+((W34*(1-0.34))-Pfd_weighted)/Equity_percent</f>
        <v>0.19713879160244038</v>
      </c>
      <c r="Y34" s="4">
        <f ca="1">+X34*equityP</f>
        <v>0.11828327496146422</v>
      </c>
      <c r="Z34" s="4">
        <f ca="1">+Y34/(1-taxrate)</f>
        <v>0.14972566450818256</v>
      </c>
      <c r="AA34" s="4">
        <f>debtP*Debt_Rate</f>
        <v>2.0000000000000004E-2</v>
      </c>
      <c r="AB34" s="4">
        <f ca="1">+AA34+Z34</f>
        <v>0.16972566450818255</v>
      </c>
      <c r="AC34" s="4">
        <f ca="1">+AB34/(S34/100)</f>
        <v>0.10537682439798392</v>
      </c>
      <c r="AD34" s="4">
        <f ca="1">1-AC34</f>
        <v>0.8946231756020161</v>
      </c>
      <c r="AE34" s="124">
        <f ca="1">expenses/(AD34)</f>
        <v>1099094.9917106286</v>
      </c>
      <c r="AF34" s="125">
        <f ca="1">+AE34-Revenue</f>
        <v>210170.41171062854</v>
      </c>
      <c r="AG34" s="126">
        <f ca="1">+AF34/$J$49</f>
        <v>241223.73371235078</v>
      </c>
      <c r="AH34" s="126">
        <f ca="1">+AG34*$J$47</f>
        <v>5572.2682487553029</v>
      </c>
      <c r="AI34" s="124">
        <f ca="1">ROUND(+AH34+AE34,5)</f>
        <v>1104667.2599599999</v>
      </c>
    </row>
    <row r="35" spans="1:46" ht="15.75">
      <c r="A35" s="43"/>
      <c r="B35" s="43"/>
      <c r="C35" s="43"/>
      <c r="D35" s="43"/>
      <c r="E35" s="43"/>
      <c r="F35" s="142">
        <f t="shared" si="0"/>
        <v>29</v>
      </c>
      <c r="G35" s="72"/>
      <c r="H35" s="92" t="s">
        <v>31</v>
      </c>
      <c r="I35" s="76"/>
      <c r="J35" s="89">
        <f ca="1">+K8/K7</f>
        <v>0.89383000000000001</v>
      </c>
      <c r="K35" s="89">
        <f ca="1">+M8/M7</f>
        <v>0.89436755098338694</v>
      </c>
      <c r="L35" s="72"/>
      <c r="M35" s="72"/>
      <c r="N35" s="72"/>
      <c r="O35" s="43"/>
      <c r="P35" s="43"/>
      <c r="R35" s="1" t="s">
        <v>84</v>
      </c>
      <c r="X35" s="13"/>
      <c r="Y35" s="14"/>
      <c r="Z35" s="10"/>
      <c r="AA35" s="13"/>
      <c r="AC35" s="13"/>
      <c r="AD35" s="13"/>
      <c r="AE35" s="10"/>
      <c r="AF35" s="9"/>
      <c r="AH35" s="10"/>
    </row>
    <row r="36" spans="1:46" ht="15.75">
      <c r="A36" s="43"/>
      <c r="B36" s="43"/>
      <c r="C36" s="43"/>
      <c r="D36" s="43"/>
      <c r="E36" s="43"/>
      <c r="F36" s="142">
        <f t="shared" si="0"/>
        <v>30</v>
      </c>
      <c r="G36" s="72"/>
      <c r="H36" s="76" t="s">
        <v>56</v>
      </c>
      <c r="I36" s="76"/>
      <c r="J36" s="89">
        <f ca="1">+K9/K7</f>
        <v>0.10617000000000001</v>
      </c>
      <c r="K36" s="89">
        <f ca="1">+J36</f>
        <v>0.10617000000000001</v>
      </c>
      <c r="L36" s="72"/>
      <c r="M36" s="72"/>
      <c r="N36" s="72"/>
      <c r="O36" s="43"/>
      <c r="P36" s="43"/>
      <c r="R36" s="3">
        <v>1</v>
      </c>
      <c r="S36" s="117">
        <f ca="1">AI31/Investment*100</f>
        <v>161.77513552672451</v>
      </c>
      <c r="T36" s="118">
        <f ca="1">EXP(y_inter1-(slope*LN(+S36)))</f>
        <v>9.4433674923497133</v>
      </c>
      <c r="U36" s="119">
        <f ca="1">(+S36*T36/100)/100</f>
        <v>0.15277020559035395</v>
      </c>
      <c r="V36" s="119">
        <f>regDebt_weighted</f>
        <v>3.5860000000000003E-2</v>
      </c>
      <c r="W36" s="119">
        <f ca="1">+U36-V36</f>
        <v>0.11691020559035395</v>
      </c>
      <c r="X36" s="119">
        <f ca="1">+((W36*(1-0.34))-Pfd_weighted)/Equity_percent</f>
        <v>0.20631027816753952</v>
      </c>
      <c r="Y36" s="119">
        <f ca="1">+X36*equityP</f>
        <v>0.12378616690052371</v>
      </c>
      <c r="Z36" s="119">
        <f ca="1">+Y36/(1-taxrate)</f>
        <v>0.15669135050699204</v>
      </c>
      <c r="AA36" s="119">
        <f>debtP*Debt_Rate</f>
        <v>2.0000000000000004E-2</v>
      </c>
      <c r="AB36" s="119">
        <f ca="1">+AA36+Z36</f>
        <v>0.17669135050699203</v>
      </c>
      <c r="AC36" s="119">
        <f ca="1">+AB36/(S36/100)</f>
        <v>0.10922033842326989</v>
      </c>
      <c r="AD36" s="119">
        <f ca="1">1-AC36</f>
        <v>0.89077966157673005</v>
      </c>
      <c r="AE36" s="120">
        <f ca="1">expenses/(AD36)</f>
        <v>1103837.3395638384</v>
      </c>
      <c r="AF36" s="121">
        <f ca="1">+AE36-Revenue</f>
        <v>214912.75956383836</v>
      </c>
      <c r="AG36" s="122">
        <f ca="1">+AF36/$J$49</f>
        <v>246666.77798486754</v>
      </c>
      <c r="AH36" s="122">
        <f ca="1">+AG36*$J$47</f>
        <v>5698.00257145044</v>
      </c>
      <c r="AI36" s="120">
        <f ca="1">ROUND(+AH36+AE36,5)</f>
        <v>1109535.3421400001</v>
      </c>
    </row>
    <row r="37" spans="1:46" ht="15.75">
      <c r="A37" s="43"/>
      <c r="B37" s="43"/>
      <c r="C37" s="43"/>
      <c r="D37" s="43"/>
      <c r="E37" s="43"/>
      <c r="F37" s="142">
        <f t="shared" si="0"/>
        <v>31</v>
      </c>
      <c r="G37" s="72"/>
      <c r="H37" s="76" t="s">
        <v>57</v>
      </c>
      <c r="I37" s="74"/>
      <c r="J37" s="93">
        <f ca="1">+S39/100</f>
        <v>1.6106535519247875</v>
      </c>
      <c r="K37" s="93">
        <f ca="1">+J37</f>
        <v>1.6106535519247875</v>
      </c>
      <c r="L37" s="72"/>
      <c r="M37" s="72"/>
      <c r="N37" s="72"/>
      <c r="O37" s="43"/>
      <c r="P37" s="43"/>
      <c r="R37" s="35">
        <v>2</v>
      </c>
      <c r="S37" s="123">
        <f ca="1">AI32/Investment*100</f>
        <v>161.43765012502561</v>
      </c>
      <c r="T37" s="34">
        <f ca="1">EXP(y_inter2-(slope*LN(+S37)))</f>
        <v>9.322309167249351</v>
      </c>
      <c r="U37" s="4">
        <f ca="1">(+S37*T37/100)/100</f>
        <v>0.15049716856997195</v>
      </c>
      <c r="V37" s="4">
        <f>regDebt_weighted</f>
        <v>3.5860000000000003E-2</v>
      </c>
      <c r="W37" s="4">
        <f ca="1">+U37-V37</f>
        <v>0.11463716856997194</v>
      </c>
      <c r="X37" s="4">
        <f ca="1">+((W37*(1-0.34))-Pfd_weighted)/Equity_percent</f>
        <v>0.2019492187679694</v>
      </c>
      <c r="Y37" s="4">
        <f ca="1">+X37*equityP</f>
        <v>0.12116953126078163</v>
      </c>
      <c r="Z37" s="4">
        <f ca="1">+Y37/(1-taxrate)</f>
        <v>0.15337915349466028</v>
      </c>
      <c r="AA37" s="4">
        <f>debtP*Debt_Rate</f>
        <v>2.0000000000000004E-2</v>
      </c>
      <c r="AB37" s="4">
        <f ca="1">+AA37+Z37</f>
        <v>0.17337915349466027</v>
      </c>
      <c r="AC37" s="4">
        <f ca="1">+AB37/(S37/100)</f>
        <v>0.10739697546414144</v>
      </c>
      <c r="AD37" s="4">
        <f ca="1">1-AC37</f>
        <v>0.8926030245358586</v>
      </c>
      <c r="AE37" s="124">
        <f ca="1">expenses/(AD37)</f>
        <v>1101582.4781500422</v>
      </c>
      <c r="AF37" s="125">
        <f ca="1">+AE37-Revenue</f>
        <v>212657.89815004217</v>
      </c>
      <c r="AG37" s="126">
        <f ca="1">+AF37/$J$49</f>
        <v>244078.75389140606</v>
      </c>
      <c r="AH37" s="126">
        <f ca="1">+AG37*$J$47</f>
        <v>5638.2192148914801</v>
      </c>
      <c r="AI37" s="124">
        <f ca="1">ROUND(+AH37+AE37,5)</f>
        <v>1107220.6973600001</v>
      </c>
    </row>
    <row r="38" spans="1:46" ht="15.75">
      <c r="A38" s="43"/>
      <c r="B38" s="43"/>
      <c r="C38" s="43"/>
      <c r="D38" s="43"/>
      <c r="E38" s="43"/>
      <c r="F38" s="142">
        <f t="shared" si="0"/>
        <v>32</v>
      </c>
      <c r="G38" s="72"/>
      <c r="H38" s="76" t="s">
        <v>58</v>
      </c>
      <c r="I38" s="72"/>
      <c r="J38" s="89">
        <f>+C10</f>
        <v>0.21</v>
      </c>
      <c r="K38" s="89">
        <f>+J38</f>
        <v>0.21</v>
      </c>
      <c r="L38" s="72"/>
      <c r="M38" s="72"/>
      <c r="N38" s="72"/>
      <c r="O38" s="43"/>
      <c r="P38" s="43"/>
      <c r="Q38" s="71"/>
      <c r="R38" s="5">
        <v>3</v>
      </c>
      <c r="S38" s="123">
        <f ca="1">AI33/Investment*100</f>
        <v>161.21053766678671</v>
      </c>
      <c r="T38" s="6">
        <f ca="1">EXP(y_inter3-(slope*LN(S38)))</f>
        <v>9.2405631910683859</v>
      </c>
      <c r="U38" s="4">
        <f ca="1">(+S38*T38/100)/100</f>
        <v>0.1489676160376053</v>
      </c>
      <c r="V38" s="4">
        <f>regDebt_weighted</f>
        <v>3.5860000000000003E-2</v>
      </c>
      <c r="W38" s="4">
        <f ca="1">+U38-V38</f>
        <v>0.1131076160376053</v>
      </c>
      <c r="X38" s="4">
        <f ca="1">+((W38*(1-0.34))-Pfd_weighted)/Equity_percent</f>
        <v>0.19901461216517297</v>
      </c>
      <c r="Y38" s="4">
        <f ca="1">+X38*equityP</f>
        <v>0.11940876729910377</v>
      </c>
      <c r="Z38" s="4">
        <f ca="1">+Y38/(1-taxrate)</f>
        <v>0.15115033835329592</v>
      </c>
      <c r="AA38" s="4">
        <f>debtP*Debt_Rate</f>
        <v>2.0000000000000004E-2</v>
      </c>
      <c r="AB38" s="4">
        <f ca="1">+AA38+Z38</f>
        <v>0.17115033835329591</v>
      </c>
      <c r="AC38" s="4">
        <f ca="1">+AB38/(S38/100)</f>
        <v>0.10616572640372568</v>
      </c>
      <c r="AD38" s="4">
        <f ca="1">1-AC38</f>
        <v>0.89383427359627432</v>
      </c>
      <c r="AE38" s="124">
        <f ca="1">expenses/(AD38)</f>
        <v>1100065.0577162346</v>
      </c>
      <c r="AF38" s="125">
        <f ca="1">+AE38-Revenue</f>
        <v>211140.47771623451</v>
      </c>
      <c r="AG38" s="126">
        <f ca="1">+AF38/$J$49</f>
        <v>242337.12994122569</v>
      </c>
      <c r="AH38" s="126">
        <f ca="1">+AG38*$J$47</f>
        <v>5597.9877016423134</v>
      </c>
      <c r="AI38" s="124">
        <f ca="1">ROUND(+AH38+AE38,5)</f>
        <v>1105663.0454200001</v>
      </c>
    </row>
    <row r="39" spans="1:46" ht="15.75">
      <c r="A39" s="43"/>
      <c r="B39" s="43"/>
      <c r="C39" s="43"/>
      <c r="D39" s="43"/>
      <c r="E39" s="43"/>
      <c r="F39" s="142">
        <f t="shared" si="0"/>
        <v>33</v>
      </c>
      <c r="G39" s="72"/>
      <c r="H39" s="72"/>
      <c r="I39" s="72"/>
      <c r="J39" s="72"/>
      <c r="K39" s="72"/>
      <c r="L39" s="72"/>
      <c r="M39" s="72"/>
      <c r="N39" s="72"/>
      <c r="O39" s="43"/>
      <c r="P39" s="43"/>
      <c r="R39" s="7">
        <v>4</v>
      </c>
      <c r="S39" s="123">
        <f ca="1">AI34/Investment*100</f>
        <v>161.06535519247876</v>
      </c>
      <c r="T39" s="8">
        <f ca="1">EXP(y_inter4-(slope*LN(S39)))</f>
        <v>9.1881885870144586</v>
      </c>
      <c r="U39" s="4">
        <f ca="1">(+S39*T39/100)/100</f>
        <v>0.14798988583429634</v>
      </c>
      <c r="V39" s="4">
        <f>regDebt_weighted</f>
        <v>3.5860000000000003E-2</v>
      </c>
      <c r="W39" s="4">
        <f ca="1">+U39-V39</f>
        <v>0.11212988583429634</v>
      </c>
      <c r="X39" s="4">
        <f ca="1">+((W39*(1-0.34))-Pfd_weighted)/Equity_percent</f>
        <v>0.19713873444952201</v>
      </c>
      <c r="Y39" s="4">
        <f ca="1">+X39*equityP</f>
        <v>0.1182832406697132</v>
      </c>
      <c r="Z39" s="4">
        <f ca="1">+Y39/(1-taxrate)</f>
        <v>0.14972562110090279</v>
      </c>
      <c r="AA39" s="4">
        <f>debtP*Debt_Rate</f>
        <v>2.0000000000000004E-2</v>
      </c>
      <c r="AB39" s="4">
        <f ca="1">+AA39+Z39</f>
        <v>0.16972562110090278</v>
      </c>
      <c r="AC39" s="4">
        <f ca="1">+AB39/(S39/100)</f>
        <v>0.1053768645020369</v>
      </c>
      <c r="AD39" s="4">
        <f ca="1">1-AC39</f>
        <v>0.89462313549796313</v>
      </c>
      <c r="AE39" s="124">
        <f ca="1">expenses/(AD39)</f>
        <v>1099095.0409807202</v>
      </c>
      <c r="AF39" s="125">
        <f ca="1">+AE39-Revenue</f>
        <v>210170.46098072012</v>
      </c>
      <c r="AG39" s="126">
        <f ca="1">+AF39/$J$49</f>
        <v>241223.7902622493</v>
      </c>
      <c r="AH39" s="126">
        <f ca="1">+AG39*$J$47</f>
        <v>5572.2695550579583</v>
      </c>
      <c r="AI39" s="124">
        <f ca="1">ROUND(+AH39+AE39,5)</f>
        <v>1104667.31054</v>
      </c>
    </row>
    <row r="40" spans="1:46" ht="15.75">
      <c r="A40" s="43"/>
      <c r="B40" s="43"/>
      <c r="C40" s="43"/>
      <c r="D40" s="43"/>
      <c r="E40" s="43"/>
      <c r="F40" s="142">
        <f t="shared" si="0"/>
        <v>34</v>
      </c>
      <c r="G40" s="74"/>
      <c r="H40" s="72"/>
      <c r="I40" s="72"/>
      <c r="J40" s="72"/>
      <c r="K40" s="72"/>
      <c r="L40" s="72"/>
      <c r="M40" s="72"/>
      <c r="N40" s="72"/>
      <c r="O40" s="43"/>
      <c r="P40" s="43"/>
      <c r="X40" s="13"/>
      <c r="Y40" s="14"/>
      <c r="Z40" s="10"/>
      <c r="AA40" s="13"/>
      <c r="AC40" s="13"/>
      <c r="AD40" s="13"/>
      <c r="AE40" s="10"/>
      <c r="AF40" s="9"/>
      <c r="AH40" s="10"/>
    </row>
    <row r="41" spans="1:46" ht="15.75">
      <c r="A41" s="43"/>
      <c r="B41" s="43"/>
      <c r="C41" s="43"/>
      <c r="D41" s="43"/>
      <c r="E41" s="43"/>
      <c r="F41" s="142">
        <f t="shared" si="0"/>
        <v>35</v>
      </c>
      <c r="G41" s="72"/>
      <c r="H41" s="102" t="s">
        <v>61</v>
      </c>
      <c r="I41" s="94"/>
      <c r="J41" s="72"/>
      <c r="K41" s="72"/>
      <c r="L41" s="72"/>
      <c r="M41" s="72"/>
      <c r="N41" s="72"/>
      <c r="O41" s="43"/>
      <c r="P41" s="43"/>
      <c r="R41" s="28" t="s">
        <v>59</v>
      </c>
      <c r="S41" s="29"/>
      <c r="T41" s="15"/>
      <c r="U41" s="15"/>
      <c r="V41" s="16"/>
      <c r="X41" s="12"/>
      <c r="Y41" s="14"/>
      <c r="Z41" s="10"/>
      <c r="AA41" s="13"/>
      <c r="AC41" s="13"/>
      <c r="AD41" s="13"/>
      <c r="AE41" s="10"/>
      <c r="AF41" s="9"/>
      <c r="AH41" s="10"/>
    </row>
    <row r="42" spans="1:46" ht="15.75">
      <c r="A42" s="43"/>
      <c r="B42" s="43"/>
      <c r="C42" s="43"/>
      <c r="D42" s="43"/>
      <c r="E42" s="43"/>
      <c r="F42" s="142">
        <f t="shared" si="0"/>
        <v>36</v>
      </c>
      <c r="G42" s="72"/>
      <c r="H42" s="72"/>
      <c r="I42" s="72"/>
      <c r="J42" s="108" t="s">
        <v>48</v>
      </c>
      <c r="K42" s="196" t="s">
        <v>20</v>
      </c>
      <c r="L42" s="72"/>
      <c r="M42" s="72"/>
      <c r="N42" s="72"/>
      <c r="O42" s="43"/>
      <c r="P42" s="43"/>
      <c r="R42" s="30" t="s">
        <v>60</v>
      </c>
      <c r="S42" s="31"/>
      <c r="T42" s="17"/>
      <c r="U42" s="17"/>
      <c r="V42" s="18"/>
      <c r="X42" s="13"/>
      <c r="Y42" s="14"/>
      <c r="Z42" s="10"/>
      <c r="AA42" s="13"/>
      <c r="AC42" s="13"/>
      <c r="AD42" s="13"/>
      <c r="AE42" s="10"/>
      <c r="AH42" s="10"/>
    </row>
    <row r="43" spans="1:46" ht="15.75">
      <c r="A43" s="43"/>
      <c r="B43" s="43"/>
      <c r="C43" s="43"/>
      <c r="D43" s="43"/>
      <c r="E43" s="43"/>
      <c r="F43" s="142">
        <f t="shared" si="0"/>
        <v>37</v>
      </c>
      <c r="G43" s="72"/>
      <c r="H43" s="76" t="s">
        <v>62</v>
      </c>
      <c r="I43" s="75"/>
      <c r="J43" s="127">
        <f>IF($A$65=TRUE,C11,0)</f>
        <v>1.7999999999999999E-2</v>
      </c>
      <c r="K43" s="128">
        <f ca="1">+J43*($J$7/$J$49)</f>
        <v>4362.1770009936672</v>
      </c>
      <c r="L43" s="72"/>
      <c r="M43" s="72"/>
      <c r="N43" s="72"/>
      <c r="O43" s="43"/>
      <c r="P43" s="43"/>
      <c r="R43" s="5">
        <v>0</v>
      </c>
      <c r="S43" s="32">
        <v>1</v>
      </c>
      <c r="T43" s="17"/>
      <c r="U43" s="19" t="s">
        <v>56</v>
      </c>
      <c r="V43" s="20">
        <f ca="1">VLOOKUP(R49,R36:AE39,12)</f>
        <v>0.10616572640372568</v>
      </c>
      <c r="AA43" s="13"/>
      <c r="AC43" s="13"/>
      <c r="AH43" s="10"/>
      <c r="AL43" s="13"/>
      <c r="AM43" s="13"/>
      <c r="AN43" s="13"/>
      <c r="AO43" s="13"/>
      <c r="AP43" s="13"/>
      <c r="AQ43" s="13"/>
      <c r="AR43" s="13"/>
      <c r="AS43" s="13"/>
      <c r="AT43" s="13"/>
    </row>
    <row r="44" spans="1:46" ht="15.75">
      <c r="A44" s="43"/>
      <c r="B44" s="43"/>
      <c r="C44" s="43"/>
      <c r="D44" s="43"/>
      <c r="E44" s="43"/>
      <c r="F44" s="142">
        <f t="shared" si="0"/>
        <v>38</v>
      </c>
      <c r="G44" s="72"/>
      <c r="H44" s="76" t="s">
        <v>63</v>
      </c>
      <c r="I44" s="75"/>
      <c r="J44" s="127">
        <f>IF($A$65=TRUE,C12,0)</f>
        <v>5.1000000000000004E-3</v>
      </c>
      <c r="K44" s="128">
        <f ca="1">+J44*($J$7/$J$49)</f>
        <v>1235.9501502815392</v>
      </c>
      <c r="L44" s="72"/>
      <c r="M44" s="72"/>
      <c r="N44" s="72"/>
      <c r="O44" s="43"/>
      <c r="P44" s="43"/>
      <c r="R44" s="5">
        <v>50</v>
      </c>
      <c r="S44" s="32">
        <v>2</v>
      </c>
      <c r="T44" s="17"/>
      <c r="U44" s="19" t="s">
        <v>31</v>
      </c>
      <c r="V44" s="20">
        <f ca="1">ROUND(1-V43,5)</f>
        <v>0.89383000000000001</v>
      </c>
      <c r="Y44" s="66"/>
      <c r="Z44" s="1"/>
      <c r="AA44" s="1"/>
      <c r="AC44" s="13"/>
      <c r="AF44" s="9"/>
      <c r="AH44" s="10"/>
      <c r="AL44" s="13"/>
      <c r="AM44" s="13"/>
      <c r="AN44" s="13"/>
      <c r="AO44" s="13"/>
      <c r="AP44" s="13"/>
      <c r="AQ44" s="13"/>
      <c r="AR44" s="13"/>
      <c r="AS44" s="13"/>
      <c r="AT44" s="13"/>
    </row>
    <row r="45" spans="1:46" ht="15.75">
      <c r="A45" s="43"/>
      <c r="B45" s="43"/>
      <c r="C45" s="43"/>
      <c r="D45" s="43"/>
      <c r="E45" s="43"/>
      <c r="F45" s="142">
        <f t="shared" si="0"/>
        <v>39</v>
      </c>
      <c r="G45" s="72"/>
      <c r="H45" s="76" t="s">
        <v>66</v>
      </c>
      <c r="I45" s="75"/>
      <c r="J45" s="127">
        <f>IF($A$65=TRUE,C13,0)</f>
        <v>0</v>
      </c>
      <c r="K45" s="128">
        <f ca="1">+J45*($J$7/$J$49)</f>
        <v>0</v>
      </c>
      <c r="L45" s="72"/>
      <c r="M45" s="72"/>
      <c r="N45" s="72"/>
      <c r="O45" s="43"/>
      <c r="P45" s="43"/>
      <c r="R45" s="5">
        <v>125</v>
      </c>
      <c r="S45" s="32">
        <v>3</v>
      </c>
      <c r="T45" s="17"/>
      <c r="U45" s="151" t="s">
        <v>107</v>
      </c>
      <c r="V45" s="168">
        <f ca="1">+M7/Revenue-1</f>
        <v>0.24382705731750365</v>
      </c>
      <c r="W45" s="11"/>
      <c r="X45" s="13"/>
      <c r="Y45" s="66"/>
      <c r="Z45" s="10"/>
      <c r="AA45" s="13"/>
      <c r="AC45" s="13"/>
      <c r="AD45" s="13"/>
      <c r="AE45" s="10"/>
      <c r="AF45" s="9"/>
      <c r="AH45" s="10"/>
      <c r="AL45" s="13"/>
      <c r="AM45" s="13"/>
      <c r="AN45" s="13"/>
      <c r="AO45" s="13"/>
      <c r="AP45" s="13"/>
      <c r="AQ45" s="13"/>
      <c r="AR45" s="13"/>
      <c r="AS45" s="13"/>
      <c r="AT45" s="13"/>
    </row>
    <row r="46" spans="1:46" ht="15.75">
      <c r="A46" s="43"/>
      <c r="B46" s="43"/>
      <c r="C46" s="43"/>
      <c r="D46" s="43"/>
      <c r="E46" s="43"/>
      <c r="F46" s="142">
        <f t="shared" si="0"/>
        <v>40</v>
      </c>
      <c r="G46" s="72"/>
      <c r="H46" s="76" t="s">
        <v>69</v>
      </c>
      <c r="I46" s="75"/>
      <c r="J46" s="127">
        <f>IF($A$65=TRUE,C14,0)</f>
        <v>0</v>
      </c>
      <c r="K46" s="128">
        <f ca="1">+J46*($J$7/$J$49)</f>
        <v>0</v>
      </c>
      <c r="L46" s="72"/>
      <c r="M46" s="72"/>
      <c r="N46" s="72"/>
      <c r="O46" s="43"/>
      <c r="P46" s="43"/>
      <c r="R46" s="7">
        <v>401</v>
      </c>
      <c r="S46" s="33">
        <v>4</v>
      </c>
      <c r="T46" s="21"/>
      <c r="U46" s="21"/>
      <c r="V46" s="22"/>
      <c r="X46" s="13"/>
      <c r="Y46" s="14"/>
      <c r="Z46" s="10"/>
      <c r="AA46" s="13"/>
      <c r="AC46" s="13"/>
      <c r="AD46" s="13"/>
      <c r="AE46" s="10"/>
      <c r="AF46" s="9"/>
      <c r="AH46" s="10"/>
      <c r="AL46" s="13"/>
      <c r="AM46" s="13"/>
      <c r="AN46" s="13"/>
      <c r="AO46" s="13"/>
      <c r="AP46" s="13"/>
      <c r="AQ46" s="13"/>
      <c r="AR46" s="13"/>
      <c r="AS46" s="13"/>
      <c r="AT46" s="13"/>
    </row>
    <row r="47" spans="1:46" ht="16.5" thickBot="1">
      <c r="A47" s="43"/>
      <c r="B47" s="43"/>
      <c r="C47" s="43"/>
      <c r="D47" s="43"/>
      <c r="E47" s="43"/>
      <c r="F47" s="142">
        <f t="shared" si="0"/>
        <v>41</v>
      </c>
      <c r="G47" s="72"/>
      <c r="H47" s="76" t="s">
        <v>71</v>
      </c>
      <c r="I47" s="74"/>
      <c r="J47" s="137">
        <f>SUM(J43:J46)</f>
        <v>2.3099999999999999E-2</v>
      </c>
      <c r="K47" s="136">
        <f ca="1">+K43+K44+K45+K46</f>
        <v>5598.1271512752064</v>
      </c>
      <c r="L47" s="72"/>
      <c r="M47" s="72"/>
      <c r="N47" s="72"/>
      <c r="O47" s="43"/>
      <c r="P47" s="43"/>
      <c r="R47" s="5"/>
      <c r="S47" s="172"/>
      <c r="T47" s="17"/>
      <c r="U47" s="17"/>
      <c r="V47" s="17"/>
      <c r="X47" s="13"/>
      <c r="Y47" s="14"/>
      <c r="Z47" s="10"/>
      <c r="AA47" s="13"/>
      <c r="AC47" s="13"/>
      <c r="AD47" s="13"/>
      <c r="AE47" s="10"/>
      <c r="AF47" s="9"/>
      <c r="AH47" s="10"/>
      <c r="AL47" s="13"/>
      <c r="AM47" s="13"/>
      <c r="AN47" s="13"/>
      <c r="AO47" s="13"/>
      <c r="AP47" s="13"/>
      <c r="AQ47" s="13"/>
      <c r="AR47" s="13"/>
      <c r="AS47" s="13"/>
      <c r="AT47" s="13"/>
    </row>
    <row r="48" spans="1:46" ht="16.5" thickTop="1">
      <c r="A48" s="43"/>
      <c r="B48" s="43"/>
      <c r="C48" s="43"/>
      <c r="D48" s="43"/>
      <c r="E48" s="43"/>
      <c r="F48" s="142">
        <f t="shared" si="0"/>
        <v>42</v>
      </c>
      <c r="G48" s="72"/>
      <c r="H48" s="76"/>
      <c r="I48" s="74"/>
      <c r="J48" s="171"/>
      <c r="K48" s="105"/>
      <c r="L48" s="72"/>
      <c r="M48" s="72"/>
      <c r="N48" s="72"/>
      <c r="O48" s="43"/>
      <c r="P48" s="43"/>
      <c r="R48" s="147">
        <f ca="1">VLOOKUP(R49,R36:S39,2)</f>
        <v>161.21053766678671</v>
      </c>
      <c r="S48" s="148" t="s">
        <v>64</v>
      </c>
      <c r="T48" s="16"/>
      <c r="V48" s="163"/>
      <c r="X48" t="s">
        <v>65</v>
      </c>
      <c r="AC48" s="13"/>
      <c r="AF48" s="9"/>
      <c r="AH48" s="10"/>
    </row>
    <row r="49" spans="1:46" ht="15.75">
      <c r="A49" s="43"/>
      <c r="B49" s="43"/>
      <c r="C49" s="43"/>
      <c r="D49" s="43"/>
      <c r="E49" s="43"/>
      <c r="F49" s="142">
        <f t="shared" si="0"/>
        <v>43</v>
      </c>
      <c r="G49" s="178"/>
      <c r="H49" s="197" t="s">
        <v>73</v>
      </c>
      <c r="I49" s="100"/>
      <c r="J49" s="198">
        <f ca="1">((K35)-J47)</f>
        <v>0.87126755098338693</v>
      </c>
      <c r="K49" s="100"/>
      <c r="L49" s="100"/>
      <c r="M49" s="100"/>
      <c r="N49" s="100"/>
      <c r="O49" s="43"/>
      <c r="P49" s="43"/>
      <c r="R49" s="149">
        <f ca="1">VLOOKUP(S36,R43:S46,2)</f>
        <v>3</v>
      </c>
      <c r="S49" s="150" t="s">
        <v>67</v>
      </c>
      <c r="T49" s="18"/>
      <c r="X49" t="s">
        <v>68</v>
      </c>
      <c r="AA49" s="1"/>
      <c r="AC49" s="13"/>
      <c r="AH49" s="10"/>
    </row>
    <row r="50" spans="1:46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7"/>
      <c r="L50" s="43"/>
      <c r="M50" s="43"/>
      <c r="N50" s="48"/>
      <c r="O50" s="43"/>
      <c r="P50" s="43"/>
      <c r="R50" s="149"/>
      <c r="S50" s="151"/>
      <c r="T50" s="18"/>
      <c r="X50" t="s">
        <v>70</v>
      </c>
      <c r="AA50" s="13"/>
      <c r="AC50" s="13"/>
      <c r="AD50" s="13"/>
      <c r="AE50" s="10"/>
      <c r="AH50" s="10"/>
    </row>
    <row r="51" spans="1:46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7"/>
      <c r="L51" s="43"/>
      <c r="M51" s="43"/>
      <c r="N51" s="48"/>
      <c r="O51" s="43"/>
      <c r="P51" s="43"/>
      <c r="R51" s="152">
        <f ca="1">+V44</f>
        <v>0.89383000000000001</v>
      </c>
      <c r="S51" s="146" t="s">
        <v>31</v>
      </c>
      <c r="T51" s="26"/>
      <c r="X51" t="s">
        <v>72</v>
      </c>
      <c r="AA51" s="13"/>
      <c r="AC51" s="13"/>
      <c r="AD51" s="13"/>
      <c r="AE51" s="10"/>
      <c r="AF51" s="13"/>
      <c r="AH51" s="10"/>
      <c r="AL51" s="13"/>
      <c r="AM51" s="13"/>
      <c r="AN51" s="13"/>
      <c r="AO51" s="13"/>
      <c r="AP51" s="13"/>
      <c r="AQ51" s="13"/>
      <c r="AR51" s="13"/>
      <c r="AS51" s="13"/>
      <c r="AT51" s="13"/>
    </row>
    <row r="52" spans="1:46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Z52" s="10"/>
      <c r="AA52" s="13"/>
      <c r="AC52" s="13"/>
      <c r="AD52" s="13"/>
      <c r="AE52" s="10"/>
      <c r="AF52" s="9"/>
      <c r="AH52" s="10"/>
      <c r="AL52" s="13"/>
      <c r="AM52" s="13"/>
      <c r="AN52" s="13"/>
      <c r="AO52" s="13"/>
      <c r="AP52" s="13"/>
      <c r="AQ52" s="13"/>
      <c r="AR52" s="13"/>
      <c r="AS52" s="13"/>
      <c r="AT52" s="13"/>
    </row>
    <row r="53" spans="1:46">
      <c r="A53" s="43"/>
      <c r="B53" s="43"/>
      <c r="C53" s="43"/>
      <c r="D53" s="43"/>
      <c r="E53" s="43"/>
      <c r="F53" s="43"/>
      <c r="G53" s="43"/>
      <c r="H53" s="43"/>
      <c r="I53" s="43"/>
      <c r="J53" s="44"/>
      <c r="K53" s="44"/>
      <c r="L53" s="44"/>
      <c r="M53" s="44"/>
      <c r="N53" s="43"/>
      <c r="O53" s="43"/>
      <c r="P53" s="43"/>
      <c r="R53"/>
      <c r="Z53" s="10"/>
      <c r="AA53" s="13"/>
      <c r="AC53" s="13"/>
      <c r="AD53" s="13"/>
      <c r="AE53" s="10"/>
      <c r="AF53" s="9"/>
      <c r="AH53" s="10"/>
      <c r="AL53" s="13"/>
      <c r="AM53" s="13"/>
      <c r="AN53" s="13"/>
      <c r="AO53" s="13"/>
      <c r="AP53" s="13"/>
      <c r="AQ53" s="13"/>
      <c r="AR53" s="13"/>
      <c r="AS53" s="13"/>
      <c r="AT53" s="13"/>
    </row>
    <row r="54" spans="1:46" ht="15.7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4"/>
      <c r="L54" s="44"/>
      <c r="M54" s="44"/>
      <c r="N54" s="43"/>
      <c r="O54" s="43"/>
      <c r="P54" s="43"/>
      <c r="R54"/>
      <c r="S54" t="s">
        <v>74</v>
      </c>
      <c r="T54" s="13"/>
      <c r="U54" s="23"/>
      <c r="W54" s="68" t="s">
        <v>75</v>
      </c>
      <c r="X54" s="59"/>
      <c r="Y54" s="59"/>
      <c r="Z54" s="59"/>
      <c r="AC54" s="13"/>
      <c r="AF54" s="9"/>
      <c r="AH54" s="10"/>
      <c r="AL54" s="13"/>
      <c r="AM54" s="13"/>
      <c r="AN54" s="13"/>
      <c r="AO54" s="13"/>
      <c r="AP54" s="13"/>
      <c r="AQ54" s="13"/>
      <c r="AR54" s="13"/>
      <c r="AS54" s="13"/>
      <c r="AT54" s="13"/>
    </row>
    <row r="55" spans="1:46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50"/>
      <c r="M55" s="50"/>
      <c r="N55" s="43"/>
      <c r="O55" s="43"/>
      <c r="P55" s="43"/>
      <c r="R55" s="24"/>
      <c r="S55" s="166" t="s">
        <v>46</v>
      </c>
      <c r="T55" s="166" t="s">
        <v>76</v>
      </c>
      <c r="U55" s="167" t="s">
        <v>49</v>
      </c>
      <c r="W55" s="54" t="s">
        <v>77</v>
      </c>
      <c r="X55" s="63">
        <v>5.7225999999999999</v>
      </c>
      <c r="Y55" s="62" t="s">
        <v>78</v>
      </c>
      <c r="Z55" s="65">
        <v>5.6985000000000001</v>
      </c>
      <c r="AA55" s="1"/>
      <c r="AC55" s="13"/>
      <c r="AH55" s="10"/>
    </row>
    <row r="56" spans="1:46">
      <c r="A56" s="43"/>
      <c r="B56" s="43"/>
      <c r="C56" s="43"/>
      <c r="D56" s="43"/>
      <c r="E56" s="43"/>
      <c r="F56" s="43"/>
      <c r="G56" s="43"/>
      <c r="H56" s="43"/>
      <c r="I56" s="43"/>
      <c r="J56" s="50"/>
      <c r="K56" s="43"/>
      <c r="L56" s="50"/>
      <c r="M56" s="50"/>
      <c r="N56" s="43"/>
      <c r="O56" s="43"/>
      <c r="P56" s="43"/>
      <c r="R56" s="25" t="s">
        <v>29</v>
      </c>
      <c r="S56" s="164">
        <v>0.56200000000000006</v>
      </c>
      <c r="T56" s="164">
        <v>6.3799999999999996E-2</v>
      </c>
      <c r="U56" s="20">
        <f>ROUND(+S56*T56,5)</f>
        <v>3.5860000000000003E-2</v>
      </c>
      <c r="W56" s="55" t="s">
        <v>79</v>
      </c>
      <c r="X56" s="64">
        <v>5.7082699999999997</v>
      </c>
      <c r="Y56" s="61" t="s">
        <v>80</v>
      </c>
      <c r="Z56" s="67">
        <v>5.6921999999999997</v>
      </c>
      <c r="AA56" s="13"/>
      <c r="AC56" s="13"/>
      <c r="AD56" s="13"/>
      <c r="AE56" s="10"/>
      <c r="AH56" s="10"/>
    </row>
    <row r="57" spans="1:46">
      <c r="A57" s="43"/>
      <c r="B57" s="43"/>
      <c r="C57" s="43"/>
      <c r="D57" s="43"/>
      <c r="E57" s="44"/>
      <c r="F57" s="43"/>
      <c r="G57" s="43"/>
      <c r="H57" s="43"/>
      <c r="I57" s="43"/>
      <c r="J57" s="50"/>
      <c r="K57" s="43"/>
      <c r="L57" s="50"/>
      <c r="M57" s="50"/>
      <c r="N57" s="43"/>
      <c r="O57" s="43"/>
      <c r="P57" s="43"/>
      <c r="R57" s="25" t="s">
        <v>81</v>
      </c>
      <c r="S57" s="164">
        <v>9.4E-2</v>
      </c>
      <c r="T57" s="164">
        <v>6.59E-2</v>
      </c>
      <c r="U57" s="20">
        <f>ROUND(+S57*T57,5)</f>
        <v>6.1900000000000002E-3</v>
      </c>
      <c r="W57" s="25"/>
      <c r="X57" s="17"/>
      <c r="Y57" s="60"/>
      <c r="Z57" s="56"/>
      <c r="AA57" s="13"/>
      <c r="AC57" s="13"/>
      <c r="AD57" s="13"/>
      <c r="AE57" s="10"/>
      <c r="AF57" s="9"/>
      <c r="AH57" s="10"/>
      <c r="AL57" s="13"/>
    </row>
    <row r="58" spans="1:46" ht="15.75">
      <c r="A58" s="43"/>
      <c r="B58" s="43"/>
      <c r="C58" s="43"/>
      <c r="D58" s="43"/>
      <c r="E58" s="44"/>
      <c r="F58" s="44"/>
      <c r="G58" s="44"/>
      <c r="H58" s="51"/>
      <c r="I58" s="44"/>
      <c r="J58" s="50"/>
      <c r="K58" s="43"/>
      <c r="L58" s="43"/>
      <c r="M58" s="43"/>
      <c r="N58" s="43"/>
      <c r="O58" s="43"/>
      <c r="P58" s="43"/>
      <c r="R58" s="25" t="s">
        <v>27</v>
      </c>
      <c r="S58" s="165">
        <v>0.34399999999999997</v>
      </c>
      <c r="T58" s="111"/>
      <c r="U58" s="112"/>
      <c r="W58" s="27"/>
      <c r="X58" s="57" t="s">
        <v>82</v>
      </c>
      <c r="Y58" s="69">
        <v>0.68367</v>
      </c>
      <c r="Z58" s="58"/>
      <c r="AA58" s="13"/>
      <c r="AC58" s="13"/>
      <c r="AD58" s="13"/>
      <c r="AE58" s="10"/>
      <c r="AF58" s="9"/>
      <c r="AH58" s="10"/>
    </row>
    <row r="59" spans="1:46" ht="15.7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R59" s="27"/>
      <c r="S59" s="165">
        <f>SUM(S56:S58)</f>
        <v>1</v>
      </c>
      <c r="T59" s="113"/>
      <c r="U59" s="114"/>
      <c r="X59" s="13"/>
      <c r="Y59" s="14"/>
      <c r="Z59" s="10"/>
      <c r="AA59" s="13"/>
      <c r="AC59" s="13"/>
      <c r="AD59" s="13"/>
      <c r="AE59" s="10"/>
      <c r="AF59" s="9"/>
      <c r="AH59" s="10"/>
    </row>
    <row r="60" spans="1:46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X60" s="53"/>
      <c r="AC60" s="13"/>
      <c r="AF60" s="9"/>
      <c r="AH60" s="10"/>
      <c r="AL60" s="9"/>
      <c r="AM60" s="9"/>
      <c r="AN60" s="9"/>
      <c r="AO60" s="9"/>
      <c r="AP60" s="9"/>
      <c r="AQ60" s="9"/>
      <c r="AR60" s="9"/>
      <c r="AS60" s="9"/>
      <c r="AT60" s="9"/>
    </row>
    <row r="61" spans="1:46">
      <c r="A61" s="43"/>
      <c r="B61" s="43"/>
      <c r="C61" s="43"/>
      <c r="D61" s="43"/>
      <c r="E61" s="44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W61" s="154" t="s">
        <v>51</v>
      </c>
      <c r="X61" s="155"/>
      <c r="Y61" s="163" t="s">
        <v>52</v>
      </c>
      <c r="Z61" s="153" t="s">
        <v>17</v>
      </c>
      <c r="AC61" s="13"/>
      <c r="AH61" s="10"/>
      <c r="AL61" s="9"/>
      <c r="AM61" s="9"/>
      <c r="AN61" s="9"/>
      <c r="AO61" s="9"/>
      <c r="AP61" s="9"/>
      <c r="AQ61" s="9"/>
      <c r="AR61" s="9"/>
      <c r="AS61" s="9"/>
      <c r="AT61" s="9"/>
    </row>
    <row r="62" spans="1:46">
      <c r="A62" s="43"/>
      <c r="B62" s="43"/>
      <c r="C62" s="43"/>
      <c r="D62" s="43"/>
      <c r="E62" s="43"/>
      <c r="F62" s="44"/>
      <c r="G62" s="44"/>
      <c r="H62" s="44"/>
      <c r="I62" s="44"/>
      <c r="J62" s="44"/>
      <c r="K62" s="44"/>
      <c r="L62" s="44"/>
      <c r="M62" s="44"/>
      <c r="N62" s="44"/>
      <c r="O62" s="43"/>
      <c r="P62" s="43"/>
      <c r="W62" s="156"/>
      <c r="X62" s="109"/>
      <c r="Y62" s="109"/>
      <c r="Z62" s="157"/>
      <c r="AC62" s="13"/>
      <c r="AD62" s="13"/>
      <c r="AE62" s="10"/>
      <c r="AH62" s="10"/>
      <c r="AL62" s="9"/>
      <c r="AM62" s="9"/>
      <c r="AN62" s="9"/>
      <c r="AO62" s="9"/>
      <c r="AP62" s="9"/>
      <c r="AQ62" s="9"/>
      <c r="AR62" s="9"/>
      <c r="AS62" s="9"/>
      <c r="AT62" s="9"/>
    </row>
    <row r="63" spans="1:46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W63" s="25" t="s">
        <v>54</v>
      </c>
      <c r="X63" s="109"/>
      <c r="Y63" s="20">
        <f t="shared" ref="Y63:Y68" ca="1" si="1">+J33</f>
        <v>0.17029147841529813</v>
      </c>
      <c r="Z63" s="20">
        <f t="shared" ref="Z63:Z68" ca="1" si="2">+K33</f>
        <v>0.13873026794808552</v>
      </c>
      <c r="AC63" s="13"/>
      <c r="AD63" s="13"/>
      <c r="AE63" s="10"/>
      <c r="AF63" s="9"/>
      <c r="AH63" s="10"/>
      <c r="AL63" s="9"/>
      <c r="AM63" s="9"/>
      <c r="AN63" s="9"/>
      <c r="AO63" s="9"/>
      <c r="AP63" s="9"/>
      <c r="AQ63" s="9"/>
      <c r="AR63" s="9"/>
      <c r="AS63" s="9"/>
      <c r="AT63" s="9"/>
    </row>
    <row r="64" spans="1:46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W64" s="25" t="s">
        <v>55</v>
      </c>
      <c r="X64" s="109"/>
      <c r="Y64" s="20">
        <f t="shared" ca="1" si="1"/>
        <v>0.2504857973588302</v>
      </c>
      <c r="Z64" s="20">
        <f t="shared" ca="1" si="2"/>
        <v>0.19788377991347586</v>
      </c>
      <c r="AC64" s="13"/>
      <c r="AD64" s="13"/>
      <c r="AE64" s="10"/>
      <c r="AF64" s="9"/>
      <c r="AH64" s="10"/>
    </row>
    <row r="65" spans="1:38">
      <c r="A65" t="b">
        <v>1</v>
      </c>
      <c r="F65" s="43"/>
      <c r="G65" s="43"/>
      <c r="H65" s="43"/>
      <c r="I65" s="43"/>
      <c r="J65" s="43"/>
      <c r="K65" s="43"/>
      <c r="L65" s="43"/>
      <c r="M65" s="43"/>
      <c r="N65" s="43"/>
      <c r="W65" s="25" t="s">
        <v>31</v>
      </c>
      <c r="X65" s="109"/>
      <c r="Y65" s="20">
        <f t="shared" ca="1" si="1"/>
        <v>0.89383000000000001</v>
      </c>
      <c r="Z65" s="20">
        <f t="shared" ca="1" si="2"/>
        <v>0.89436755098338694</v>
      </c>
      <c r="AC65" s="13"/>
      <c r="AD65" s="13"/>
      <c r="AE65" s="10"/>
      <c r="AF65" s="9"/>
      <c r="AH65" s="10"/>
    </row>
    <row r="66" spans="1:38">
      <c r="H66" s="9"/>
      <c r="I66" s="9"/>
      <c r="J66" s="9"/>
      <c r="K66" s="9"/>
      <c r="L66" s="9"/>
      <c r="M66" s="9"/>
      <c r="N66" s="9"/>
      <c r="O66" s="9"/>
      <c r="W66" s="25" t="s">
        <v>56</v>
      </c>
      <c r="X66" s="109"/>
      <c r="Y66" s="20">
        <f t="shared" ca="1" si="1"/>
        <v>0.10617000000000001</v>
      </c>
      <c r="Z66" s="20">
        <f t="shared" ca="1" si="2"/>
        <v>0.10617000000000001</v>
      </c>
      <c r="AC66" s="13"/>
      <c r="AF66" s="9"/>
      <c r="AH66" s="10"/>
      <c r="AL66" s="9"/>
    </row>
    <row r="67" spans="1:38">
      <c r="H67" s="9"/>
      <c r="I67" s="9"/>
      <c r="J67" s="9"/>
      <c r="K67" s="9"/>
      <c r="L67" s="9"/>
      <c r="M67" s="9"/>
      <c r="N67" s="9"/>
      <c r="O67" s="9"/>
      <c r="W67" s="25" t="s">
        <v>57</v>
      </c>
      <c r="X67" s="159"/>
      <c r="Y67" s="20">
        <f t="shared" ca="1" si="1"/>
        <v>1.6106535519247875</v>
      </c>
      <c r="Z67" s="20">
        <f t="shared" ca="1" si="2"/>
        <v>1.6106535519247875</v>
      </c>
      <c r="AC67" s="13"/>
      <c r="AH67" s="10"/>
    </row>
    <row r="68" spans="1:38">
      <c r="O68" s="9"/>
      <c r="W68" s="25" t="s">
        <v>58</v>
      </c>
      <c r="X68" s="110"/>
      <c r="Y68" s="20">
        <f t="shared" si="1"/>
        <v>0.21</v>
      </c>
      <c r="Z68" s="20">
        <f t="shared" si="2"/>
        <v>0.21</v>
      </c>
      <c r="AC68" s="13"/>
      <c r="AD68" s="13"/>
      <c r="AE68" s="10"/>
      <c r="AH68" s="10"/>
    </row>
    <row r="69" spans="1:38" ht="15.75">
      <c r="O69" s="9"/>
      <c r="W69" s="25"/>
      <c r="X69" s="17"/>
      <c r="Y69" s="111"/>
      <c r="Z69" s="158"/>
      <c r="AC69" s="13"/>
      <c r="AD69" s="13"/>
      <c r="AE69" s="10"/>
      <c r="AF69" s="9"/>
      <c r="AH69" s="10"/>
    </row>
    <row r="70" spans="1:38">
      <c r="O70" s="9"/>
      <c r="W70" s="27"/>
      <c r="X70" s="160"/>
      <c r="Y70" s="161"/>
      <c r="Z70" s="162"/>
      <c r="AA70" s="13"/>
      <c r="AC70" s="13"/>
      <c r="AD70" s="13"/>
      <c r="AE70" s="10"/>
      <c r="AF70" s="9"/>
      <c r="AH70" s="10"/>
    </row>
    <row r="71" spans="1:38">
      <c r="X71" s="13"/>
      <c r="Y71" s="14"/>
      <c r="Z71" s="10"/>
      <c r="AA71" s="13"/>
      <c r="AC71" s="13"/>
      <c r="AD71" s="13"/>
      <c r="AE71" s="10"/>
      <c r="AF71" s="9"/>
      <c r="AH71" s="10"/>
    </row>
    <row r="72" spans="1:38">
      <c r="AC72" s="13"/>
      <c r="AF72" s="9"/>
      <c r="AH72" s="10"/>
    </row>
    <row r="73" spans="1:38">
      <c r="Y73" s="1"/>
      <c r="Z73" s="1"/>
      <c r="AA73" s="1"/>
      <c r="AC73" s="13"/>
      <c r="AH73" s="10"/>
    </row>
    <row r="74" spans="1:38">
      <c r="X74" s="13"/>
      <c r="Y74" s="14"/>
      <c r="Z74" s="10"/>
      <c r="AA74" s="13"/>
      <c r="AC74" s="13"/>
      <c r="AD74" s="13"/>
      <c r="AE74" s="10"/>
      <c r="AH74" s="10"/>
    </row>
    <row r="75" spans="1:38">
      <c r="X75" s="13"/>
      <c r="Y75" s="14"/>
      <c r="Z75" s="10"/>
      <c r="AA75" s="13"/>
      <c r="AC75" s="13"/>
      <c r="AD75" s="13"/>
      <c r="AE75" s="10"/>
      <c r="AF75" s="9"/>
      <c r="AH75" s="10"/>
    </row>
    <row r="76" spans="1:38">
      <c r="X76" s="13"/>
      <c r="Y76" s="14"/>
      <c r="Z76" s="10"/>
      <c r="AA76" s="13"/>
      <c r="AC76" s="13"/>
      <c r="AD76" s="13"/>
      <c r="AE76" s="10"/>
      <c r="AF76" s="9"/>
      <c r="AH76" s="10"/>
    </row>
    <row r="77" spans="1:38">
      <c r="X77" s="13"/>
      <c r="Y77" s="14"/>
      <c r="Z77" s="10"/>
      <c r="AA77" s="13"/>
      <c r="AC77" s="13"/>
      <c r="AD77" s="13"/>
      <c r="AE77" s="10"/>
      <c r="AF77" s="9"/>
      <c r="AH77" s="10"/>
    </row>
    <row r="78" spans="1:38">
      <c r="AC78" s="13"/>
      <c r="AF78" s="9"/>
      <c r="AH78" s="10"/>
    </row>
    <row r="80" spans="1:38">
      <c r="X80" s="13"/>
      <c r="Y80" s="14"/>
      <c r="Z80" s="10"/>
      <c r="AA80" s="13"/>
      <c r="AD80" s="13"/>
      <c r="AE80" s="10"/>
    </row>
    <row r="81" spans="24:32">
      <c r="X81" s="13"/>
      <c r="Y81" s="14"/>
      <c r="Z81" s="10"/>
      <c r="AA81" s="13"/>
      <c r="AD81" s="13"/>
      <c r="AE81" s="10"/>
      <c r="AF81" s="9"/>
    </row>
    <row r="82" spans="24:32">
      <c r="X82" s="13"/>
      <c r="Y82" s="14"/>
      <c r="Z82" s="10"/>
      <c r="AA82" s="13"/>
      <c r="AD82" s="13"/>
      <c r="AE82" s="10"/>
      <c r="AF82" s="9"/>
    </row>
    <row r="83" spans="24:32">
      <c r="X83" s="13"/>
      <c r="Y83" s="14"/>
      <c r="Z83" s="10"/>
      <c r="AA83" s="13"/>
      <c r="AD83" s="13"/>
      <c r="AE83" s="10"/>
      <c r="AF83" s="9"/>
    </row>
    <row r="84" spans="24:32">
      <c r="AF84" s="9"/>
    </row>
    <row r="86" spans="24:32">
      <c r="X86" s="13"/>
      <c r="Y86" s="14"/>
      <c r="Z86" s="10"/>
      <c r="AA86" s="13"/>
      <c r="AD86" s="13"/>
      <c r="AE86" s="10"/>
    </row>
    <row r="87" spans="24:32">
      <c r="X87" s="13"/>
      <c r="Y87" s="14"/>
      <c r="Z87" s="10"/>
      <c r="AA87" s="13"/>
      <c r="AD87" s="13"/>
      <c r="AE87" s="10"/>
      <c r="AF87" s="9"/>
    </row>
    <row r="88" spans="24:32">
      <c r="X88" s="13"/>
      <c r="Y88" s="14"/>
      <c r="Z88" s="10"/>
      <c r="AA88" s="13"/>
      <c r="AD88" s="13"/>
      <c r="AE88" s="10"/>
      <c r="AF88" s="9"/>
    </row>
    <row r="89" spans="24:32">
      <c r="X89" s="13"/>
      <c r="Y89" s="14"/>
      <c r="Z89" s="10"/>
      <c r="AA89" s="13"/>
      <c r="AD89" s="13"/>
      <c r="AE89" s="10"/>
      <c r="AF89" s="9"/>
    </row>
    <row r="90" spans="24:32">
      <c r="AF90" s="9"/>
    </row>
    <row r="92" spans="24:32">
      <c r="X92" s="13"/>
      <c r="Y92" s="14"/>
      <c r="Z92" s="10"/>
      <c r="AA92" s="13"/>
      <c r="AD92" s="13"/>
      <c r="AE92" s="10"/>
    </row>
    <row r="93" spans="24:32">
      <c r="X93" s="13"/>
      <c r="Y93" s="14"/>
      <c r="Z93" s="10"/>
      <c r="AA93" s="13"/>
      <c r="AD93" s="13"/>
      <c r="AE93" s="10"/>
      <c r="AF93" s="9"/>
    </row>
    <row r="94" spans="24:32">
      <c r="X94" s="13"/>
      <c r="Y94" s="14"/>
      <c r="Z94" s="10"/>
      <c r="AA94" s="13"/>
      <c r="AD94" s="13"/>
      <c r="AE94" s="10"/>
      <c r="AF94" s="9"/>
    </row>
    <row r="95" spans="24:32">
      <c r="X95" s="13"/>
      <c r="Y95" s="14"/>
      <c r="Z95" s="10"/>
      <c r="AA95" s="13"/>
      <c r="AD95" s="13"/>
      <c r="AE95" s="10"/>
      <c r="AF95" s="9"/>
    </row>
    <row r="96" spans="24:32">
      <c r="AF96" s="9"/>
    </row>
    <row r="98" spans="24:32">
      <c r="X98" s="13"/>
      <c r="Y98" s="14"/>
      <c r="Z98" s="10"/>
      <c r="AA98" s="13"/>
      <c r="AD98" s="13"/>
      <c r="AE98" s="10"/>
    </row>
    <row r="99" spans="24:32">
      <c r="X99" s="13"/>
      <c r="Y99" s="14"/>
      <c r="Z99" s="10"/>
      <c r="AA99" s="13"/>
      <c r="AD99" s="13"/>
      <c r="AE99" s="10"/>
      <c r="AF99" s="9"/>
    </row>
    <row r="100" spans="24:32">
      <c r="X100" s="13"/>
      <c r="Y100" s="14"/>
      <c r="Z100" s="10"/>
      <c r="AA100" s="13"/>
      <c r="AD100" s="13"/>
      <c r="AE100" s="10"/>
      <c r="AF100" s="9"/>
    </row>
    <row r="101" spans="24:32">
      <c r="X101" s="13"/>
      <c r="Y101" s="14"/>
      <c r="Z101" s="10"/>
      <c r="AA101" s="13"/>
      <c r="AD101" s="13"/>
      <c r="AE101" s="10"/>
      <c r="AF101" s="9"/>
    </row>
    <row r="102" spans="24:32">
      <c r="AF102" s="9"/>
    </row>
    <row r="104" spans="24:32">
      <c r="X104" s="13"/>
      <c r="Y104" s="14"/>
      <c r="Z104" s="10"/>
      <c r="AA104" s="13"/>
      <c r="AD104" s="13"/>
      <c r="AE104" s="10"/>
    </row>
    <row r="105" spans="24:32">
      <c r="X105" s="13"/>
      <c r="Y105" s="14"/>
      <c r="Z105" s="10"/>
      <c r="AA105" s="13"/>
      <c r="AD105" s="13"/>
      <c r="AE105" s="10"/>
      <c r="AF105" s="9"/>
    </row>
    <row r="106" spans="24:32">
      <c r="X106" s="13"/>
      <c r="Y106" s="14"/>
      <c r="Z106" s="10"/>
      <c r="AA106" s="13"/>
      <c r="AD106" s="13"/>
      <c r="AE106" s="10"/>
      <c r="AF106" s="9"/>
    </row>
    <row r="107" spans="24:32">
      <c r="X107" s="13"/>
      <c r="Y107" s="14"/>
      <c r="Z107" s="10"/>
      <c r="AA107" s="13"/>
      <c r="AD107" s="13"/>
      <c r="AE107" s="10"/>
      <c r="AF107" s="9"/>
    </row>
    <row r="108" spans="24:32">
      <c r="AF108" s="9"/>
    </row>
    <row r="110" spans="24:32">
      <c r="X110" s="13"/>
      <c r="Y110" s="14"/>
      <c r="Z110" s="10"/>
      <c r="AA110" s="13"/>
      <c r="AD110" s="13"/>
      <c r="AE110" s="10"/>
    </row>
    <row r="111" spans="24:32">
      <c r="X111" s="13"/>
      <c r="Y111" s="14"/>
      <c r="Z111" s="10"/>
      <c r="AA111" s="13"/>
      <c r="AD111" s="13"/>
      <c r="AE111" s="10"/>
    </row>
    <row r="112" spans="24:32">
      <c r="X112" s="13"/>
      <c r="Y112" s="14"/>
      <c r="Z112" s="10"/>
      <c r="AA112" s="13"/>
      <c r="AD112" s="13"/>
      <c r="AE112" s="10"/>
    </row>
    <row r="113" spans="24:31">
      <c r="X113" s="13"/>
      <c r="Y113" s="14"/>
      <c r="Z113" s="10"/>
      <c r="AA113" s="13"/>
      <c r="AD113" s="13"/>
      <c r="AE113" s="10"/>
    </row>
  </sheetData>
  <mergeCells count="6">
    <mergeCell ref="AF2:AI2"/>
    <mergeCell ref="B2:C2"/>
    <mergeCell ref="B17:C17"/>
    <mergeCell ref="B18:C18"/>
    <mergeCell ref="B15:C15"/>
    <mergeCell ref="C16:D16"/>
  </mergeCells>
  <pageMargins left="0.25" right="0.25" top="0.3" bottom="0.44" header="0.23" footer="0.21"/>
  <pageSetup scale="99" orientation="portrait" r:id="rId1"/>
  <headerFooter alignWithMargins="0"/>
  <ignoredErrors>
    <ignoredError sqref="K43:K47" unlockedFormula="1"/>
  </ignoredErrors>
  <drawing r:id="rId2"/>
  <legacyDrawing r:id="rId3"/>
  <controls>
    <mc:AlternateContent xmlns:mc="http://schemas.openxmlformats.org/markup-compatibility/2006">
      <mc:Choice Requires="x14">
        <control shapeId="2051" r:id="rId4" name="CheckBox1">
          <controlPr defaultSize="0" autoFill="0" autoLine="0" linkedCell="A65" r:id="rId5">
            <anchor moveWithCells="1">
              <from>
                <xdr:col>2</xdr:col>
                <xdr:colOff>95250</xdr:colOff>
                <xdr:row>14</xdr:row>
                <xdr:rowOff>171450</xdr:rowOff>
              </from>
              <to>
                <xdr:col>2</xdr:col>
                <xdr:colOff>352425</xdr:colOff>
                <xdr:row>16</xdr:row>
                <xdr:rowOff>19050</xdr:rowOff>
              </to>
            </anchor>
          </controlPr>
        </control>
      </mc:Choice>
      <mc:Fallback>
        <control shapeId="2051" r:id="rId4" name="CheckBox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"/>
  <sheetViews>
    <sheetView workbookViewId="0">
      <selection activeCell="E11" sqref="E11"/>
    </sheetView>
  </sheetViews>
  <sheetFormatPr defaultRowHeight="15"/>
  <cols>
    <col min="1" max="1" width="10.6640625" style="203" bestFit="1" customWidth="1"/>
    <col min="2" max="2" width="10.44140625" style="203" bestFit="1" customWidth="1"/>
    <col min="3" max="3" width="8.21875" style="203" bestFit="1" customWidth="1"/>
    <col min="4" max="4" width="11.77734375" style="203" bestFit="1" customWidth="1"/>
    <col min="5" max="5" width="8.88671875" style="203"/>
    <col min="6" max="6" width="7.77734375" style="203" bestFit="1" customWidth="1"/>
    <col min="7" max="7" width="11.77734375" style="203" bestFit="1" customWidth="1"/>
    <col min="8" max="8" width="13.5546875" style="203" customWidth="1"/>
    <col min="9" max="9" width="11.77734375" style="203" bestFit="1" customWidth="1"/>
    <col min="10" max="10" width="11.44140625" style="203" bestFit="1" customWidth="1"/>
    <col min="11" max="16384" width="8.88671875" style="203"/>
  </cols>
  <sheetData>
    <row r="1" spans="1:15" ht="15.75">
      <c r="A1" s="231" t="s">
        <v>128</v>
      </c>
      <c r="B1" s="232"/>
      <c r="C1" s="232"/>
      <c r="D1" s="232"/>
      <c r="E1" s="232"/>
      <c r="F1" s="232"/>
      <c r="G1" s="232"/>
      <c r="H1" s="232"/>
      <c r="I1" s="232"/>
      <c r="J1" s="232"/>
      <c r="K1" s="211"/>
      <c r="L1" s="211"/>
      <c r="M1" s="211"/>
      <c r="N1" s="211"/>
      <c r="O1" s="212"/>
    </row>
    <row r="2" spans="1:15" ht="15.75">
      <c r="A2" s="231" t="s">
        <v>309</v>
      </c>
      <c r="B2" s="232"/>
      <c r="C2" s="232"/>
      <c r="D2" s="232"/>
      <c r="E2" s="232"/>
      <c r="F2" s="232"/>
      <c r="G2" s="232"/>
      <c r="H2" s="232"/>
      <c r="I2" s="232"/>
      <c r="J2" s="232"/>
      <c r="K2" s="211"/>
      <c r="L2" s="211"/>
      <c r="M2" s="211"/>
      <c r="N2" s="211"/>
      <c r="O2" s="212"/>
    </row>
    <row r="3" spans="1:15" ht="15.75">
      <c r="A3" s="231" t="s">
        <v>310</v>
      </c>
      <c r="B3" s="232"/>
      <c r="C3" s="232"/>
      <c r="D3" s="232"/>
      <c r="E3" s="232"/>
      <c r="F3" s="232"/>
      <c r="G3" s="232"/>
      <c r="H3" s="232"/>
      <c r="I3" s="232"/>
      <c r="J3" s="232"/>
      <c r="K3" s="211"/>
      <c r="L3" s="211"/>
      <c r="M3" s="211"/>
      <c r="N3" s="211"/>
      <c r="O3" s="212"/>
    </row>
    <row r="4" spans="1:15" ht="30">
      <c r="A4" s="233" t="s">
        <v>311</v>
      </c>
      <c r="B4" s="233" t="s">
        <v>312</v>
      </c>
      <c r="C4" s="234" t="s">
        <v>313</v>
      </c>
      <c r="D4" s="234" t="s">
        <v>314</v>
      </c>
      <c r="E4" s="233" t="s">
        <v>315</v>
      </c>
      <c r="F4" s="234" t="s">
        <v>313</v>
      </c>
      <c r="G4" s="234" t="s">
        <v>316</v>
      </c>
      <c r="H4" s="235" t="s">
        <v>317</v>
      </c>
      <c r="I4" s="234" t="s">
        <v>318</v>
      </c>
      <c r="J4" s="234" t="s">
        <v>319</v>
      </c>
      <c r="K4" s="236"/>
      <c r="L4" s="211"/>
      <c r="M4" s="211"/>
      <c r="N4" s="211"/>
      <c r="O4" s="212"/>
    </row>
    <row r="5" spans="1:15" ht="15.75">
      <c r="A5" s="237">
        <v>43466</v>
      </c>
      <c r="B5" s="238">
        <v>154.66</v>
      </c>
      <c r="C5" s="239">
        <v>74</v>
      </c>
      <c r="D5" s="239">
        <f t="shared" ref="D5:D16" si="0">B5*C5</f>
        <v>11444.84</v>
      </c>
      <c r="E5" s="238">
        <v>4.2949999999999999</v>
      </c>
      <c r="F5" s="239">
        <v>74</v>
      </c>
      <c r="G5" s="239">
        <f t="shared" ref="G5:G16" si="1">E5*F5</f>
        <v>317.83</v>
      </c>
      <c r="H5" s="240">
        <v>11.4</v>
      </c>
      <c r="I5" s="239">
        <f>D5+G5+H5</f>
        <v>11774.07</v>
      </c>
      <c r="J5" s="238">
        <f>B5+E5</f>
        <v>158.95499999999998</v>
      </c>
      <c r="K5" s="241"/>
      <c r="L5" s="242"/>
      <c r="M5" s="211"/>
      <c r="N5" s="211"/>
      <c r="O5" s="212"/>
    </row>
    <row r="6" spans="1:15" ht="15.75">
      <c r="A6" s="237">
        <v>43497</v>
      </c>
      <c r="B6" s="238">
        <v>117.55</v>
      </c>
      <c r="C6" s="239">
        <v>74</v>
      </c>
      <c r="D6" s="239">
        <f t="shared" si="0"/>
        <v>8698.6999999999989</v>
      </c>
      <c r="E6" s="238">
        <v>11.145</v>
      </c>
      <c r="F6" s="239">
        <v>74</v>
      </c>
      <c r="G6" s="239">
        <f t="shared" si="1"/>
        <v>824.73</v>
      </c>
      <c r="H6" s="240"/>
      <c r="I6" s="239">
        <f>D6+G6+H6</f>
        <v>9523.4299999999985</v>
      </c>
      <c r="J6" s="238">
        <f>B6+E6</f>
        <v>128.69499999999999</v>
      </c>
      <c r="K6" s="241"/>
      <c r="L6" s="242"/>
      <c r="M6" s="211"/>
      <c r="N6" s="211"/>
      <c r="O6" s="212"/>
    </row>
    <row r="7" spans="1:15" ht="15.75">
      <c r="A7" s="237">
        <v>43525</v>
      </c>
      <c r="B7" s="238">
        <v>134.04499999999999</v>
      </c>
      <c r="C7" s="239">
        <v>81.5</v>
      </c>
      <c r="D7" s="239">
        <f t="shared" si="0"/>
        <v>10924.6675</v>
      </c>
      <c r="E7" s="238">
        <v>12.47</v>
      </c>
      <c r="F7" s="239">
        <v>81.5</v>
      </c>
      <c r="G7" s="239">
        <f t="shared" si="1"/>
        <v>1016.3050000000001</v>
      </c>
      <c r="H7" s="240"/>
      <c r="I7" s="239">
        <f>D7+G7+H7</f>
        <v>11940.9725</v>
      </c>
      <c r="J7" s="238">
        <f>B7+E7</f>
        <v>146.51499999999999</v>
      </c>
      <c r="K7" s="241"/>
      <c r="L7" s="242"/>
      <c r="M7" s="211"/>
      <c r="N7" s="211"/>
      <c r="O7" s="212"/>
    </row>
    <row r="8" spans="1:15" ht="15.75">
      <c r="A8" s="237">
        <v>43556</v>
      </c>
      <c r="B8" s="243">
        <v>159.91999999999999</v>
      </c>
      <c r="C8" s="239">
        <v>81.5</v>
      </c>
      <c r="D8" s="239">
        <f t="shared" si="0"/>
        <v>13033.48</v>
      </c>
      <c r="E8" s="243">
        <v>67.87</v>
      </c>
      <c r="F8" s="239">
        <v>81.5</v>
      </c>
      <c r="G8" s="239">
        <f t="shared" si="1"/>
        <v>5531.4050000000007</v>
      </c>
      <c r="H8" s="244">
        <v>740</v>
      </c>
      <c r="I8" s="239">
        <f t="shared" ref="I8:I16" si="2">D8+G8+H8</f>
        <v>19304.885000000002</v>
      </c>
      <c r="J8" s="238">
        <f t="shared" ref="J8:J16" si="3">B8+E8</f>
        <v>227.79</v>
      </c>
      <c r="K8" s="241"/>
      <c r="L8" s="242"/>
      <c r="M8" s="211"/>
      <c r="N8" s="211"/>
      <c r="O8" s="212"/>
    </row>
    <row r="9" spans="1:15" ht="15.75">
      <c r="A9" s="237">
        <v>43586</v>
      </c>
      <c r="B9" s="243">
        <v>194.43</v>
      </c>
      <c r="C9" s="239">
        <v>81.5</v>
      </c>
      <c r="D9" s="239">
        <f t="shared" si="0"/>
        <v>15846.045</v>
      </c>
      <c r="E9" s="243">
        <v>40.43</v>
      </c>
      <c r="F9" s="239">
        <v>81.5</v>
      </c>
      <c r="G9" s="239">
        <f t="shared" si="1"/>
        <v>3295.0450000000001</v>
      </c>
      <c r="H9" s="244">
        <v>50</v>
      </c>
      <c r="I9" s="239">
        <f t="shared" si="2"/>
        <v>19191.09</v>
      </c>
      <c r="J9" s="238">
        <f t="shared" si="3"/>
        <v>234.86</v>
      </c>
      <c r="K9" s="241"/>
      <c r="L9" s="242"/>
      <c r="M9" s="211"/>
      <c r="N9" s="211"/>
      <c r="O9" s="212"/>
    </row>
    <row r="10" spans="1:15" ht="15.75">
      <c r="A10" s="237">
        <v>43617</v>
      </c>
      <c r="B10" s="243">
        <v>206.04499999999999</v>
      </c>
      <c r="C10" s="239">
        <v>81.5</v>
      </c>
      <c r="D10" s="239">
        <f t="shared" si="0"/>
        <v>16792.6675</v>
      </c>
      <c r="E10" s="243">
        <v>60.545000000000002</v>
      </c>
      <c r="F10" s="239">
        <v>81.5</v>
      </c>
      <c r="G10" s="239">
        <f t="shared" si="1"/>
        <v>4934.4175000000005</v>
      </c>
      <c r="H10" s="244"/>
      <c r="I10" s="239">
        <f t="shared" si="2"/>
        <v>21727.084999999999</v>
      </c>
      <c r="J10" s="238">
        <f t="shared" si="3"/>
        <v>266.58999999999997</v>
      </c>
      <c r="K10" s="241"/>
      <c r="L10" s="242"/>
      <c r="M10" s="211"/>
      <c r="N10" s="211"/>
      <c r="O10" s="212"/>
    </row>
    <row r="11" spans="1:15" ht="15.75">
      <c r="A11" s="237">
        <v>43647</v>
      </c>
      <c r="B11" s="243">
        <v>243.97</v>
      </c>
      <c r="C11" s="239">
        <v>81.5</v>
      </c>
      <c r="D11" s="239">
        <f t="shared" si="0"/>
        <v>19883.555</v>
      </c>
      <c r="E11" s="243">
        <v>61.52</v>
      </c>
      <c r="F11" s="239">
        <v>81.5</v>
      </c>
      <c r="G11" s="239">
        <f t="shared" si="1"/>
        <v>5013.88</v>
      </c>
      <c r="H11" s="244">
        <v>33</v>
      </c>
      <c r="I11" s="239">
        <f t="shared" si="2"/>
        <v>24930.435000000001</v>
      </c>
      <c r="J11" s="238">
        <f t="shared" si="3"/>
        <v>305.49</v>
      </c>
      <c r="K11" s="241"/>
      <c r="L11" s="242"/>
      <c r="M11" s="211"/>
      <c r="N11" s="211"/>
      <c r="O11" s="212"/>
    </row>
    <row r="12" spans="1:15" ht="15.75">
      <c r="A12" s="237">
        <v>43678</v>
      </c>
      <c r="B12" s="243">
        <v>219</v>
      </c>
      <c r="C12" s="239">
        <v>81.5</v>
      </c>
      <c r="D12" s="239">
        <f t="shared" si="0"/>
        <v>17848.5</v>
      </c>
      <c r="E12" s="243">
        <v>97.68</v>
      </c>
      <c r="F12" s="239">
        <v>81.5</v>
      </c>
      <c r="G12" s="239">
        <f t="shared" si="1"/>
        <v>7960.920000000001</v>
      </c>
      <c r="H12" s="244">
        <v>160</v>
      </c>
      <c r="I12" s="239">
        <f t="shared" si="2"/>
        <v>25969.420000000002</v>
      </c>
      <c r="J12" s="238">
        <f t="shared" si="3"/>
        <v>316.68</v>
      </c>
      <c r="K12" s="241"/>
      <c r="L12" s="242"/>
      <c r="M12" s="211"/>
      <c r="N12" s="211"/>
      <c r="O12" s="212"/>
    </row>
    <row r="13" spans="1:15" ht="15.75">
      <c r="A13" s="237">
        <v>43709</v>
      </c>
      <c r="B13" s="243">
        <v>171.79</v>
      </c>
      <c r="C13" s="239">
        <v>81.5</v>
      </c>
      <c r="D13" s="239">
        <f t="shared" si="0"/>
        <v>14000.885</v>
      </c>
      <c r="E13" s="243">
        <v>62.594999999999999</v>
      </c>
      <c r="F13" s="239">
        <v>81.5</v>
      </c>
      <c r="G13" s="239">
        <f t="shared" si="1"/>
        <v>5101.4925000000003</v>
      </c>
      <c r="H13" s="244">
        <v>50</v>
      </c>
      <c r="I13" s="239">
        <f t="shared" si="2"/>
        <v>19152.377500000002</v>
      </c>
      <c r="J13" s="238">
        <f t="shared" si="3"/>
        <v>234.38499999999999</v>
      </c>
      <c r="K13" s="241"/>
      <c r="L13" s="242"/>
      <c r="M13" s="211"/>
      <c r="N13" s="211"/>
      <c r="O13" s="212"/>
    </row>
    <row r="14" spans="1:15" ht="15.75">
      <c r="A14" s="237">
        <v>43739</v>
      </c>
      <c r="B14" s="243">
        <v>197.97</v>
      </c>
      <c r="C14" s="239">
        <v>81.5</v>
      </c>
      <c r="D14" s="239">
        <f t="shared" si="0"/>
        <v>16134.555</v>
      </c>
      <c r="E14" s="243">
        <v>37.715000000000003</v>
      </c>
      <c r="F14" s="239">
        <v>81.5</v>
      </c>
      <c r="G14" s="239">
        <f t="shared" si="1"/>
        <v>3073.7725000000005</v>
      </c>
      <c r="H14" s="244">
        <v>33</v>
      </c>
      <c r="I14" s="239">
        <f t="shared" si="2"/>
        <v>19241.327499999999</v>
      </c>
      <c r="J14" s="238">
        <f t="shared" si="3"/>
        <v>235.685</v>
      </c>
      <c r="K14" s="241"/>
      <c r="L14" s="242"/>
      <c r="M14" s="211"/>
      <c r="N14" s="211"/>
      <c r="O14" s="212"/>
    </row>
    <row r="15" spans="1:15" ht="15.75">
      <c r="A15" s="237">
        <v>43770</v>
      </c>
      <c r="B15" s="243">
        <v>129.16999999999999</v>
      </c>
      <c r="C15" s="239">
        <v>81.5</v>
      </c>
      <c r="D15" s="239">
        <f t="shared" si="0"/>
        <v>10527.355</v>
      </c>
      <c r="E15" s="243">
        <v>40.945</v>
      </c>
      <c r="F15" s="239">
        <v>81.5</v>
      </c>
      <c r="G15" s="239">
        <f t="shared" si="1"/>
        <v>3337.0174999999999</v>
      </c>
      <c r="H15" s="244">
        <v>110</v>
      </c>
      <c r="I15" s="239">
        <f t="shared" si="2"/>
        <v>13974.372499999999</v>
      </c>
      <c r="J15" s="238">
        <f t="shared" si="3"/>
        <v>170.11499999999998</v>
      </c>
      <c r="K15" s="241"/>
      <c r="L15" s="242"/>
      <c r="M15" s="211"/>
      <c r="N15" s="211"/>
      <c r="O15" s="212"/>
    </row>
    <row r="16" spans="1:15" ht="15.75">
      <c r="A16" s="237">
        <v>43800</v>
      </c>
      <c r="B16" s="243">
        <v>141.68</v>
      </c>
      <c r="C16" s="239">
        <v>81.5</v>
      </c>
      <c r="D16" s="239">
        <f t="shared" si="0"/>
        <v>11546.92</v>
      </c>
      <c r="E16" s="243">
        <v>17.420000000000002</v>
      </c>
      <c r="F16" s="239">
        <v>81.5</v>
      </c>
      <c r="G16" s="239">
        <f t="shared" si="1"/>
        <v>1419.7300000000002</v>
      </c>
      <c r="H16" s="244"/>
      <c r="I16" s="239">
        <f t="shared" si="2"/>
        <v>12966.65</v>
      </c>
      <c r="J16" s="238">
        <f t="shared" si="3"/>
        <v>159.10000000000002</v>
      </c>
      <c r="K16" s="241"/>
      <c r="L16" s="242"/>
      <c r="M16" s="211"/>
      <c r="N16" s="211"/>
      <c r="O16" s="212"/>
    </row>
    <row r="17" spans="1:15" ht="15.75">
      <c r="A17" s="241"/>
      <c r="B17" s="245">
        <f>SUM(B5:B16)</f>
        <v>2070.23</v>
      </c>
      <c r="C17" s="241"/>
      <c r="D17" s="246">
        <f>SUM(D5:D16)</f>
        <v>166682.17000000001</v>
      </c>
      <c r="E17" s="247">
        <f>SUM(E5:E16)</f>
        <v>514.63</v>
      </c>
      <c r="F17" s="241"/>
      <c r="G17" s="246">
        <f>SUM(G5:G16)</f>
        <v>41826.545000000013</v>
      </c>
      <c r="H17" s="246">
        <f>SUM(H5:H16)</f>
        <v>1187.4000000000001</v>
      </c>
      <c r="I17" s="246">
        <f>SUM(I5:I16)</f>
        <v>209696.11500000002</v>
      </c>
      <c r="J17" s="241"/>
      <c r="K17" s="241"/>
      <c r="L17" s="211"/>
      <c r="M17" s="211"/>
      <c r="N17" s="211"/>
      <c r="O17" s="212"/>
    </row>
    <row r="18" spans="1:15" ht="15.75">
      <c r="A18" s="241" t="s">
        <v>363</v>
      </c>
      <c r="B18" s="241"/>
      <c r="C18" s="241"/>
      <c r="D18" s="246">
        <f>-D5-D6</f>
        <v>-20143.54</v>
      </c>
      <c r="E18" s="241"/>
      <c r="F18" s="241"/>
      <c r="G18" s="246">
        <f>-G5-G6</f>
        <v>-1142.56</v>
      </c>
      <c r="H18" s="241"/>
      <c r="I18" s="241"/>
      <c r="J18" s="241"/>
      <c r="K18" s="241"/>
      <c r="L18" s="211"/>
      <c r="M18" s="211"/>
      <c r="N18" s="211"/>
      <c r="O18" s="212"/>
    </row>
    <row r="19" spans="1:15" ht="15.75">
      <c r="A19" s="241" t="s">
        <v>364</v>
      </c>
      <c r="B19" s="241"/>
      <c r="C19" s="241"/>
      <c r="D19" s="281">
        <f>(B5+B6)*C7</f>
        <v>22185.114999999998</v>
      </c>
      <c r="E19" s="248"/>
      <c r="F19" s="248"/>
      <c r="G19" s="281">
        <f>(E5+E6)*F7</f>
        <v>1258.3599999999999</v>
      </c>
      <c r="H19" s="241"/>
      <c r="I19" s="241"/>
      <c r="J19" s="241"/>
      <c r="K19" s="241"/>
      <c r="L19" s="211"/>
      <c r="M19" s="211"/>
      <c r="N19" s="211"/>
      <c r="O19" s="212"/>
    </row>
    <row r="20" spans="1:15" ht="15.75">
      <c r="A20" s="211"/>
      <c r="B20" s="211"/>
      <c r="C20" s="211"/>
      <c r="D20" s="242">
        <f>SUM(D17:D19)</f>
        <v>168723.745</v>
      </c>
      <c r="E20" s="211"/>
      <c r="F20" s="211"/>
      <c r="G20" s="242">
        <f>SUM(G17:G19)</f>
        <v>41942.345000000016</v>
      </c>
      <c r="H20" s="211"/>
      <c r="I20" s="211"/>
      <c r="J20" s="211"/>
      <c r="K20" s="211"/>
      <c r="L20" s="211"/>
      <c r="M20" s="211"/>
      <c r="N20" s="211"/>
      <c r="O20" s="212"/>
    </row>
    <row r="21" spans="1:15" ht="15.75">
      <c r="A21" s="211"/>
      <c r="B21" s="211"/>
      <c r="C21" s="230"/>
      <c r="D21" s="249"/>
      <c r="E21" s="230"/>
      <c r="F21" s="230"/>
      <c r="G21" s="249"/>
      <c r="H21" s="230"/>
      <c r="I21" s="230"/>
      <c r="J21" s="211"/>
      <c r="K21" s="211"/>
      <c r="L21" s="211"/>
      <c r="M21" s="211"/>
      <c r="N21" s="211"/>
      <c r="O21" s="212"/>
    </row>
    <row r="22" spans="1:15" ht="15.75">
      <c r="A22" s="211" t="s">
        <v>320</v>
      </c>
      <c r="B22" s="211"/>
      <c r="C22" s="230"/>
      <c r="D22" s="230">
        <f>+D20-D17</f>
        <v>2041.5749999999825</v>
      </c>
      <c r="E22" s="230"/>
      <c r="F22" s="230"/>
      <c r="G22" s="230">
        <f>+G20-G17</f>
        <v>115.80000000000291</v>
      </c>
      <c r="H22" s="230"/>
      <c r="I22" s="230"/>
      <c r="J22" s="211"/>
      <c r="K22" s="211"/>
      <c r="L22" s="211"/>
      <c r="M22" s="211"/>
      <c r="N22" s="211"/>
      <c r="O22" s="212"/>
    </row>
    <row r="23" spans="1:15" ht="15.75">
      <c r="A23" s="211"/>
      <c r="B23" s="211"/>
      <c r="C23" s="230"/>
      <c r="D23" s="230"/>
      <c r="E23" s="230"/>
      <c r="F23" s="230"/>
      <c r="G23" s="230"/>
      <c r="H23" s="230"/>
      <c r="I23" s="230"/>
      <c r="J23" s="211"/>
      <c r="K23" s="211"/>
      <c r="L23" s="211"/>
      <c r="M23" s="211"/>
      <c r="N23" s="211"/>
      <c r="O23" s="212"/>
    </row>
    <row r="24" spans="1:15" ht="15.75">
      <c r="A24" s="211" t="s">
        <v>321</v>
      </c>
      <c r="B24" s="211"/>
      <c r="C24" s="230"/>
      <c r="D24" s="230">
        <f>+D22</f>
        <v>2041.5749999999825</v>
      </c>
      <c r="E24" s="230"/>
      <c r="F24" s="230"/>
      <c r="G24" s="230">
        <f>+G22</f>
        <v>115.80000000000291</v>
      </c>
      <c r="H24" s="230"/>
      <c r="I24" s="230"/>
      <c r="J24" s="211"/>
      <c r="K24" s="211"/>
      <c r="L24" s="211"/>
      <c r="M24" s="211"/>
      <c r="N24" s="211"/>
      <c r="O24" s="212"/>
    </row>
    <row r="25" spans="1:15" ht="15.75">
      <c r="A25" s="211"/>
      <c r="B25" s="211"/>
      <c r="C25" s="230"/>
      <c r="D25" s="230"/>
      <c r="E25" s="230"/>
      <c r="F25" s="230"/>
      <c r="G25" s="230"/>
      <c r="H25" s="230"/>
      <c r="I25" s="230"/>
      <c r="J25" s="211"/>
      <c r="K25" s="211"/>
      <c r="L25" s="211"/>
      <c r="M25" s="211"/>
      <c r="N25" s="211"/>
      <c r="O25" s="212"/>
    </row>
    <row r="26" spans="1:15" ht="15.75">
      <c r="A26" s="211"/>
      <c r="B26" s="211"/>
      <c r="C26" s="230"/>
      <c r="D26" s="230"/>
      <c r="E26" s="230"/>
      <c r="F26" s="230"/>
      <c r="G26" s="230"/>
      <c r="H26" s="230"/>
      <c r="I26" s="230"/>
      <c r="J26" s="211"/>
      <c r="K26" s="211"/>
      <c r="L26" s="211"/>
      <c r="M26" s="211"/>
      <c r="N26" s="211"/>
      <c r="O26" s="212"/>
    </row>
    <row r="27" spans="1:15" ht="15.75">
      <c r="A27" s="211"/>
      <c r="B27" s="211"/>
      <c r="C27" s="230"/>
      <c r="D27" s="230"/>
      <c r="E27" s="230"/>
      <c r="F27" s="230"/>
      <c r="G27" s="230"/>
      <c r="H27" s="230"/>
      <c r="I27" s="230"/>
      <c r="J27" s="211"/>
      <c r="K27" s="211"/>
      <c r="L27" s="211"/>
      <c r="M27" s="211"/>
      <c r="N27" s="211"/>
      <c r="O27" s="212"/>
    </row>
    <row r="28" spans="1:15" ht="15.75">
      <c r="A28" s="211"/>
      <c r="B28" s="211"/>
      <c r="C28" s="230"/>
      <c r="D28" s="230"/>
      <c r="E28" s="230"/>
      <c r="F28" s="230"/>
      <c r="G28" s="230"/>
      <c r="H28" s="230"/>
      <c r="I28" s="230"/>
      <c r="J28" s="211"/>
      <c r="K28" s="211"/>
      <c r="L28" s="211"/>
      <c r="M28" s="211"/>
      <c r="N28" s="211"/>
      <c r="O28" s="212"/>
    </row>
    <row r="29" spans="1:15" ht="15.75">
      <c r="A29" s="211"/>
      <c r="B29" s="211"/>
      <c r="C29" s="230"/>
      <c r="D29" s="230"/>
      <c r="E29" s="230"/>
      <c r="F29" s="230"/>
      <c r="G29" s="230"/>
      <c r="H29" s="230"/>
      <c r="I29" s="230"/>
      <c r="J29" s="211"/>
      <c r="K29" s="211"/>
      <c r="L29" s="211"/>
      <c r="M29" s="211"/>
      <c r="N29" s="211"/>
      <c r="O29" s="212"/>
    </row>
    <row r="30" spans="1:15" ht="15.75">
      <c r="A30" s="212"/>
      <c r="B30" s="212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</row>
    <row r="31" spans="1:15" ht="15.75">
      <c r="A31" s="212"/>
      <c r="B31" s="212"/>
      <c r="C31" s="212"/>
      <c r="D31" s="212"/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</row>
    <row r="32" spans="1:15" ht="15.75">
      <c r="A32" s="212"/>
      <c r="B32" s="212"/>
      <c r="C32" s="212"/>
      <c r="D32" s="212"/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</row>
    <row r="33" spans="1:15" ht="15.75">
      <c r="A33" s="212"/>
      <c r="B33" s="212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</row>
    <row r="34" spans="1:15" ht="15.75">
      <c r="A34" s="212"/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</row>
    <row r="35" spans="1:15" ht="15.75">
      <c r="A35" s="212"/>
      <c r="B35" s="212"/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topLeftCell="A4" workbookViewId="0">
      <selection activeCell="D28" sqref="D28"/>
    </sheetView>
  </sheetViews>
  <sheetFormatPr defaultRowHeight="15"/>
  <cols>
    <col min="1" max="1" width="13.33203125" style="203" customWidth="1"/>
    <col min="2" max="2" width="12.77734375" style="203" customWidth="1"/>
    <col min="3" max="3" width="12.88671875" style="203" customWidth="1"/>
    <col min="4" max="4" width="14.109375" style="203" bestFit="1" customWidth="1"/>
    <col min="5" max="16384" width="8.88671875" style="203"/>
  </cols>
  <sheetData>
    <row r="1" spans="1:6" ht="18">
      <c r="A1" s="352" t="s">
        <v>529</v>
      </c>
      <c r="B1" s="353"/>
      <c r="C1" s="353"/>
      <c r="D1" s="353"/>
      <c r="E1" s="291"/>
      <c r="F1" s="291"/>
    </row>
    <row r="2" spans="1:6" ht="18">
      <c r="A2" s="352" t="s">
        <v>309</v>
      </c>
      <c r="B2" s="353"/>
      <c r="C2" s="353"/>
      <c r="D2" s="353"/>
      <c r="E2" s="291"/>
      <c r="F2" s="291"/>
    </row>
    <row r="3" spans="1:6" ht="18">
      <c r="A3" s="352" t="s">
        <v>530</v>
      </c>
      <c r="B3" s="353"/>
      <c r="C3" s="353"/>
      <c r="D3" s="353"/>
      <c r="E3" s="291"/>
      <c r="F3" s="291"/>
    </row>
    <row r="4" spans="1:6" ht="15.75">
      <c r="A4" s="354" t="s">
        <v>531</v>
      </c>
      <c r="B4" s="354" t="s">
        <v>532</v>
      </c>
      <c r="C4" s="354" t="s">
        <v>533</v>
      </c>
      <c r="D4" s="354" t="s">
        <v>313</v>
      </c>
      <c r="E4" s="291"/>
      <c r="F4" s="291"/>
    </row>
    <row r="5" spans="1:6" ht="15.75">
      <c r="A5" s="355">
        <v>43466</v>
      </c>
      <c r="B5" s="356">
        <v>17.184999999999999</v>
      </c>
      <c r="C5" s="357">
        <v>2238.13</v>
      </c>
      <c r="D5" s="357">
        <f>C5/B5</f>
        <v>130.23741635146931</v>
      </c>
      <c r="E5" s="291"/>
      <c r="F5" s="291"/>
    </row>
    <row r="6" spans="1:6" ht="15.75">
      <c r="A6" s="355">
        <v>43497</v>
      </c>
      <c r="B6" s="356">
        <v>12.984999999999999</v>
      </c>
      <c r="C6" s="357">
        <v>3302.31</v>
      </c>
      <c r="D6" s="357">
        <f>C6/B6</f>
        <v>254.31728917982289</v>
      </c>
      <c r="E6" s="291"/>
      <c r="F6" s="291"/>
    </row>
    <row r="7" spans="1:6" ht="15.75">
      <c r="A7" s="355">
        <v>43525</v>
      </c>
      <c r="B7" s="356">
        <v>7.69</v>
      </c>
      <c r="C7" s="357">
        <v>1596.25</v>
      </c>
      <c r="D7" s="357">
        <f>C7/B7</f>
        <v>207.57477243172951</v>
      </c>
      <c r="E7" s="291"/>
      <c r="F7" s="291"/>
    </row>
    <row r="8" spans="1:6" ht="15.75">
      <c r="A8" s="355">
        <v>43556</v>
      </c>
      <c r="B8" s="356">
        <v>9.73</v>
      </c>
      <c r="C8" s="357">
        <v>4118.7299999999996</v>
      </c>
      <c r="D8" s="357">
        <f>C8/B8</f>
        <v>423.30215827338122</v>
      </c>
      <c r="E8" s="291"/>
      <c r="F8" s="291"/>
    </row>
    <row r="9" spans="1:6" ht="15.75">
      <c r="A9" s="355">
        <v>43586</v>
      </c>
      <c r="B9" s="356">
        <v>23.24</v>
      </c>
      <c r="C9" s="357">
        <v>4011.56</v>
      </c>
      <c r="D9" s="357">
        <f t="shared" ref="D9:D16" si="0">C9/B9</f>
        <v>172.6144578313253</v>
      </c>
      <c r="E9" s="291"/>
      <c r="F9" s="291"/>
    </row>
    <row r="10" spans="1:6" ht="15.75">
      <c r="A10" s="355">
        <v>43617</v>
      </c>
      <c r="B10" s="356">
        <v>16.82</v>
      </c>
      <c r="C10" s="357">
        <v>4499.72</v>
      </c>
      <c r="D10" s="357">
        <f t="shared" si="0"/>
        <v>267.52199762187871</v>
      </c>
      <c r="E10" s="291"/>
      <c r="F10" s="291"/>
    </row>
    <row r="11" spans="1:6" ht="15.75">
      <c r="A11" s="355">
        <v>43647</v>
      </c>
      <c r="B11" s="356">
        <v>21.84</v>
      </c>
      <c r="C11" s="357">
        <v>1667.03</v>
      </c>
      <c r="D11" s="357">
        <f t="shared" si="0"/>
        <v>76.329212454212453</v>
      </c>
      <c r="E11" s="291"/>
      <c r="F11" s="291"/>
    </row>
    <row r="12" spans="1:6" ht="15.75">
      <c r="A12" s="355">
        <v>43678</v>
      </c>
      <c r="B12" s="356">
        <v>18.170000000000002</v>
      </c>
      <c r="C12" s="357">
        <v>5313.21</v>
      </c>
      <c r="D12" s="357">
        <f t="shared" si="0"/>
        <v>292.41662080352228</v>
      </c>
      <c r="E12" s="291"/>
      <c r="F12" s="291"/>
    </row>
    <row r="13" spans="1:6" ht="15.75">
      <c r="A13" s="355">
        <v>43709</v>
      </c>
      <c r="B13" s="356">
        <v>18.55</v>
      </c>
      <c r="C13" s="357">
        <v>6211.97</v>
      </c>
      <c r="D13" s="357">
        <f t="shared" si="0"/>
        <v>334.87708894878705</v>
      </c>
      <c r="E13" s="291"/>
      <c r="F13" s="291"/>
    </row>
    <row r="14" spans="1:6" ht="15.75">
      <c r="A14" s="355">
        <v>43739</v>
      </c>
      <c r="B14" s="356">
        <v>18.510000000000002</v>
      </c>
      <c r="C14" s="357">
        <v>2636.89</v>
      </c>
      <c r="D14" s="357">
        <f t="shared" si="0"/>
        <v>142.45759049162612</v>
      </c>
      <c r="E14" s="291"/>
      <c r="F14" s="291"/>
    </row>
    <row r="15" spans="1:6" ht="15.75">
      <c r="A15" s="355">
        <v>43770</v>
      </c>
      <c r="B15" s="356">
        <v>15.67</v>
      </c>
      <c r="C15" s="357">
        <v>4557.66</v>
      </c>
      <c r="D15" s="357">
        <f t="shared" si="0"/>
        <v>290.85258455647732</v>
      </c>
      <c r="E15" s="291"/>
      <c r="F15" s="291"/>
    </row>
    <row r="16" spans="1:6" ht="15.75">
      <c r="A16" s="355">
        <v>43800</v>
      </c>
      <c r="B16" s="356">
        <v>18.225000000000001</v>
      </c>
      <c r="C16" s="357">
        <v>3713.93</v>
      </c>
      <c r="D16" s="357">
        <f t="shared" si="0"/>
        <v>203.7821673525377</v>
      </c>
      <c r="E16" s="291"/>
      <c r="F16" s="291"/>
    </row>
    <row r="17" spans="1:6">
      <c r="A17" s="291"/>
      <c r="B17" s="291">
        <f>SUM(B5:B16)</f>
        <v>198.61499999999998</v>
      </c>
      <c r="C17" s="358">
        <f>SUM(C5:C16)</f>
        <v>43867.389999999992</v>
      </c>
      <c r="D17" s="359">
        <f>+C17/B17</f>
        <v>220.86645016740928</v>
      </c>
      <c r="E17" s="291"/>
      <c r="F17" s="291"/>
    </row>
    <row r="18" spans="1:6">
      <c r="A18" s="291"/>
      <c r="B18" s="291"/>
      <c r="C18" s="291"/>
      <c r="D18" s="291"/>
      <c r="E18" s="291"/>
      <c r="F18" s="291"/>
    </row>
    <row r="19" spans="1:6" ht="15.75">
      <c r="A19" s="454" t="s">
        <v>534</v>
      </c>
      <c r="B19" s="454"/>
      <c r="C19" s="454"/>
      <c r="D19" s="454"/>
      <c r="E19" s="291"/>
      <c r="F19" s="291"/>
    </row>
    <row r="20" spans="1:6" ht="15.75">
      <c r="A20" s="360" t="s">
        <v>45</v>
      </c>
      <c r="B20" s="360" t="s">
        <v>535</v>
      </c>
      <c r="C20" s="360" t="s">
        <v>419</v>
      </c>
      <c r="D20" s="361"/>
      <c r="E20" s="291"/>
      <c r="F20" s="291"/>
    </row>
    <row r="21" spans="1:6" ht="15.75">
      <c r="A21" s="362" t="s">
        <v>536</v>
      </c>
      <c r="B21" s="357">
        <v>86994.13</v>
      </c>
      <c r="C21" s="363">
        <f>B21/B23</f>
        <v>0.5225019851910544</v>
      </c>
      <c r="D21" s="356"/>
      <c r="E21" s="291"/>
      <c r="F21" s="291"/>
    </row>
    <row r="22" spans="1:6" ht="15.75">
      <c r="A22" s="362" t="s">
        <v>537</v>
      </c>
      <c r="B22" s="357">
        <v>79501.179999999993</v>
      </c>
      <c r="C22" s="363">
        <f>B22/B23</f>
        <v>0.47749801480894566</v>
      </c>
      <c r="D22" s="356"/>
      <c r="E22" s="291"/>
      <c r="F22" s="291"/>
    </row>
    <row r="23" spans="1:6">
      <c r="A23" s="356"/>
      <c r="B23" s="357">
        <f>SUM(B21:B22)</f>
        <v>166495.31</v>
      </c>
      <c r="C23" s="363">
        <f>SUM(C21:C22)</f>
        <v>1</v>
      </c>
      <c r="D23" s="356"/>
      <c r="E23" s="291"/>
      <c r="F23" s="291"/>
    </row>
    <row r="24" spans="1:6">
      <c r="A24" s="291"/>
      <c r="B24" s="291"/>
      <c r="C24" s="291"/>
      <c r="D24" s="291"/>
      <c r="E24" s="291"/>
      <c r="F24" s="291"/>
    </row>
    <row r="25" spans="1:6">
      <c r="A25" s="291" t="s">
        <v>538</v>
      </c>
      <c r="B25" s="291"/>
      <c r="C25" s="291"/>
      <c r="D25" s="291"/>
      <c r="E25" s="291"/>
      <c r="F25" s="291"/>
    </row>
    <row r="26" spans="1:6">
      <c r="A26" s="291"/>
      <c r="B26" s="291"/>
      <c r="C26" s="291"/>
      <c r="D26" s="291"/>
      <c r="E26" s="291"/>
      <c r="F26" s="291"/>
    </row>
    <row r="27" spans="1:6">
      <c r="A27" s="291" t="s">
        <v>539</v>
      </c>
      <c r="B27" s="291"/>
      <c r="C27" s="291"/>
      <c r="D27" s="358">
        <v>240.89</v>
      </c>
      <c r="E27" s="291"/>
      <c r="F27" s="291"/>
    </row>
    <row r="28" spans="1:6">
      <c r="A28" s="291"/>
      <c r="B28" s="291"/>
      <c r="C28" s="291"/>
      <c r="D28" s="291"/>
      <c r="E28" s="291"/>
      <c r="F28" s="291"/>
    </row>
    <row r="29" spans="1:6">
      <c r="A29" s="291" t="s">
        <v>540</v>
      </c>
      <c r="B29" s="291"/>
      <c r="C29" s="291"/>
      <c r="D29" s="364">
        <f>+D27*B17</f>
        <v>47844.367349999993</v>
      </c>
      <c r="E29" s="291"/>
      <c r="F29" s="291"/>
    </row>
    <row r="30" spans="1:6">
      <c r="A30" s="291"/>
      <c r="B30" s="291"/>
      <c r="C30" s="291"/>
      <c r="D30" s="291"/>
      <c r="E30" s="291"/>
      <c r="F30" s="291"/>
    </row>
    <row r="31" spans="1:6">
      <c r="A31" s="291" t="s">
        <v>521</v>
      </c>
      <c r="B31" s="291"/>
      <c r="C31" s="291"/>
      <c r="D31" s="364">
        <f>+D29-C17</f>
        <v>3976.977350000001</v>
      </c>
      <c r="E31" s="291"/>
      <c r="F31" s="291"/>
    </row>
    <row r="32" spans="1:6">
      <c r="A32" s="291"/>
      <c r="B32" s="291"/>
      <c r="C32" s="291"/>
      <c r="D32" s="291"/>
      <c r="E32" s="291"/>
      <c r="F32" s="291"/>
    </row>
    <row r="33" spans="1:6">
      <c r="A33" s="291" t="s">
        <v>541</v>
      </c>
      <c r="B33" s="291"/>
      <c r="C33" s="291"/>
      <c r="D33" s="364"/>
      <c r="E33" s="291"/>
      <c r="F33" s="291"/>
    </row>
    <row r="34" spans="1:6">
      <c r="A34" s="291" t="s">
        <v>289</v>
      </c>
      <c r="B34" s="291"/>
      <c r="C34" s="291"/>
      <c r="D34" s="364">
        <f>+D29*C21</f>
        <v>24998.776920585064</v>
      </c>
      <c r="E34" s="291"/>
      <c r="F34" s="291"/>
    </row>
    <row r="35" spans="1:6">
      <c r="A35" s="291" t="s">
        <v>542</v>
      </c>
      <c r="B35" s="291"/>
      <c r="C35" s="291"/>
      <c r="D35" s="364">
        <f>+D29*C22</f>
        <v>22845.590429414933</v>
      </c>
      <c r="E35" s="291"/>
      <c r="F35" s="291"/>
    </row>
    <row r="36" spans="1:6">
      <c r="A36" s="291"/>
      <c r="B36" s="291"/>
      <c r="C36" s="291"/>
      <c r="D36" s="364"/>
      <c r="E36" s="291"/>
      <c r="F36" s="291"/>
    </row>
  </sheetData>
  <mergeCells count="1">
    <mergeCell ref="A19:D1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J13" sqref="J13"/>
    </sheetView>
  </sheetViews>
  <sheetFormatPr defaultRowHeight="1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DC" shapeId="55297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495300</xdr:colOff>
                <xdr:row>39</xdr:row>
                <xdr:rowOff>114300</xdr:rowOff>
              </to>
            </anchor>
          </objectPr>
        </oleObject>
      </mc:Choice>
      <mc:Fallback>
        <oleObject progId="AcroExch.Document.DC" shapeId="55297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65"/>
  <sheetViews>
    <sheetView workbookViewId="0">
      <pane ySplit="11" topLeftCell="A82" activePane="bottomLeft" state="frozen"/>
      <selection pane="bottomLeft" activeCell="B87" sqref="B87"/>
    </sheetView>
  </sheetViews>
  <sheetFormatPr defaultRowHeight="15"/>
  <cols>
    <col min="1" max="1" width="12.44140625" style="203" customWidth="1"/>
    <col min="2" max="2" width="37.88671875" style="203" customWidth="1"/>
    <col min="3" max="7" width="8.88671875" style="203"/>
    <col min="8" max="8" width="10.5546875" style="203" customWidth="1"/>
    <col min="9" max="10" width="0" style="203" hidden="1" customWidth="1"/>
    <col min="11" max="11" width="8.88671875" style="203"/>
    <col min="12" max="12" width="0" style="203" hidden="1" customWidth="1"/>
    <col min="13" max="13" width="9.5546875" style="203" bestFit="1" customWidth="1"/>
    <col min="14" max="15" width="10.109375" style="203" bestFit="1" customWidth="1"/>
    <col min="16" max="16" width="0" style="203" hidden="1" customWidth="1"/>
    <col min="17" max="17" width="8.88671875" style="203"/>
    <col min="18" max="20" width="0" style="203" hidden="1" customWidth="1"/>
    <col min="21" max="21" width="11.33203125" style="203" customWidth="1"/>
    <col min="22" max="23" width="0" style="203" hidden="1" customWidth="1"/>
    <col min="24" max="24" width="10.88671875" style="203" hidden="1" customWidth="1"/>
    <col min="25" max="25" width="11.33203125" style="203" customWidth="1"/>
    <col min="26" max="26" width="10.21875" style="203" customWidth="1"/>
    <col min="27" max="16384" width="8.88671875" style="203"/>
  </cols>
  <sheetData>
    <row r="1" spans="1:34" ht="15.75">
      <c r="A1" s="314"/>
      <c r="B1" s="321" t="s">
        <v>365</v>
      </c>
      <c r="C1" s="322"/>
      <c r="D1" s="322"/>
      <c r="E1" s="322"/>
      <c r="F1" s="322"/>
      <c r="G1" s="322"/>
      <c r="H1" s="322"/>
      <c r="I1" s="322"/>
      <c r="J1" s="322"/>
      <c r="K1" s="322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293"/>
      <c r="AB1" s="293"/>
      <c r="AC1" s="293"/>
      <c r="AD1" s="293"/>
      <c r="AE1" s="293"/>
      <c r="AF1" s="293"/>
      <c r="AG1" s="293"/>
      <c r="AH1" s="293"/>
    </row>
    <row r="2" spans="1:34" ht="15.75">
      <c r="A2" s="314"/>
      <c r="B2" s="321" t="s">
        <v>384</v>
      </c>
      <c r="C2" s="322"/>
      <c r="D2" s="322"/>
      <c r="E2" s="322"/>
      <c r="F2" s="322"/>
      <c r="G2" s="322"/>
      <c r="H2" s="322"/>
      <c r="I2" s="322"/>
      <c r="J2" s="322"/>
      <c r="K2" s="322"/>
      <c r="L2" s="308"/>
      <c r="M2" s="308">
        <v>12</v>
      </c>
      <c r="N2" s="308"/>
      <c r="O2" s="323" t="s">
        <v>385</v>
      </c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293"/>
      <c r="AB2" s="293"/>
      <c r="AC2" s="293"/>
      <c r="AD2" s="293"/>
      <c r="AE2" s="293"/>
      <c r="AF2" s="293"/>
      <c r="AG2" s="293"/>
      <c r="AH2" s="293"/>
    </row>
    <row r="3" spans="1:34" ht="15.75">
      <c r="A3" s="314"/>
      <c r="B3" s="324" t="s">
        <v>386</v>
      </c>
      <c r="C3" s="322"/>
      <c r="D3" s="322"/>
      <c r="E3" s="322"/>
      <c r="F3" s="322"/>
      <c r="G3" s="322"/>
      <c r="H3" s="322"/>
      <c r="I3" s="322"/>
      <c r="J3" s="322"/>
      <c r="K3" s="322"/>
      <c r="L3" s="308"/>
      <c r="M3" s="308">
        <v>0</v>
      </c>
      <c r="N3" s="308"/>
      <c r="O3" s="323" t="s">
        <v>387</v>
      </c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293"/>
      <c r="AB3" s="293"/>
      <c r="AC3" s="293"/>
      <c r="AD3" s="293"/>
      <c r="AE3" s="294" t="s">
        <v>388</v>
      </c>
      <c r="AF3" s="294" t="s">
        <v>389</v>
      </c>
      <c r="AG3" s="293"/>
      <c r="AH3" s="293"/>
    </row>
    <row r="4" spans="1:34" ht="15.75">
      <c r="A4" s="314"/>
      <c r="B4" s="308"/>
      <c r="C4" s="307"/>
      <c r="D4" s="307"/>
      <c r="E4" s="308"/>
      <c r="F4" s="307"/>
      <c r="G4" s="308"/>
      <c r="H4" s="308"/>
      <c r="I4" s="308"/>
      <c r="J4" s="308"/>
      <c r="K4" s="308"/>
      <c r="L4" s="308"/>
      <c r="M4" s="309">
        <v>2019</v>
      </c>
      <c r="N4" s="308"/>
      <c r="O4" s="323" t="s">
        <v>390</v>
      </c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293"/>
      <c r="AB4" s="293"/>
      <c r="AC4" s="293"/>
      <c r="AD4" s="293"/>
      <c r="AE4" s="294" t="s">
        <v>391</v>
      </c>
      <c r="AF4" s="294" t="s">
        <v>392</v>
      </c>
      <c r="AG4" s="293"/>
      <c r="AH4" s="293"/>
    </row>
    <row r="5" spans="1:34" ht="15.75">
      <c r="A5" s="314"/>
      <c r="B5" s="308"/>
      <c r="C5" s="307"/>
      <c r="D5" s="307"/>
      <c r="E5" s="308"/>
      <c r="F5" s="307"/>
      <c r="G5" s="308"/>
      <c r="H5" s="308"/>
      <c r="I5" s="308"/>
      <c r="J5" s="308"/>
      <c r="K5" s="308"/>
      <c r="L5" s="308"/>
      <c r="M5" s="309">
        <v>2020</v>
      </c>
      <c r="N5" s="308"/>
      <c r="O5" s="323" t="s">
        <v>393</v>
      </c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293"/>
      <c r="AB5" s="293"/>
      <c r="AC5" s="293"/>
      <c r="AD5" s="293"/>
      <c r="AE5" s="294" t="s">
        <v>394</v>
      </c>
      <c r="AF5" s="294" t="s">
        <v>395</v>
      </c>
      <c r="AG5" s="293"/>
      <c r="AH5" s="293"/>
    </row>
    <row r="6" spans="1:34" ht="15.75">
      <c r="A6" s="314"/>
      <c r="B6" s="308"/>
      <c r="C6" s="307"/>
      <c r="D6" s="307"/>
      <c r="E6" s="308"/>
      <c r="F6" s="307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  <c r="Y6" s="308"/>
      <c r="Z6" s="308"/>
      <c r="AA6" s="293"/>
      <c r="AB6" s="293"/>
      <c r="AC6" s="293"/>
      <c r="AD6" s="293"/>
      <c r="AE6" s="294" t="s">
        <v>396</v>
      </c>
      <c r="AF6" s="294" t="s">
        <v>397</v>
      </c>
      <c r="AG6" s="293"/>
      <c r="AH6" s="293"/>
    </row>
    <row r="7" spans="1:34" ht="15.75">
      <c r="A7" s="314"/>
      <c r="B7" s="308"/>
      <c r="C7" s="307"/>
      <c r="D7" s="307"/>
      <c r="E7" s="308"/>
      <c r="F7" s="307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7" t="s">
        <v>103</v>
      </c>
      <c r="T7" s="308"/>
      <c r="U7" s="325" t="s">
        <v>398</v>
      </c>
      <c r="V7" s="325" t="s">
        <v>399</v>
      </c>
      <c r="W7" s="326"/>
      <c r="X7" s="325" t="s">
        <v>399</v>
      </c>
      <c r="Y7" s="325" t="s">
        <v>400</v>
      </c>
      <c r="Z7" s="308"/>
      <c r="AA7" s="293"/>
      <c r="AB7" s="293"/>
      <c r="AC7" s="293"/>
      <c r="AD7" s="293"/>
      <c r="AE7" s="294" t="s">
        <v>401</v>
      </c>
      <c r="AF7" s="294" t="s">
        <v>402</v>
      </c>
      <c r="AG7" s="293"/>
      <c r="AH7" s="293"/>
    </row>
    <row r="8" spans="1:34" ht="15.75">
      <c r="A8" s="314"/>
      <c r="B8" s="326"/>
      <c r="C8" s="321" t="s">
        <v>403</v>
      </c>
      <c r="D8" s="321"/>
      <c r="E8" s="325" t="s">
        <v>404</v>
      </c>
      <c r="F8" s="325"/>
      <c r="G8" s="326"/>
      <c r="H8" s="325" t="s">
        <v>405</v>
      </c>
      <c r="I8" s="326"/>
      <c r="J8" s="326"/>
      <c r="K8" s="326"/>
      <c r="L8" s="326"/>
      <c r="M8" s="326"/>
      <c r="N8" s="326"/>
      <c r="O8" s="326"/>
      <c r="P8" s="325" t="s">
        <v>406</v>
      </c>
      <c r="Q8" s="325" t="s">
        <v>103</v>
      </c>
      <c r="R8" s="326"/>
      <c r="S8" s="325" t="s">
        <v>399</v>
      </c>
      <c r="T8" s="326"/>
      <c r="U8" s="325" t="s">
        <v>407</v>
      </c>
      <c r="V8" s="325" t="s">
        <v>407</v>
      </c>
      <c r="W8" s="325" t="s">
        <v>408</v>
      </c>
      <c r="X8" s="325" t="s">
        <v>409</v>
      </c>
      <c r="Y8" s="325" t="s">
        <v>407</v>
      </c>
      <c r="Z8" s="326"/>
      <c r="AA8" s="293"/>
      <c r="AB8" s="293"/>
      <c r="AC8" s="293"/>
      <c r="AD8" s="293"/>
      <c r="AE8" s="293"/>
      <c r="AF8" s="293"/>
      <c r="AG8" s="293"/>
      <c r="AH8" s="293"/>
    </row>
    <row r="9" spans="1:34" ht="15.75">
      <c r="A9" s="314"/>
      <c r="B9" s="326"/>
      <c r="C9" s="325"/>
      <c r="D9" s="325"/>
      <c r="E9" s="325" t="s">
        <v>410</v>
      </c>
      <c r="F9" s="325" t="s">
        <v>411</v>
      </c>
      <c r="G9" s="325" t="s">
        <v>412</v>
      </c>
      <c r="H9" s="325" t="s">
        <v>413</v>
      </c>
      <c r="I9" s="325" t="s">
        <v>406</v>
      </c>
      <c r="J9" s="326"/>
      <c r="K9" s="325" t="s">
        <v>414</v>
      </c>
      <c r="L9" s="325" t="s">
        <v>414</v>
      </c>
      <c r="M9" s="325" t="s">
        <v>415</v>
      </c>
      <c r="N9" s="325" t="s">
        <v>416</v>
      </c>
      <c r="O9" s="325" t="s">
        <v>417</v>
      </c>
      <c r="P9" s="325" t="s">
        <v>405</v>
      </c>
      <c r="Q9" s="325" t="s">
        <v>418</v>
      </c>
      <c r="R9" s="325" t="s">
        <v>419</v>
      </c>
      <c r="S9" s="325" t="s">
        <v>417</v>
      </c>
      <c r="T9" s="326"/>
      <c r="U9" s="325" t="s">
        <v>420</v>
      </c>
      <c r="V9" s="325" t="s">
        <v>420</v>
      </c>
      <c r="W9" s="325" t="s">
        <v>421</v>
      </c>
      <c r="X9" s="325" t="s">
        <v>422</v>
      </c>
      <c r="Y9" s="325" t="s">
        <v>420</v>
      </c>
      <c r="Z9" s="325" t="s">
        <v>423</v>
      </c>
      <c r="AA9" s="295"/>
      <c r="AB9" s="295"/>
      <c r="AC9" s="295"/>
      <c r="AD9" s="293"/>
      <c r="AE9" s="293"/>
      <c r="AF9" s="293"/>
      <c r="AG9" s="293"/>
      <c r="AH9" s="293"/>
    </row>
    <row r="10" spans="1:34">
      <c r="A10" s="315" t="s">
        <v>420</v>
      </c>
      <c r="B10" s="325" t="s">
        <v>424</v>
      </c>
      <c r="C10" s="327" t="s">
        <v>405</v>
      </c>
      <c r="D10" s="327" t="s">
        <v>425</v>
      </c>
      <c r="E10" s="327" t="s">
        <v>419</v>
      </c>
      <c r="F10" s="327"/>
      <c r="G10" s="327"/>
      <c r="H10" s="327" t="s">
        <v>426</v>
      </c>
      <c r="I10" s="327" t="s">
        <v>427</v>
      </c>
      <c r="J10" s="327" t="s">
        <v>428</v>
      </c>
      <c r="K10" s="327" t="s">
        <v>76</v>
      </c>
      <c r="L10" s="327" t="s">
        <v>406</v>
      </c>
      <c r="M10" s="327" t="s">
        <v>76</v>
      </c>
      <c r="N10" s="327" t="s">
        <v>420</v>
      </c>
      <c r="O10" s="327" t="s">
        <v>420</v>
      </c>
      <c r="P10" s="327" t="s">
        <v>422</v>
      </c>
      <c r="Q10" s="327" t="s">
        <v>422</v>
      </c>
      <c r="R10" s="327" t="s">
        <v>421</v>
      </c>
      <c r="S10" s="327" t="s">
        <v>422</v>
      </c>
      <c r="T10" s="328"/>
      <c r="U10" s="329">
        <v>43465</v>
      </c>
      <c r="V10" s="327">
        <f>+M4</f>
        <v>2019</v>
      </c>
      <c r="W10" s="327" t="s">
        <v>419</v>
      </c>
      <c r="X10" s="327">
        <v>39814</v>
      </c>
      <c r="Y10" s="329">
        <v>43830</v>
      </c>
      <c r="Z10" s="327" t="s">
        <v>104</v>
      </c>
      <c r="AA10" s="295"/>
      <c r="AB10" s="295"/>
      <c r="AC10" s="295"/>
      <c r="AD10" s="295" t="s">
        <v>388</v>
      </c>
      <c r="AE10" s="295" t="s">
        <v>429</v>
      </c>
      <c r="AF10" s="295" t="s">
        <v>430</v>
      </c>
      <c r="AG10" s="295" t="s">
        <v>396</v>
      </c>
      <c r="AH10" s="295" t="s">
        <v>401</v>
      </c>
    </row>
    <row r="11" spans="1:34" ht="15.75">
      <c r="A11" s="315" t="s">
        <v>431</v>
      </c>
      <c r="B11" s="316"/>
      <c r="C11" s="305"/>
      <c r="D11" s="307"/>
      <c r="E11" s="308"/>
      <c r="F11" s="307"/>
      <c r="G11" s="308"/>
      <c r="H11" s="309"/>
      <c r="I11" s="308"/>
      <c r="J11" s="308"/>
      <c r="K11" s="308"/>
      <c r="L11" s="308"/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08"/>
      <c r="Z11" s="308"/>
      <c r="AA11" s="293"/>
      <c r="AB11" s="293"/>
      <c r="AC11" s="293"/>
      <c r="AD11" s="296"/>
      <c r="AE11" s="296"/>
      <c r="AF11" s="296"/>
      <c r="AG11" s="296"/>
      <c r="AH11" s="296"/>
    </row>
    <row r="12" spans="1:34" ht="15.75">
      <c r="A12" s="317" t="s">
        <v>432</v>
      </c>
      <c r="B12" s="318"/>
      <c r="C12" s="304"/>
      <c r="D12" s="305"/>
      <c r="E12" s="306"/>
      <c r="F12" s="307"/>
      <c r="G12" s="308"/>
      <c r="H12" s="309"/>
      <c r="I12" s="308"/>
      <c r="J12" s="308"/>
      <c r="K12" s="330"/>
      <c r="L12" s="308"/>
      <c r="M12" s="310"/>
      <c r="N12" s="310"/>
      <c r="O12" s="310"/>
      <c r="P12" s="310"/>
      <c r="Q12" s="310"/>
      <c r="R12" s="308"/>
      <c r="S12" s="310"/>
      <c r="T12" s="308"/>
      <c r="U12" s="310"/>
      <c r="V12" s="310"/>
      <c r="W12" s="308"/>
      <c r="X12" s="310"/>
      <c r="Y12" s="310"/>
      <c r="Z12" s="310"/>
      <c r="AA12" s="297"/>
      <c r="AB12" s="297"/>
      <c r="AC12" s="297"/>
      <c r="AD12" s="298"/>
      <c r="AE12" s="298"/>
      <c r="AF12" s="298"/>
      <c r="AG12" s="298"/>
      <c r="AH12" s="298"/>
    </row>
    <row r="13" spans="1:34" ht="15.75">
      <c r="A13" s="314">
        <v>7</v>
      </c>
      <c r="B13" s="314" t="s">
        <v>433</v>
      </c>
      <c r="C13" s="304">
        <v>1993</v>
      </c>
      <c r="D13" s="305">
        <v>8</v>
      </c>
      <c r="E13" s="306">
        <v>0</v>
      </c>
      <c r="F13" s="307" t="s">
        <v>434</v>
      </c>
      <c r="G13" s="308">
        <v>10</v>
      </c>
      <c r="H13" s="309">
        <f t="shared" ref="H13:H44" si="0">+C13+G13</f>
        <v>2003</v>
      </c>
      <c r="I13" s="308"/>
      <c r="J13" s="308"/>
      <c r="K13" s="310">
        <v>8112</v>
      </c>
      <c r="L13" s="308"/>
      <c r="M13" s="310">
        <f t="shared" ref="M13:M44" si="1">K13-K13*E13</f>
        <v>8112</v>
      </c>
      <c r="N13" s="310">
        <f t="shared" ref="N13:N44" si="2">M13/G13/12</f>
        <v>67.600000000000009</v>
      </c>
      <c r="O13" s="310">
        <f t="shared" ref="O13:O44" si="3">IF(L13&gt;0,0,IF((OR((AA13&gt;AB13),(AC13&lt;AD13))),0,IF((AND((AC13&gt;=AD13),(AC13&lt;=AB13))),N13*((AC13-AD13)*12),IF((AND((AD13&lt;=AA13),(AB13&gt;=AA13))),((AB13-AA13)*12)*N13,IF(AC13&gt;AB13,12*N13,0)))))</f>
        <v>0</v>
      </c>
      <c r="P13" s="310">
        <f t="shared" ref="P13:P44" si="4">IF(L13=0,0,IF((AND((AE13&gt;=AD13),(AE13&lt;=AC13))),((AE13-AD13)*12)*N13,0))</f>
        <v>0</v>
      </c>
      <c r="Q13" s="310">
        <f t="shared" ref="Q13:Q44" si="5">IF(P13&gt;0,P13,O13)</f>
        <v>0</v>
      </c>
      <c r="R13" s="308">
        <v>1</v>
      </c>
      <c r="S13" s="310">
        <f t="shared" ref="S13:S44" si="6">R13*SUM(O13:P13)</f>
        <v>0</v>
      </c>
      <c r="T13" s="308"/>
      <c r="U13" s="310">
        <f t="shared" ref="U13:U44" si="7">IF(AA13&gt;AB13,0,IF(AC13&lt;AD13,M13,IF((AND((AC13&gt;=AD13),(AC13&lt;=AB13))),(M13-Q13),IF((AND((AD13&lt;=AA13),(AB13&gt;=AA13))),0,IF(AC13&gt;AB13,((AD13-AA13)*12)*N13,0)))))</f>
        <v>8112</v>
      </c>
      <c r="V13" s="310">
        <f t="shared" ref="V13:V44" si="8">U13*R13</f>
        <v>8112</v>
      </c>
      <c r="W13" s="308">
        <v>1</v>
      </c>
      <c r="X13" s="310">
        <f t="shared" ref="X13:X44" si="9">V13*W13</f>
        <v>8112</v>
      </c>
      <c r="Y13" s="310">
        <f t="shared" ref="Y13:Y44" si="10">IF(L13&gt;0,0,X13+S13*W13)*W13</f>
        <v>8112</v>
      </c>
      <c r="Z13" s="310">
        <f t="shared" ref="Z13:Z44" si="11">IF(L13&gt;0,(K13-X13)/2,IF(AA13&gt;=AD13,(((K13*R13)*W13)-Y13)/2,((((K13*R13)*W13)-X13)+(((K13*R13)*W13)-Y13))/2))</f>
        <v>0</v>
      </c>
      <c r="AA13" s="300">
        <f t="shared" ref="AA13:AA44" si="12">$C13+(($D13-1)/12)</f>
        <v>1993.5833333333333</v>
      </c>
      <c r="AB13" s="300">
        <f t="shared" ref="AB13:AB44" si="13">($M$5+1)-($M$2/12)</f>
        <v>2020</v>
      </c>
      <c r="AC13" s="300">
        <f t="shared" ref="AC13:AC44" si="14">$H13+(($D13-1)/12)</f>
        <v>2003.5833333333333</v>
      </c>
      <c r="AD13" s="301">
        <f t="shared" ref="AD13:AD44" si="15">$M$4+($M$3/12)</f>
        <v>2019</v>
      </c>
      <c r="AE13" s="301">
        <f t="shared" ref="AE13:AE44" si="16">$I13+(($J13-1)/12)</f>
        <v>-8.3333333333333329E-2</v>
      </c>
      <c r="AF13" s="301">
        <f t="shared" ref="AF13:AF44" si="17">$H13+(($D13-1)/12)</f>
        <v>2003.5833333333333</v>
      </c>
      <c r="AG13" s="301">
        <f t="shared" ref="AG13:AG44" si="18">$M$4+($M$3/12)</f>
        <v>2019</v>
      </c>
      <c r="AH13" s="301">
        <f t="shared" ref="AH13:AH44" si="19">$I13+(($J13-1)/12)</f>
        <v>-8.3333333333333329E-2</v>
      </c>
    </row>
    <row r="14" spans="1:34" ht="15.75">
      <c r="A14" s="314">
        <v>8</v>
      </c>
      <c r="B14" s="314" t="s">
        <v>433</v>
      </c>
      <c r="C14" s="304">
        <v>1994</v>
      </c>
      <c r="D14" s="305">
        <v>6</v>
      </c>
      <c r="E14" s="306">
        <v>0</v>
      </c>
      <c r="F14" s="307" t="s">
        <v>434</v>
      </c>
      <c r="G14" s="308">
        <v>10</v>
      </c>
      <c r="H14" s="309">
        <f t="shared" si="0"/>
        <v>2004</v>
      </c>
      <c r="I14" s="308"/>
      <c r="J14" s="308"/>
      <c r="K14" s="310">
        <v>15054</v>
      </c>
      <c r="L14" s="308"/>
      <c r="M14" s="310">
        <f t="shared" si="1"/>
        <v>15054</v>
      </c>
      <c r="N14" s="310">
        <f t="shared" si="2"/>
        <v>125.45</v>
      </c>
      <c r="O14" s="310">
        <f t="shared" si="3"/>
        <v>0</v>
      </c>
      <c r="P14" s="310">
        <f t="shared" si="4"/>
        <v>0</v>
      </c>
      <c r="Q14" s="310">
        <f t="shared" si="5"/>
        <v>0</v>
      </c>
      <c r="R14" s="308">
        <v>1</v>
      </c>
      <c r="S14" s="310">
        <f t="shared" si="6"/>
        <v>0</v>
      </c>
      <c r="T14" s="308"/>
      <c r="U14" s="310">
        <f t="shared" si="7"/>
        <v>15054</v>
      </c>
      <c r="V14" s="310">
        <f t="shared" si="8"/>
        <v>15054</v>
      </c>
      <c r="W14" s="308">
        <v>1</v>
      </c>
      <c r="X14" s="310">
        <f t="shared" si="9"/>
        <v>15054</v>
      </c>
      <c r="Y14" s="310">
        <f t="shared" si="10"/>
        <v>15054</v>
      </c>
      <c r="Z14" s="310">
        <f t="shared" si="11"/>
        <v>0</v>
      </c>
      <c r="AA14" s="300">
        <f t="shared" si="12"/>
        <v>1994.4166666666667</v>
      </c>
      <c r="AB14" s="300">
        <f t="shared" si="13"/>
        <v>2020</v>
      </c>
      <c r="AC14" s="300">
        <f t="shared" si="14"/>
        <v>2004.4166666666667</v>
      </c>
      <c r="AD14" s="301">
        <f t="shared" si="15"/>
        <v>2019</v>
      </c>
      <c r="AE14" s="301">
        <f t="shared" si="16"/>
        <v>-8.3333333333333329E-2</v>
      </c>
      <c r="AF14" s="301">
        <f t="shared" si="17"/>
        <v>2004.4166666666667</v>
      </c>
      <c r="AG14" s="301">
        <f t="shared" si="18"/>
        <v>2019</v>
      </c>
      <c r="AH14" s="301">
        <f t="shared" si="19"/>
        <v>-8.3333333333333329E-2</v>
      </c>
    </row>
    <row r="15" spans="1:34" ht="15.75">
      <c r="A15" s="314">
        <v>9</v>
      </c>
      <c r="B15" s="314" t="s">
        <v>433</v>
      </c>
      <c r="C15" s="304">
        <v>1995</v>
      </c>
      <c r="D15" s="305">
        <v>6</v>
      </c>
      <c r="E15" s="306">
        <v>0</v>
      </c>
      <c r="F15" s="307" t="s">
        <v>434</v>
      </c>
      <c r="G15" s="308">
        <v>10</v>
      </c>
      <c r="H15" s="309">
        <f t="shared" si="0"/>
        <v>2005</v>
      </c>
      <c r="I15" s="308"/>
      <c r="J15" s="308"/>
      <c r="K15" s="310">
        <v>6738</v>
      </c>
      <c r="L15" s="308"/>
      <c r="M15" s="310">
        <f t="shared" si="1"/>
        <v>6738</v>
      </c>
      <c r="N15" s="310">
        <f t="shared" si="2"/>
        <v>56.15</v>
      </c>
      <c r="O15" s="310">
        <f t="shared" si="3"/>
        <v>0</v>
      </c>
      <c r="P15" s="310">
        <f t="shared" si="4"/>
        <v>0</v>
      </c>
      <c r="Q15" s="310">
        <f t="shared" si="5"/>
        <v>0</v>
      </c>
      <c r="R15" s="308">
        <v>1</v>
      </c>
      <c r="S15" s="310">
        <f t="shared" si="6"/>
        <v>0</v>
      </c>
      <c r="T15" s="308"/>
      <c r="U15" s="310">
        <f t="shared" si="7"/>
        <v>6738</v>
      </c>
      <c r="V15" s="310">
        <f t="shared" si="8"/>
        <v>6738</v>
      </c>
      <c r="W15" s="308">
        <v>1</v>
      </c>
      <c r="X15" s="310">
        <f t="shared" si="9"/>
        <v>6738</v>
      </c>
      <c r="Y15" s="310">
        <f t="shared" si="10"/>
        <v>6738</v>
      </c>
      <c r="Z15" s="310">
        <f t="shared" si="11"/>
        <v>0</v>
      </c>
      <c r="AA15" s="300">
        <f t="shared" si="12"/>
        <v>1995.4166666666667</v>
      </c>
      <c r="AB15" s="300">
        <f t="shared" si="13"/>
        <v>2020</v>
      </c>
      <c r="AC15" s="300">
        <f t="shared" si="14"/>
        <v>2005.4166666666667</v>
      </c>
      <c r="AD15" s="301">
        <f t="shared" si="15"/>
        <v>2019</v>
      </c>
      <c r="AE15" s="301">
        <f t="shared" si="16"/>
        <v>-8.3333333333333329E-2</v>
      </c>
      <c r="AF15" s="301">
        <f t="shared" si="17"/>
        <v>2005.4166666666667</v>
      </c>
      <c r="AG15" s="301">
        <f t="shared" si="18"/>
        <v>2019</v>
      </c>
      <c r="AH15" s="301">
        <f t="shared" si="19"/>
        <v>-8.3333333333333329E-2</v>
      </c>
    </row>
    <row r="16" spans="1:34" ht="15.75">
      <c r="A16" s="314">
        <v>10</v>
      </c>
      <c r="B16" s="314" t="s">
        <v>433</v>
      </c>
      <c r="C16" s="304">
        <v>1996</v>
      </c>
      <c r="D16" s="305">
        <v>6</v>
      </c>
      <c r="E16" s="306">
        <v>0</v>
      </c>
      <c r="F16" s="307" t="s">
        <v>434</v>
      </c>
      <c r="G16" s="308">
        <v>10</v>
      </c>
      <c r="H16" s="309">
        <f t="shared" si="0"/>
        <v>2006</v>
      </c>
      <c r="I16" s="308"/>
      <c r="J16" s="308"/>
      <c r="K16" s="310">
        <v>4241</v>
      </c>
      <c r="L16" s="308"/>
      <c r="M16" s="310">
        <f t="shared" si="1"/>
        <v>4241</v>
      </c>
      <c r="N16" s="310">
        <f t="shared" si="2"/>
        <v>35.341666666666669</v>
      </c>
      <c r="O16" s="310">
        <f t="shared" si="3"/>
        <v>0</v>
      </c>
      <c r="P16" s="310">
        <f t="shared" si="4"/>
        <v>0</v>
      </c>
      <c r="Q16" s="310">
        <f t="shared" si="5"/>
        <v>0</v>
      </c>
      <c r="R16" s="308">
        <v>1</v>
      </c>
      <c r="S16" s="310">
        <f t="shared" si="6"/>
        <v>0</v>
      </c>
      <c r="T16" s="308"/>
      <c r="U16" s="310">
        <f t="shared" si="7"/>
        <v>4241</v>
      </c>
      <c r="V16" s="310">
        <f t="shared" si="8"/>
        <v>4241</v>
      </c>
      <c r="W16" s="308">
        <v>1</v>
      </c>
      <c r="X16" s="310">
        <f t="shared" si="9"/>
        <v>4241</v>
      </c>
      <c r="Y16" s="310">
        <f t="shared" si="10"/>
        <v>4241</v>
      </c>
      <c r="Z16" s="310">
        <f t="shared" si="11"/>
        <v>0</v>
      </c>
      <c r="AA16" s="300">
        <f t="shared" si="12"/>
        <v>1996.4166666666667</v>
      </c>
      <c r="AB16" s="300">
        <f t="shared" si="13"/>
        <v>2020</v>
      </c>
      <c r="AC16" s="300">
        <f t="shared" si="14"/>
        <v>2006.4166666666667</v>
      </c>
      <c r="AD16" s="301">
        <f t="shared" si="15"/>
        <v>2019</v>
      </c>
      <c r="AE16" s="301">
        <f t="shared" si="16"/>
        <v>-8.3333333333333329E-2</v>
      </c>
      <c r="AF16" s="301">
        <f t="shared" si="17"/>
        <v>2006.4166666666667</v>
      </c>
      <c r="AG16" s="301">
        <f t="shared" si="18"/>
        <v>2019</v>
      </c>
      <c r="AH16" s="301">
        <f t="shared" si="19"/>
        <v>-8.3333333333333329E-2</v>
      </c>
    </row>
    <row r="17" spans="1:34" ht="15.75">
      <c r="A17" s="314">
        <v>11</v>
      </c>
      <c r="B17" s="314" t="s">
        <v>433</v>
      </c>
      <c r="C17" s="304">
        <v>1997</v>
      </c>
      <c r="D17" s="305">
        <v>11</v>
      </c>
      <c r="E17" s="306">
        <v>0</v>
      </c>
      <c r="F17" s="307" t="s">
        <v>434</v>
      </c>
      <c r="G17" s="308">
        <v>10</v>
      </c>
      <c r="H17" s="309">
        <f t="shared" si="0"/>
        <v>2007</v>
      </c>
      <c r="I17" s="308"/>
      <c r="J17" s="308"/>
      <c r="K17" s="310">
        <v>3700</v>
      </c>
      <c r="L17" s="308"/>
      <c r="M17" s="310">
        <f t="shared" si="1"/>
        <v>3700</v>
      </c>
      <c r="N17" s="310">
        <f t="shared" si="2"/>
        <v>30.833333333333332</v>
      </c>
      <c r="O17" s="310">
        <f t="shared" si="3"/>
        <v>0</v>
      </c>
      <c r="P17" s="310">
        <f t="shared" si="4"/>
        <v>0</v>
      </c>
      <c r="Q17" s="310">
        <f t="shared" si="5"/>
        <v>0</v>
      </c>
      <c r="R17" s="308">
        <v>1</v>
      </c>
      <c r="S17" s="310">
        <f t="shared" si="6"/>
        <v>0</v>
      </c>
      <c r="T17" s="308"/>
      <c r="U17" s="310">
        <f t="shared" si="7"/>
        <v>3700</v>
      </c>
      <c r="V17" s="310">
        <f t="shared" si="8"/>
        <v>3700</v>
      </c>
      <c r="W17" s="308">
        <v>1</v>
      </c>
      <c r="X17" s="310">
        <f t="shared" si="9"/>
        <v>3700</v>
      </c>
      <c r="Y17" s="310">
        <f t="shared" si="10"/>
        <v>3700</v>
      </c>
      <c r="Z17" s="310">
        <f t="shared" si="11"/>
        <v>0</v>
      </c>
      <c r="AA17" s="300">
        <f t="shared" si="12"/>
        <v>1997.8333333333333</v>
      </c>
      <c r="AB17" s="300">
        <f t="shared" si="13"/>
        <v>2020</v>
      </c>
      <c r="AC17" s="300">
        <f t="shared" si="14"/>
        <v>2007.8333333333333</v>
      </c>
      <c r="AD17" s="301">
        <f t="shared" si="15"/>
        <v>2019</v>
      </c>
      <c r="AE17" s="301">
        <f t="shared" si="16"/>
        <v>-8.3333333333333329E-2</v>
      </c>
      <c r="AF17" s="301">
        <f t="shared" si="17"/>
        <v>2007.8333333333333</v>
      </c>
      <c r="AG17" s="301">
        <f t="shared" si="18"/>
        <v>2019</v>
      </c>
      <c r="AH17" s="301">
        <f t="shared" si="19"/>
        <v>-8.3333333333333329E-2</v>
      </c>
    </row>
    <row r="18" spans="1:34" ht="15.75">
      <c r="A18" s="314">
        <v>12</v>
      </c>
      <c r="B18" s="314" t="s">
        <v>433</v>
      </c>
      <c r="C18" s="304">
        <v>1997</v>
      </c>
      <c r="D18" s="305">
        <v>8</v>
      </c>
      <c r="E18" s="306">
        <v>0</v>
      </c>
      <c r="F18" s="307" t="s">
        <v>434</v>
      </c>
      <c r="G18" s="308">
        <v>10</v>
      </c>
      <c r="H18" s="309">
        <f t="shared" si="0"/>
        <v>2007</v>
      </c>
      <c r="I18" s="308"/>
      <c r="J18" s="308"/>
      <c r="K18" s="310">
        <v>4178</v>
      </c>
      <c r="L18" s="308"/>
      <c r="M18" s="310">
        <f t="shared" si="1"/>
        <v>4178</v>
      </c>
      <c r="N18" s="310">
        <f t="shared" si="2"/>
        <v>34.81666666666667</v>
      </c>
      <c r="O18" s="310">
        <f t="shared" si="3"/>
        <v>0</v>
      </c>
      <c r="P18" s="310">
        <f t="shared" si="4"/>
        <v>0</v>
      </c>
      <c r="Q18" s="310">
        <f t="shared" si="5"/>
        <v>0</v>
      </c>
      <c r="R18" s="308">
        <v>1</v>
      </c>
      <c r="S18" s="310">
        <f t="shared" si="6"/>
        <v>0</v>
      </c>
      <c r="T18" s="308"/>
      <c r="U18" s="310">
        <f t="shared" si="7"/>
        <v>4178</v>
      </c>
      <c r="V18" s="310">
        <f t="shared" si="8"/>
        <v>4178</v>
      </c>
      <c r="W18" s="308">
        <v>1</v>
      </c>
      <c r="X18" s="310">
        <f t="shared" si="9"/>
        <v>4178</v>
      </c>
      <c r="Y18" s="310">
        <f t="shared" si="10"/>
        <v>4178</v>
      </c>
      <c r="Z18" s="310">
        <f t="shared" si="11"/>
        <v>0</v>
      </c>
      <c r="AA18" s="300">
        <f t="shared" si="12"/>
        <v>1997.5833333333333</v>
      </c>
      <c r="AB18" s="300">
        <f t="shared" si="13"/>
        <v>2020</v>
      </c>
      <c r="AC18" s="300">
        <f t="shared" si="14"/>
        <v>2007.5833333333333</v>
      </c>
      <c r="AD18" s="301">
        <f t="shared" si="15"/>
        <v>2019</v>
      </c>
      <c r="AE18" s="301">
        <f t="shared" si="16"/>
        <v>-8.3333333333333329E-2</v>
      </c>
      <c r="AF18" s="301">
        <f t="shared" si="17"/>
        <v>2007.5833333333333</v>
      </c>
      <c r="AG18" s="301">
        <f t="shared" si="18"/>
        <v>2019</v>
      </c>
      <c r="AH18" s="301">
        <f t="shared" si="19"/>
        <v>-8.3333333333333329E-2</v>
      </c>
    </row>
    <row r="19" spans="1:34" ht="15.75">
      <c r="A19" s="314">
        <v>13</v>
      </c>
      <c r="B19" s="314" t="s">
        <v>433</v>
      </c>
      <c r="C19" s="304">
        <v>1999</v>
      </c>
      <c r="D19" s="305">
        <v>13</v>
      </c>
      <c r="E19" s="306">
        <v>0</v>
      </c>
      <c r="F19" s="307" t="s">
        <v>434</v>
      </c>
      <c r="G19" s="308">
        <v>10</v>
      </c>
      <c r="H19" s="309">
        <f t="shared" si="0"/>
        <v>2009</v>
      </c>
      <c r="I19" s="308"/>
      <c r="J19" s="308"/>
      <c r="K19" s="310">
        <v>1696</v>
      </c>
      <c r="L19" s="308"/>
      <c r="M19" s="310">
        <f t="shared" si="1"/>
        <v>1696</v>
      </c>
      <c r="N19" s="310">
        <f t="shared" si="2"/>
        <v>14.133333333333333</v>
      </c>
      <c r="O19" s="310">
        <f t="shared" si="3"/>
        <v>0</v>
      </c>
      <c r="P19" s="310">
        <f t="shared" si="4"/>
        <v>0</v>
      </c>
      <c r="Q19" s="310">
        <f t="shared" si="5"/>
        <v>0</v>
      </c>
      <c r="R19" s="308">
        <v>1</v>
      </c>
      <c r="S19" s="310">
        <f t="shared" si="6"/>
        <v>0</v>
      </c>
      <c r="T19" s="308"/>
      <c r="U19" s="310">
        <f t="shared" si="7"/>
        <v>1696</v>
      </c>
      <c r="V19" s="310">
        <f t="shared" si="8"/>
        <v>1696</v>
      </c>
      <c r="W19" s="308">
        <v>1</v>
      </c>
      <c r="X19" s="310">
        <f t="shared" si="9"/>
        <v>1696</v>
      </c>
      <c r="Y19" s="310">
        <f t="shared" si="10"/>
        <v>1696</v>
      </c>
      <c r="Z19" s="310">
        <f t="shared" si="11"/>
        <v>0</v>
      </c>
      <c r="AA19" s="300">
        <f t="shared" si="12"/>
        <v>2000</v>
      </c>
      <c r="AB19" s="300">
        <f t="shared" si="13"/>
        <v>2020</v>
      </c>
      <c r="AC19" s="300">
        <f t="shared" si="14"/>
        <v>2010</v>
      </c>
      <c r="AD19" s="301">
        <f t="shared" si="15"/>
        <v>2019</v>
      </c>
      <c r="AE19" s="301">
        <f t="shared" si="16"/>
        <v>-8.3333333333333329E-2</v>
      </c>
      <c r="AF19" s="301">
        <f t="shared" si="17"/>
        <v>2010</v>
      </c>
      <c r="AG19" s="301">
        <f t="shared" si="18"/>
        <v>2019</v>
      </c>
      <c r="AH19" s="301">
        <f t="shared" si="19"/>
        <v>-8.3333333333333329E-2</v>
      </c>
    </row>
    <row r="20" spans="1:34" ht="15.75">
      <c r="A20" s="314">
        <v>14</v>
      </c>
      <c r="B20" s="314" t="s">
        <v>324</v>
      </c>
      <c r="C20" s="304">
        <v>1999</v>
      </c>
      <c r="D20" s="305">
        <v>14</v>
      </c>
      <c r="E20" s="306">
        <v>0</v>
      </c>
      <c r="F20" s="307" t="s">
        <v>434</v>
      </c>
      <c r="G20" s="308">
        <v>10</v>
      </c>
      <c r="H20" s="309">
        <f t="shared" si="0"/>
        <v>2009</v>
      </c>
      <c r="I20" s="308"/>
      <c r="J20" s="308"/>
      <c r="K20" s="310">
        <v>4990</v>
      </c>
      <c r="L20" s="308"/>
      <c r="M20" s="310">
        <f t="shared" si="1"/>
        <v>4990</v>
      </c>
      <c r="N20" s="310">
        <f t="shared" si="2"/>
        <v>41.583333333333336</v>
      </c>
      <c r="O20" s="310">
        <f t="shared" si="3"/>
        <v>0</v>
      </c>
      <c r="P20" s="310">
        <f t="shared" si="4"/>
        <v>0</v>
      </c>
      <c r="Q20" s="310">
        <f t="shared" si="5"/>
        <v>0</v>
      </c>
      <c r="R20" s="308">
        <v>1</v>
      </c>
      <c r="S20" s="310">
        <f t="shared" si="6"/>
        <v>0</v>
      </c>
      <c r="T20" s="308"/>
      <c r="U20" s="310">
        <f t="shared" si="7"/>
        <v>4990</v>
      </c>
      <c r="V20" s="310">
        <f t="shared" si="8"/>
        <v>4990</v>
      </c>
      <c r="W20" s="308">
        <v>1</v>
      </c>
      <c r="X20" s="310">
        <f t="shared" si="9"/>
        <v>4990</v>
      </c>
      <c r="Y20" s="310">
        <f t="shared" si="10"/>
        <v>4990</v>
      </c>
      <c r="Z20" s="310">
        <f t="shared" si="11"/>
        <v>0</v>
      </c>
      <c r="AA20" s="300">
        <f t="shared" si="12"/>
        <v>2000.0833333333333</v>
      </c>
      <c r="AB20" s="300">
        <f t="shared" si="13"/>
        <v>2020</v>
      </c>
      <c r="AC20" s="300">
        <f t="shared" si="14"/>
        <v>2010.0833333333333</v>
      </c>
      <c r="AD20" s="301">
        <f t="shared" si="15"/>
        <v>2019</v>
      </c>
      <c r="AE20" s="301">
        <f t="shared" si="16"/>
        <v>-8.3333333333333329E-2</v>
      </c>
      <c r="AF20" s="301">
        <f t="shared" si="17"/>
        <v>2010.0833333333333</v>
      </c>
      <c r="AG20" s="301">
        <f t="shared" si="18"/>
        <v>2019</v>
      </c>
      <c r="AH20" s="301">
        <f t="shared" si="19"/>
        <v>-8.3333333333333329E-2</v>
      </c>
    </row>
    <row r="21" spans="1:34" ht="15.75">
      <c r="A21" s="314">
        <v>15</v>
      </c>
      <c r="B21" s="314" t="s">
        <v>324</v>
      </c>
      <c r="C21" s="304">
        <v>2000</v>
      </c>
      <c r="D21" s="305">
        <v>6</v>
      </c>
      <c r="E21" s="306">
        <v>0</v>
      </c>
      <c r="F21" s="307" t="s">
        <v>434</v>
      </c>
      <c r="G21" s="308">
        <v>10</v>
      </c>
      <c r="H21" s="309">
        <f t="shared" si="0"/>
        <v>2010</v>
      </c>
      <c r="I21" s="308"/>
      <c r="J21" s="308"/>
      <c r="K21" s="310">
        <v>5113</v>
      </c>
      <c r="L21" s="308"/>
      <c r="M21" s="310">
        <f t="shared" si="1"/>
        <v>5113</v>
      </c>
      <c r="N21" s="310">
        <f t="shared" si="2"/>
        <v>42.608333333333334</v>
      </c>
      <c r="O21" s="310">
        <f t="shared" si="3"/>
        <v>0</v>
      </c>
      <c r="P21" s="310">
        <f t="shared" si="4"/>
        <v>0</v>
      </c>
      <c r="Q21" s="310">
        <f t="shared" si="5"/>
        <v>0</v>
      </c>
      <c r="R21" s="308">
        <v>1</v>
      </c>
      <c r="S21" s="310">
        <f t="shared" si="6"/>
        <v>0</v>
      </c>
      <c r="T21" s="308"/>
      <c r="U21" s="310">
        <f t="shared" si="7"/>
        <v>5113</v>
      </c>
      <c r="V21" s="310">
        <f t="shared" si="8"/>
        <v>5113</v>
      </c>
      <c r="W21" s="308">
        <v>1</v>
      </c>
      <c r="X21" s="310">
        <f t="shared" si="9"/>
        <v>5113</v>
      </c>
      <c r="Y21" s="310">
        <f t="shared" si="10"/>
        <v>5113</v>
      </c>
      <c r="Z21" s="310">
        <f t="shared" si="11"/>
        <v>0</v>
      </c>
      <c r="AA21" s="300">
        <f t="shared" si="12"/>
        <v>2000.4166666666667</v>
      </c>
      <c r="AB21" s="300">
        <f t="shared" si="13"/>
        <v>2020</v>
      </c>
      <c r="AC21" s="300">
        <f t="shared" si="14"/>
        <v>2010.4166666666667</v>
      </c>
      <c r="AD21" s="301">
        <f t="shared" si="15"/>
        <v>2019</v>
      </c>
      <c r="AE21" s="301">
        <f t="shared" si="16"/>
        <v>-8.3333333333333329E-2</v>
      </c>
      <c r="AF21" s="301">
        <f t="shared" si="17"/>
        <v>2010.4166666666667</v>
      </c>
      <c r="AG21" s="301">
        <f t="shared" si="18"/>
        <v>2019</v>
      </c>
      <c r="AH21" s="301">
        <f t="shared" si="19"/>
        <v>-8.3333333333333329E-2</v>
      </c>
    </row>
    <row r="22" spans="1:34" ht="15.75">
      <c r="A22" s="314">
        <v>16</v>
      </c>
      <c r="B22" s="314" t="s">
        <v>435</v>
      </c>
      <c r="C22" s="304">
        <v>2002</v>
      </c>
      <c r="D22" s="305">
        <v>4</v>
      </c>
      <c r="E22" s="306">
        <v>0</v>
      </c>
      <c r="F22" s="307" t="s">
        <v>434</v>
      </c>
      <c r="G22" s="308">
        <v>10</v>
      </c>
      <c r="H22" s="309">
        <f t="shared" si="0"/>
        <v>2012</v>
      </c>
      <c r="I22" s="308"/>
      <c r="J22" s="308"/>
      <c r="K22" s="310">
        <v>4473</v>
      </c>
      <c r="L22" s="308"/>
      <c r="M22" s="310">
        <f t="shared" si="1"/>
        <v>4473</v>
      </c>
      <c r="N22" s="310">
        <f t="shared" si="2"/>
        <v>37.274999999999999</v>
      </c>
      <c r="O22" s="310">
        <f t="shared" si="3"/>
        <v>0</v>
      </c>
      <c r="P22" s="310">
        <f t="shared" si="4"/>
        <v>0</v>
      </c>
      <c r="Q22" s="310">
        <f t="shared" si="5"/>
        <v>0</v>
      </c>
      <c r="R22" s="308">
        <v>1</v>
      </c>
      <c r="S22" s="310">
        <f t="shared" si="6"/>
        <v>0</v>
      </c>
      <c r="T22" s="308"/>
      <c r="U22" s="310">
        <f t="shared" si="7"/>
        <v>4473</v>
      </c>
      <c r="V22" s="310">
        <f t="shared" si="8"/>
        <v>4473</v>
      </c>
      <c r="W22" s="308">
        <v>1</v>
      </c>
      <c r="X22" s="310">
        <f t="shared" si="9"/>
        <v>4473</v>
      </c>
      <c r="Y22" s="310">
        <f t="shared" si="10"/>
        <v>4473</v>
      </c>
      <c r="Z22" s="310">
        <f t="shared" si="11"/>
        <v>0</v>
      </c>
      <c r="AA22" s="300">
        <f t="shared" si="12"/>
        <v>2002.25</v>
      </c>
      <c r="AB22" s="300">
        <f t="shared" si="13"/>
        <v>2020</v>
      </c>
      <c r="AC22" s="300">
        <f t="shared" si="14"/>
        <v>2012.25</v>
      </c>
      <c r="AD22" s="301">
        <f t="shared" si="15"/>
        <v>2019</v>
      </c>
      <c r="AE22" s="301">
        <f t="shared" si="16"/>
        <v>-8.3333333333333329E-2</v>
      </c>
      <c r="AF22" s="301">
        <f t="shared" si="17"/>
        <v>2012.25</v>
      </c>
      <c r="AG22" s="301">
        <f t="shared" si="18"/>
        <v>2019</v>
      </c>
      <c r="AH22" s="301">
        <f t="shared" si="19"/>
        <v>-8.3333333333333329E-2</v>
      </c>
    </row>
    <row r="23" spans="1:34" ht="15.75">
      <c r="A23" s="314">
        <v>17</v>
      </c>
      <c r="B23" s="314" t="s">
        <v>436</v>
      </c>
      <c r="C23" s="304">
        <v>2002</v>
      </c>
      <c r="D23" s="305">
        <v>4</v>
      </c>
      <c r="E23" s="306">
        <v>0</v>
      </c>
      <c r="F23" s="307" t="s">
        <v>434</v>
      </c>
      <c r="G23" s="308">
        <v>10</v>
      </c>
      <c r="H23" s="309">
        <f t="shared" si="0"/>
        <v>2012</v>
      </c>
      <c r="I23" s="308"/>
      <c r="J23" s="308"/>
      <c r="K23" s="310">
        <v>3897</v>
      </c>
      <c r="L23" s="308"/>
      <c r="M23" s="310">
        <f t="shared" si="1"/>
        <v>3897</v>
      </c>
      <c r="N23" s="310">
        <f t="shared" si="2"/>
        <v>32.475000000000001</v>
      </c>
      <c r="O23" s="310">
        <f t="shared" si="3"/>
        <v>0</v>
      </c>
      <c r="P23" s="310">
        <f t="shared" si="4"/>
        <v>0</v>
      </c>
      <c r="Q23" s="310">
        <f t="shared" si="5"/>
        <v>0</v>
      </c>
      <c r="R23" s="308">
        <v>1</v>
      </c>
      <c r="S23" s="310">
        <f t="shared" si="6"/>
        <v>0</v>
      </c>
      <c r="T23" s="308"/>
      <c r="U23" s="310">
        <f t="shared" si="7"/>
        <v>3897</v>
      </c>
      <c r="V23" s="310">
        <f t="shared" si="8"/>
        <v>3897</v>
      </c>
      <c r="W23" s="308">
        <v>1</v>
      </c>
      <c r="X23" s="310">
        <f t="shared" si="9"/>
        <v>3897</v>
      </c>
      <c r="Y23" s="310">
        <f t="shared" si="10"/>
        <v>3897</v>
      </c>
      <c r="Z23" s="310">
        <f t="shared" si="11"/>
        <v>0</v>
      </c>
      <c r="AA23" s="300">
        <f t="shared" si="12"/>
        <v>2002.25</v>
      </c>
      <c r="AB23" s="300">
        <f t="shared" si="13"/>
        <v>2020</v>
      </c>
      <c r="AC23" s="300">
        <f t="shared" si="14"/>
        <v>2012.25</v>
      </c>
      <c r="AD23" s="301">
        <f t="shared" si="15"/>
        <v>2019</v>
      </c>
      <c r="AE23" s="301">
        <f t="shared" si="16"/>
        <v>-8.3333333333333329E-2</v>
      </c>
      <c r="AF23" s="301">
        <f t="shared" si="17"/>
        <v>2012.25</v>
      </c>
      <c r="AG23" s="301">
        <f t="shared" si="18"/>
        <v>2019</v>
      </c>
      <c r="AH23" s="301">
        <f t="shared" si="19"/>
        <v>-8.3333333333333329E-2</v>
      </c>
    </row>
    <row r="24" spans="1:34" ht="15.75">
      <c r="A24" s="314">
        <v>18</v>
      </c>
      <c r="B24" s="314" t="s">
        <v>437</v>
      </c>
      <c r="C24" s="304">
        <v>2002</v>
      </c>
      <c r="D24" s="305">
        <v>4</v>
      </c>
      <c r="E24" s="306">
        <v>0</v>
      </c>
      <c r="F24" s="307" t="s">
        <v>434</v>
      </c>
      <c r="G24" s="308">
        <v>10</v>
      </c>
      <c r="H24" s="309">
        <f t="shared" si="0"/>
        <v>2012</v>
      </c>
      <c r="I24" s="308"/>
      <c r="J24" s="308"/>
      <c r="K24" s="310">
        <v>785</v>
      </c>
      <c r="L24" s="308"/>
      <c r="M24" s="310">
        <f t="shared" si="1"/>
        <v>785</v>
      </c>
      <c r="N24" s="310">
        <f t="shared" si="2"/>
        <v>6.541666666666667</v>
      </c>
      <c r="O24" s="310">
        <f t="shared" si="3"/>
        <v>0</v>
      </c>
      <c r="P24" s="310">
        <f t="shared" si="4"/>
        <v>0</v>
      </c>
      <c r="Q24" s="310">
        <f t="shared" si="5"/>
        <v>0</v>
      </c>
      <c r="R24" s="308">
        <v>1</v>
      </c>
      <c r="S24" s="310">
        <f t="shared" si="6"/>
        <v>0</v>
      </c>
      <c r="T24" s="308"/>
      <c r="U24" s="310">
        <f t="shared" si="7"/>
        <v>785</v>
      </c>
      <c r="V24" s="310">
        <f t="shared" si="8"/>
        <v>785</v>
      </c>
      <c r="W24" s="308">
        <v>1</v>
      </c>
      <c r="X24" s="310">
        <f t="shared" si="9"/>
        <v>785</v>
      </c>
      <c r="Y24" s="310">
        <f t="shared" si="10"/>
        <v>785</v>
      </c>
      <c r="Z24" s="310">
        <f t="shared" si="11"/>
        <v>0</v>
      </c>
      <c r="AA24" s="300">
        <f t="shared" si="12"/>
        <v>2002.25</v>
      </c>
      <c r="AB24" s="300">
        <f t="shared" si="13"/>
        <v>2020</v>
      </c>
      <c r="AC24" s="300">
        <f t="shared" si="14"/>
        <v>2012.25</v>
      </c>
      <c r="AD24" s="301">
        <f t="shared" si="15"/>
        <v>2019</v>
      </c>
      <c r="AE24" s="301">
        <f t="shared" si="16"/>
        <v>-8.3333333333333329E-2</v>
      </c>
      <c r="AF24" s="301">
        <f t="shared" si="17"/>
        <v>2012.25</v>
      </c>
      <c r="AG24" s="301">
        <f t="shared" si="18"/>
        <v>2019</v>
      </c>
      <c r="AH24" s="301">
        <f t="shared" si="19"/>
        <v>-8.3333333333333329E-2</v>
      </c>
    </row>
    <row r="25" spans="1:34" ht="15.75">
      <c r="A25" s="314">
        <v>19</v>
      </c>
      <c r="B25" s="314" t="s">
        <v>438</v>
      </c>
      <c r="C25" s="304">
        <v>2002</v>
      </c>
      <c r="D25" s="305">
        <v>4</v>
      </c>
      <c r="E25" s="306">
        <v>0</v>
      </c>
      <c r="F25" s="307" t="s">
        <v>434</v>
      </c>
      <c r="G25" s="308">
        <v>10</v>
      </c>
      <c r="H25" s="309">
        <f t="shared" si="0"/>
        <v>2012</v>
      </c>
      <c r="I25" s="308"/>
      <c r="J25" s="308"/>
      <c r="K25" s="310">
        <v>649</v>
      </c>
      <c r="L25" s="308"/>
      <c r="M25" s="310">
        <f t="shared" si="1"/>
        <v>649</v>
      </c>
      <c r="N25" s="310">
        <f t="shared" si="2"/>
        <v>5.4083333333333341</v>
      </c>
      <c r="O25" s="310">
        <f t="shared" si="3"/>
        <v>0</v>
      </c>
      <c r="P25" s="310">
        <f t="shared" si="4"/>
        <v>0</v>
      </c>
      <c r="Q25" s="310">
        <f t="shared" si="5"/>
        <v>0</v>
      </c>
      <c r="R25" s="308">
        <v>1</v>
      </c>
      <c r="S25" s="310">
        <f t="shared" si="6"/>
        <v>0</v>
      </c>
      <c r="T25" s="308"/>
      <c r="U25" s="310">
        <f t="shared" si="7"/>
        <v>649</v>
      </c>
      <c r="V25" s="310">
        <f t="shared" si="8"/>
        <v>649</v>
      </c>
      <c r="W25" s="308">
        <v>1</v>
      </c>
      <c r="X25" s="310">
        <f t="shared" si="9"/>
        <v>649</v>
      </c>
      <c r="Y25" s="310">
        <f t="shared" si="10"/>
        <v>649</v>
      </c>
      <c r="Z25" s="310">
        <f t="shared" si="11"/>
        <v>0</v>
      </c>
      <c r="AA25" s="300">
        <f t="shared" si="12"/>
        <v>2002.25</v>
      </c>
      <c r="AB25" s="300">
        <f t="shared" si="13"/>
        <v>2020</v>
      </c>
      <c r="AC25" s="300">
        <f t="shared" si="14"/>
        <v>2012.25</v>
      </c>
      <c r="AD25" s="301">
        <f t="shared" si="15"/>
        <v>2019</v>
      </c>
      <c r="AE25" s="301">
        <f t="shared" si="16"/>
        <v>-8.3333333333333329E-2</v>
      </c>
      <c r="AF25" s="301">
        <f t="shared" si="17"/>
        <v>2012.25</v>
      </c>
      <c r="AG25" s="301">
        <f t="shared" si="18"/>
        <v>2019</v>
      </c>
      <c r="AH25" s="301">
        <f t="shared" si="19"/>
        <v>-8.3333333333333329E-2</v>
      </c>
    </row>
    <row r="26" spans="1:34" ht="15.75">
      <c r="A26" s="314">
        <v>20</v>
      </c>
      <c r="B26" s="314" t="s">
        <v>439</v>
      </c>
      <c r="C26" s="304">
        <v>2002</v>
      </c>
      <c r="D26" s="305">
        <v>4</v>
      </c>
      <c r="E26" s="306">
        <v>0</v>
      </c>
      <c r="F26" s="307" t="s">
        <v>434</v>
      </c>
      <c r="G26" s="308">
        <v>10</v>
      </c>
      <c r="H26" s="309">
        <f t="shared" si="0"/>
        <v>2012</v>
      </c>
      <c r="I26" s="308"/>
      <c r="J26" s="308"/>
      <c r="K26" s="310">
        <v>307</v>
      </c>
      <c r="L26" s="308"/>
      <c r="M26" s="310">
        <f t="shared" si="1"/>
        <v>307</v>
      </c>
      <c r="N26" s="310">
        <f t="shared" si="2"/>
        <v>2.5583333333333331</v>
      </c>
      <c r="O26" s="310">
        <f t="shared" si="3"/>
        <v>0</v>
      </c>
      <c r="P26" s="310">
        <f t="shared" si="4"/>
        <v>0</v>
      </c>
      <c r="Q26" s="310">
        <f t="shared" si="5"/>
        <v>0</v>
      </c>
      <c r="R26" s="308">
        <v>1</v>
      </c>
      <c r="S26" s="310">
        <f t="shared" si="6"/>
        <v>0</v>
      </c>
      <c r="T26" s="308"/>
      <c r="U26" s="310">
        <f t="shared" si="7"/>
        <v>307</v>
      </c>
      <c r="V26" s="310">
        <f t="shared" si="8"/>
        <v>307</v>
      </c>
      <c r="W26" s="308">
        <v>1</v>
      </c>
      <c r="X26" s="310">
        <f t="shared" si="9"/>
        <v>307</v>
      </c>
      <c r="Y26" s="310">
        <f t="shared" si="10"/>
        <v>307</v>
      </c>
      <c r="Z26" s="310">
        <f t="shared" si="11"/>
        <v>0</v>
      </c>
      <c r="AA26" s="300">
        <f t="shared" si="12"/>
        <v>2002.25</v>
      </c>
      <c r="AB26" s="300">
        <f t="shared" si="13"/>
        <v>2020</v>
      </c>
      <c r="AC26" s="300">
        <f t="shared" si="14"/>
        <v>2012.25</v>
      </c>
      <c r="AD26" s="301">
        <f t="shared" si="15"/>
        <v>2019</v>
      </c>
      <c r="AE26" s="301">
        <f t="shared" si="16"/>
        <v>-8.3333333333333329E-2</v>
      </c>
      <c r="AF26" s="301">
        <f t="shared" si="17"/>
        <v>2012.25</v>
      </c>
      <c r="AG26" s="301">
        <f t="shared" si="18"/>
        <v>2019</v>
      </c>
      <c r="AH26" s="301">
        <f t="shared" si="19"/>
        <v>-8.3333333333333329E-2</v>
      </c>
    </row>
    <row r="27" spans="1:34" ht="15.75">
      <c r="A27" s="314">
        <v>21</v>
      </c>
      <c r="B27" s="314" t="s">
        <v>439</v>
      </c>
      <c r="C27" s="304">
        <v>2002</v>
      </c>
      <c r="D27" s="305">
        <v>4</v>
      </c>
      <c r="E27" s="306">
        <v>0</v>
      </c>
      <c r="F27" s="307" t="s">
        <v>434</v>
      </c>
      <c r="G27" s="308">
        <v>10</v>
      </c>
      <c r="H27" s="309">
        <f t="shared" si="0"/>
        <v>2012</v>
      </c>
      <c r="I27" s="308"/>
      <c r="J27" s="308"/>
      <c r="K27" s="310">
        <v>307</v>
      </c>
      <c r="L27" s="308"/>
      <c r="M27" s="310">
        <f t="shared" si="1"/>
        <v>307</v>
      </c>
      <c r="N27" s="310">
        <f t="shared" si="2"/>
        <v>2.5583333333333331</v>
      </c>
      <c r="O27" s="310">
        <f t="shared" si="3"/>
        <v>0</v>
      </c>
      <c r="P27" s="310">
        <f t="shared" si="4"/>
        <v>0</v>
      </c>
      <c r="Q27" s="310">
        <f t="shared" si="5"/>
        <v>0</v>
      </c>
      <c r="R27" s="308">
        <v>1</v>
      </c>
      <c r="S27" s="310">
        <f t="shared" si="6"/>
        <v>0</v>
      </c>
      <c r="T27" s="308"/>
      <c r="U27" s="310">
        <f t="shared" si="7"/>
        <v>307</v>
      </c>
      <c r="V27" s="310">
        <f t="shared" si="8"/>
        <v>307</v>
      </c>
      <c r="W27" s="308">
        <v>1</v>
      </c>
      <c r="X27" s="310">
        <f t="shared" si="9"/>
        <v>307</v>
      </c>
      <c r="Y27" s="310">
        <f t="shared" si="10"/>
        <v>307</v>
      </c>
      <c r="Z27" s="310">
        <f t="shared" si="11"/>
        <v>0</v>
      </c>
      <c r="AA27" s="300">
        <f t="shared" si="12"/>
        <v>2002.25</v>
      </c>
      <c r="AB27" s="300">
        <f t="shared" si="13"/>
        <v>2020</v>
      </c>
      <c r="AC27" s="300">
        <f t="shared" si="14"/>
        <v>2012.25</v>
      </c>
      <c r="AD27" s="301">
        <f t="shared" si="15"/>
        <v>2019</v>
      </c>
      <c r="AE27" s="301">
        <f t="shared" si="16"/>
        <v>-8.3333333333333329E-2</v>
      </c>
      <c r="AF27" s="301">
        <f t="shared" si="17"/>
        <v>2012.25</v>
      </c>
      <c r="AG27" s="301">
        <f t="shared" si="18"/>
        <v>2019</v>
      </c>
      <c r="AH27" s="301">
        <f t="shared" si="19"/>
        <v>-8.3333333333333329E-2</v>
      </c>
    </row>
    <row r="28" spans="1:34" ht="15.75">
      <c r="A28" s="314">
        <v>22</v>
      </c>
      <c r="B28" s="314" t="s">
        <v>439</v>
      </c>
      <c r="C28" s="304">
        <v>2002</v>
      </c>
      <c r="D28" s="305">
        <v>4</v>
      </c>
      <c r="E28" s="306">
        <v>0</v>
      </c>
      <c r="F28" s="307" t="s">
        <v>434</v>
      </c>
      <c r="G28" s="308">
        <v>10</v>
      </c>
      <c r="H28" s="309">
        <f t="shared" si="0"/>
        <v>2012</v>
      </c>
      <c r="I28" s="308"/>
      <c r="J28" s="308"/>
      <c r="K28" s="310">
        <v>307</v>
      </c>
      <c r="L28" s="308"/>
      <c r="M28" s="310">
        <f t="shared" si="1"/>
        <v>307</v>
      </c>
      <c r="N28" s="310">
        <f t="shared" si="2"/>
        <v>2.5583333333333331</v>
      </c>
      <c r="O28" s="310">
        <f t="shared" si="3"/>
        <v>0</v>
      </c>
      <c r="P28" s="310">
        <f t="shared" si="4"/>
        <v>0</v>
      </c>
      <c r="Q28" s="310">
        <f t="shared" si="5"/>
        <v>0</v>
      </c>
      <c r="R28" s="308">
        <v>1</v>
      </c>
      <c r="S28" s="310">
        <f t="shared" si="6"/>
        <v>0</v>
      </c>
      <c r="T28" s="308"/>
      <c r="U28" s="310">
        <f t="shared" si="7"/>
        <v>307</v>
      </c>
      <c r="V28" s="310">
        <f t="shared" si="8"/>
        <v>307</v>
      </c>
      <c r="W28" s="308">
        <v>1</v>
      </c>
      <c r="X28" s="310">
        <f t="shared" si="9"/>
        <v>307</v>
      </c>
      <c r="Y28" s="310">
        <f t="shared" si="10"/>
        <v>307</v>
      </c>
      <c r="Z28" s="310">
        <f t="shared" si="11"/>
        <v>0</v>
      </c>
      <c r="AA28" s="300">
        <f t="shared" si="12"/>
        <v>2002.25</v>
      </c>
      <c r="AB28" s="300">
        <f t="shared" si="13"/>
        <v>2020</v>
      </c>
      <c r="AC28" s="300">
        <f t="shared" si="14"/>
        <v>2012.25</v>
      </c>
      <c r="AD28" s="301">
        <f t="shared" si="15"/>
        <v>2019</v>
      </c>
      <c r="AE28" s="301">
        <f t="shared" si="16"/>
        <v>-8.3333333333333329E-2</v>
      </c>
      <c r="AF28" s="301">
        <f t="shared" si="17"/>
        <v>2012.25</v>
      </c>
      <c r="AG28" s="301">
        <f t="shared" si="18"/>
        <v>2019</v>
      </c>
      <c r="AH28" s="301">
        <f t="shared" si="19"/>
        <v>-8.3333333333333329E-2</v>
      </c>
    </row>
    <row r="29" spans="1:34" ht="15.75">
      <c r="A29" s="314">
        <v>23</v>
      </c>
      <c r="B29" s="314" t="s">
        <v>439</v>
      </c>
      <c r="C29" s="304">
        <v>2002</v>
      </c>
      <c r="D29" s="305">
        <v>4</v>
      </c>
      <c r="E29" s="306">
        <v>0</v>
      </c>
      <c r="F29" s="307" t="s">
        <v>434</v>
      </c>
      <c r="G29" s="308">
        <v>10</v>
      </c>
      <c r="H29" s="309">
        <f t="shared" si="0"/>
        <v>2012</v>
      </c>
      <c r="I29" s="308"/>
      <c r="J29" s="308"/>
      <c r="K29" s="310">
        <v>308</v>
      </c>
      <c r="L29" s="308"/>
      <c r="M29" s="310">
        <f t="shared" si="1"/>
        <v>308</v>
      </c>
      <c r="N29" s="310">
        <f t="shared" si="2"/>
        <v>2.5666666666666669</v>
      </c>
      <c r="O29" s="310">
        <f t="shared" si="3"/>
        <v>0</v>
      </c>
      <c r="P29" s="310">
        <f t="shared" si="4"/>
        <v>0</v>
      </c>
      <c r="Q29" s="310">
        <f t="shared" si="5"/>
        <v>0</v>
      </c>
      <c r="R29" s="308">
        <v>1</v>
      </c>
      <c r="S29" s="310">
        <f t="shared" si="6"/>
        <v>0</v>
      </c>
      <c r="T29" s="308"/>
      <c r="U29" s="310">
        <f t="shared" si="7"/>
        <v>308</v>
      </c>
      <c r="V29" s="310">
        <f t="shared" si="8"/>
        <v>308</v>
      </c>
      <c r="W29" s="308">
        <v>1</v>
      </c>
      <c r="X29" s="310">
        <f t="shared" si="9"/>
        <v>308</v>
      </c>
      <c r="Y29" s="310">
        <f t="shared" si="10"/>
        <v>308</v>
      </c>
      <c r="Z29" s="310">
        <f t="shared" si="11"/>
        <v>0</v>
      </c>
      <c r="AA29" s="300">
        <f t="shared" si="12"/>
        <v>2002.25</v>
      </c>
      <c r="AB29" s="300">
        <f t="shared" si="13"/>
        <v>2020</v>
      </c>
      <c r="AC29" s="300">
        <f t="shared" si="14"/>
        <v>2012.25</v>
      </c>
      <c r="AD29" s="301">
        <f t="shared" si="15"/>
        <v>2019</v>
      </c>
      <c r="AE29" s="301">
        <f t="shared" si="16"/>
        <v>-8.3333333333333329E-2</v>
      </c>
      <c r="AF29" s="301">
        <f t="shared" si="17"/>
        <v>2012.25</v>
      </c>
      <c r="AG29" s="301">
        <f t="shared" si="18"/>
        <v>2019</v>
      </c>
      <c r="AH29" s="301">
        <f t="shared" si="19"/>
        <v>-8.3333333333333329E-2</v>
      </c>
    </row>
    <row r="30" spans="1:34" ht="15.75">
      <c r="A30" s="314">
        <v>24</v>
      </c>
      <c r="B30" s="314" t="s">
        <v>324</v>
      </c>
      <c r="C30" s="304">
        <v>1991</v>
      </c>
      <c r="D30" s="305">
        <v>6</v>
      </c>
      <c r="E30" s="306">
        <v>0</v>
      </c>
      <c r="F30" s="307" t="s">
        <v>434</v>
      </c>
      <c r="G30" s="308">
        <v>10</v>
      </c>
      <c r="H30" s="309">
        <f t="shared" si="0"/>
        <v>2001</v>
      </c>
      <c r="I30" s="308"/>
      <c r="J30" s="308"/>
      <c r="K30" s="310">
        <v>2687</v>
      </c>
      <c r="L30" s="308"/>
      <c r="M30" s="310">
        <f t="shared" si="1"/>
        <v>2687</v>
      </c>
      <c r="N30" s="310">
        <f t="shared" si="2"/>
        <v>22.391666666666666</v>
      </c>
      <c r="O30" s="310">
        <f t="shared" si="3"/>
        <v>0</v>
      </c>
      <c r="P30" s="310">
        <f t="shared" si="4"/>
        <v>0</v>
      </c>
      <c r="Q30" s="310">
        <f t="shared" si="5"/>
        <v>0</v>
      </c>
      <c r="R30" s="308">
        <v>1</v>
      </c>
      <c r="S30" s="310">
        <f t="shared" si="6"/>
        <v>0</v>
      </c>
      <c r="T30" s="308"/>
      <c r="U30" s="310">
        <f t="shared" si="7"/>
        <v>2687</v>
      </c>
      <c r="V30" s="310">
        <f t="shared" si="8"/>
        <v>2687</v>
      </c>
      <c r="W30" s="308">
        <v>1</v>
      </c>
      <c r="X30" s="310">
        <f t="shared" si="9"/>
        <v>2687</v>
      </c>
      <c r="Y30" s="310">
        <f t="shared" si="10"/>
        <v>2687</v>
      </c>
      <c r="Z30" s="310">
        <f t="shared" si="11"/>
        <v>0</v>
      </c>
      <c r="AA30" s="300">
        <f t="shared" si="12"/>
        <v>1991.4166666666667</v>
      </c>
      <c r="AB30" s="300">
        <f t="shared" si="13"/>
        <v>2020</v>
      </c>
      <c r="AC30" s="300">
        <f t="shared" si="14"/>
        <v>2001.4166666666667</v>
      </c>
      <c r="AD30" s="301">
        <f t="shared" si="15"/>
        <v>2019</v>
      </c>
      <c r="AE30" s="301">
        <f t="shared" si="16"/>
        <v>-8.3333333333333329E-2</v>
      </c>
      <c r="AF30" s="301">
        <f t="shared" si="17"/>
        <v>2001.4166666666667</v>
      </c>
      <c r="AG30" s="301">
        <f t="shared" si="18"/>
        <v>2019</v>
      </c>
      <c r="AH30" s="301">
        <f t="shared" si="19"/>
        <v>-8.3333333333333329E-2</v>
      </c>
    </row>
    <row r="31" spans="1:34" ht="15.75">
      <c r="A31" s="314">
        <v>25</v>
      </c>
      <c r="B31" s="314" t="s">
        <v>440</v>
      </c>
      <c r="C31" s="304">
        <v>2003</v>
      </c>
      <c r="D31" s="305">
        <v>5</v>
      </c>
      <c r="E31" s="306">
        <v>0</v>
      </c>
      <c r="F31" s="307" t="s">
        <v>434</v>
      </c>
      <c r="G31" s="308">
        <v>10</v>
      </c>
      <c r="H31" s="309">
        <f t="shared" si="0"/>
        <v>2013</v>
      </c>
      <c r="I31" s="308"/>
      <c r="J31" s="308"/>
      <c r="K31" s="310">
        <v>2580</v>
      </c>
      <c r="L31" s="312"/>
      <c r="M31" s="310">
        <f t="shared" si="1"/>
        <v>2580</v>
      </c>
      <c r="N31" s="310">
        <f t="shared" si="2"/>
        <v>21.5</v>
      </c>
      <c r="O31" s="310">
        <f t="shared" si="3"/>
        <v>0</v>
      </c>
      <c r="P31" s="310">
        <f t="shared" si="4"/>
        <v>0</v>
      </c>
      <c r="Q31" s="310">
        <f t="shared" si="5"/>
        <v>0</v>
      </c>
      <c r="R31" s="308">
        <v>1</v>
      </c>
      <c r="S31" s="310">
        <f t="shared" si="6"/>
        <v>0</v>
      </c>
      <c r="T31" s="308"/>
      <c r="U31" s="310">
        <f t="shared" si="7"/>
        <v>2580</v>
      </c>
      <c r="V31" s="310">
        <f t="shared" si="8"/>
        <v>2580</v>
      </c>
      <c r="W31" s="308">
        <v>1</v>
      </c>
      <c r="X31" s="310">
        <f t="shared" si="9"/>
        <v>2580</v>
      </c>
      <c r="Y31" s="310">
        <f t="shared" si="10"/>
        <v>2580</v>
      </c>
      <c r="Z31" s="310">
        <f t="shared" si="11"/>
        <v>0</v>
      </c>
      <c r="AA31" s="300">
        <f t="shared" si="12"/>
        <v>2003.3333333333333</v>
      </c>
      <c r="AB31" s="300">
        <f t="shared" si="13"/>
        <v>2020</v>
      </c>
      <c r="AC31" s="300">
        <f t="shared" si="14"/>
        <v>2013.3333333333333</v>
      </c>
      <c r="AD31" s="301">
        <f t="shared" si="15"/>
        <v>2019</v>
      </c>
      <c r="AE31" s="301">
        <f t="shared" si="16"/>
        <v>-8.3333333333333329E-2</v>
      </c>
      <c r="AF31" s="301">
        <f t="shared" si="17"/>
        <v>2013.3333333333333</v>
      </c>
      <c r="AG31" s="301">
        <f t="shared" si="18"/>
        <v>2019</v>
      </c>
      <c r="AH31" s="301">
        <f t="shared" si="19"/>
        <v>-8.3333333333333329E-2</v>
      </c>
    </row>
    <row r="32" spans="1:34" ht="15.75">
      <c r="A32" s="314">
        <v>26</v>
      </c>
      <c r="B32" s="314" t="s">
        <v>441</v>
      </c>
      <c r="C32" s="304">
        <v>2003</v>
      </c>
      <c r="D32" s="305">
        <v>5</v>
      </c>
      <c r="E32" s="306">
        <v>0</v>
      </c>
      <c r="F32" s="307" t="s">
        <v>434</v>
      </c>
      <c r="G32" s="308">
        <v>10</v>
      </c>
      <c r="H32" s="309">
        <f t="shared" si="0"/>
        <v>2013</v>
      </c>
      <c r="I32" s="308"/>
      <c r="J32" s="308"/>
      <c r="K32" s="310">
        <v>1550</v>
      </c>
      <c r="L32" s="308"/>
      <c r="M32" s="310">
        <f t="shared" si="1"/>
        <v>1550</v>
      </c>
      <c r="N32" s="310">
        <f t="shared" si="2"/>
        <v>12.916666666666666</v>
      </c>
      <c r="O32" s="310">
        <f t="shared" si="3"/>
        <v>0</v>
      </c>
      <c r="P32" s="310">
        <f t="shared" si="4"/>
        <v>0</v>
      </c>
      <c r="Q32" s="310">
        <f t="shared" si="5"/>
        <v>0</v>
      </c>
      <c r="R32" s="308">
        <v>1</v>
      </c>
      <c r="S32" s="310">
        <f t="shared" si="6"/>
        <v>0</v>
      </c>
      <c r="T32" s="308"/>
      <c r="U32" s="310">
        <f t="shared" si="7"/>
        <v>1550</v>
      </c>
      <c r="V32" s="310">
        <f t="shared" si="8"/>
        <v>1550</v>
      </c>
      <c r="W32" s="308">
        <v>1</v>
      </c>
      <c r="X32" s="310">
        <f t="shared" si="9"/>
        <v>1550</v>
      </c>
      <c r="Y32" s="310">
        <f t="shared" si="10"/>
        <v>1550</v>
      </c>
      <c r="Z32" s="310">
        <f t="shared" si="11"/>
        <v>0</v>
      </c>
      <c r="AA32" s="300">
        <f t="shared" si="12"/>
        <v>2003.3333333333333</v>
      </c>
      <c r="AB32" s="300">
        <f t="shared" si="13"/>
        <v>2020</v>
      </c>
      <c r="AC32" s="300">
        <f t="shared" si="14"/>
        <v>2013.3333333333333</v>
      </c>
      <c r="AD32" s="301">
        <f t="shared" si="15"/>
        <v>2019</v>
      </c>
      <c r="AE32" s="301">
        <f t="shared" si="16"/>
        <v>-8.3333333333333329E-2</v>
      </c>
      <c r="AF32" s="301">
        <f t="shared" si="17"/>
        <v>2013.3333333333333</v>
      </c>
      <c r="AG32" s="301">
        <f t="shared" si="18"/>
        <v>2019</v>
      </c>
      <c r="AH32" s="301">
        <f t="shared" si="19"/>
        <v>-8.3333333333333329E-2</v>
      </c>
    </row>
    <row r="33" spans="1:34" ht="15.75">
      <c r="A33" s="314">
        <v>28</v>
      </c>
      <c r="B33" s="314" t="s">
        <v>442</v>
      </c>
      <c r="C33" s="304">
        <v>2003</v>
      </c>
      <c r="D33" s="305">
        <v>5</v>
      </c>
      <c r="E33" s="306">
        <v>0</v>
      </c>
      <c r="F33" s="307" t="s">
        <v>434</v>
      </c>
      <c r="G33" s="308">
        <v>10</v>
      </c>
      <c r="H33" s="309">
        <f t="shared" si="0"/>
        <v>2013</v>
      </c>
      <c r="I33" s="308"/>
      <c r="J33" s="308"/>
      <c r="K33" s="310">
        <v>75</v>
      </c>
      <c r="L33" s="308"/>
      <c r="M33" s="310">
        <f t="shared" si="1"/>
        <v>75</v>
      </c>
      <c r="N33" s="310">
        <f t="shared" si="2"/>
        <v>0.625</v>
      </c>
      <c r="O33" s="310">
        <f t="shared" si="3"/>
        <v>0</v>
      </c>
      <c r="P33" s="310">
        <f t="shared" si="4"/>
        <v>0</v>
      </c>
      <c r="Q33" s="310">
        <f t="shared" si="5"/>
        <v>0</v>
      </c>
      <c r="R33" s="308">
        <v>1</v>
      </c>
      <c r="S33" s="310">
        <f t="shared" si="6"/>
        <v>0</v>
      </c>
      <c r="T33" s="308"/>
      <c r="U33" s="310">
        <f t="shared" si="7"/>
        <v>75</v>
      </c>
      <c r="V33" s="310">
        <f t="shared" si="8"/>
        <v>75</v>
      </c>
      <c r="W33" s="308">
        <v>1</v>
      </c>
      <c r="X33" s="310">
        <f t="shared" si="9"/>
        <v>75</v>
      </c>
      <c r="Y33" s="310">
        <f t="shared" si="10"/>
        <v>75</v>
      </c>
      <c r="Z33" s="310">
        <f t="shared" si="11"/>
        <v>0</v>
      </c>
      <c r="AA33" s="300">
        <f t="shared" si="12"/>
        <v>2003.3333333333333</v>
      </c>
      <c r="AB33" s="300">
        <f t="shared" si="13"/>
        <v>2020</v>
      </c>
      <c r="AC33" s="300">
        <f t="shared" si="14"/>
        <v>2013.3333333333333</v>
      </c>
      <c r="AD33" s="301">
        <f t="shared" si="15"/>
        <v>2019</v>
      </c>
      <c r="AE33" s="301">
        <f t="shared" si="16"/>
        <v>-8.3333333333333329E-2</v>
      </c>
      <c r="AF33" s="301">
        <f t="shared" si="17"/>
        <v>2013.3333333333333</v>
      </c>
      <c r="AG33" s="301">
        <f t="shared" si="18"/>
        <v>2019</v>
      </c>
      <c r="AH33" s="301">
        <f t="shared" si="19"/>
        <v>-8.3333333333333329E-2</v>
      </c>
    </row>
    <row r="34" spans="1:34" ht="15.75">
      <c r="A34" s="314">
        <v>29</v>
      </c>
      <c r="B34" s="314" t="s">
        <v>443</v>
      </c>
      <c r="C34" s="304">
        <v>2004</v>
      </c>
      <c r="D34" s="305">
        <v>5</v>
      </c>
      <c r="E34" s="306">
        <v>0</v>
      </c>
      <c r="F34" s="307" t="s">
        <v>434</v>
      </c>
      <c r="G34" s="308">
        <v>10</v>
      </c>
      <c r="H34" s="309">
        <f t="shared" si="0"/>
        <v>2014</v>
      </c>
      <c r="I34" s="308"/>
      <c r="J34" s="308"/>
      <c r="K34" s="310">
        <v>4185</v>
      </c>
      <c r="L34" s="308"/>
      <c r="M34" s="310">
        <f t="shared" si="1"/>
        <v>4185</v>
      </c>
      <c r="N34" s="310">
        <f t="shared" si="2"/>
        <v>34.875</v>
      </c>
      <c r="O34" s="310">
        <f t="shared" si="3"/>
        <v>0</v>
      </c>
      <c r="P34" s="310">
        <f t="shared" si="4"/>
        <v>0</v>
      </c>
      <c r="Q34" s="310">
        <f t="shared" si="5"/>
        <v>0</v>
      </c>
      <c r="R34" s="308">
        <v>1</v>
      </c>
      <c r="S34" s="310">
        <f t="shared" si="6"/>
        <v>0</v>
      </c>
      <c r="T34" s="308"/>
      <c r="U34" s="310">
        <f t="shared" si="7"/>
        <v>4185</v>
      </c>
      <c r="V34" s="310">
        <f t="shared" si="8"/>
        <v>4185</v>
      </c>
      <c r="W34" s="308">
        <v>1</v>
      </c>
      <c r="X34" s="310">
        <f t="shared" si="9"/>
        <v>4185</v>
      </c>
      <c r="Y34" s="310">
        <f t="shared" si="10"/>
        <v>4185</v>
      </c>
      <c r="Z34" s="310">
        <f t="shared" si="11"/>
        <v>0</v>
      </c>
      <c r="AA34" s="300">
        <f t="shared" si="12"/>
        <v>2004.3333333333333</v>
      </c>
      <c r="AB34" s="300">
        <f t="shared" si="13"/>
        <v>2020</v>
      </c>
      <c r="AC34" s="300">
        <f t="shared" si="14"/>
        <v>2014.3333333333333</v>
      </c>
      <c r="AD34" s="301">
        <f t="shared" si="15"/>
        <v>2019</v>
      </c>
      <c r="AE34" s="301">
        <f t="shared" si="16"/>
        <v>-8.3333333333333329E-2</v>
      </c>
      <c r="AF34" s="301">
        <f t="shared" si="17"/>
        <v>2014.3333333333333</v>
      </c>
      <c r="AG34" s="301">
        <f t="shared" si="18"/>
        <v>2019</v>
      </c>
      <c r="AH34" s="301">
        <f t="shared" si="19"/>
        <v>-8.3333333333333329E-2</v>
      </c>
    </row>
    <row r="35" spans="1:34" ht="15.75">
      <c r="A35" s="314">
        <v>30</v>
      </c>
      <c r="B35" s="314" t="s">
        <v>444</v>
      </c>
      <c r="C35" s="304">
        <v>2004</v>
      </c>
      <c r="D35" s="305">
        <v>5</v>
      </c>
      <c r="E35" s="306">
        <v>0</v>
      </c>
      <c r="F35" s="307" t="s">
        <v>434</v>
      </c>
      <c r="G35" s="308">
        <v>10</v>
      </c>
      <c r="H35" s="309">
        <f t="shared" si="0"/>
        <v>2014</v>
      </c>
      <c r="I35" s="308"/>
      <c r="J35" s="308"/>
      <c r="K35" s="310">
        <v>4227</v>
      </c>
      <c r="L35" s="308"/>
      <c r="M35" s="310">
        <f t="shared" si="1"/>
        <v>4227</v>
      </c>
      <c r="N35" s="310">
        <f t="shared" si="2"/>
        <v>35.225000000000001</v>
      </c>
      <c r="O35" s="310">
        <f t="shared" si="3"/>
        <v>0</v>
      </c>
      <c r="P35" s="310">
        <f t="shared" si="4"/>
        <v>0</v>
      </c>
      <c r="Q35" s="310">
        <f t="shared" si="5"/>
        <v>0</v>
      </c>
      <c r="R35" s="308">
        <v>1</v>
      </c>
      <c r="S35" s="310">
        <f t="shared" si="6"/>
        <v>0</v>
      </c>
      <c r="T35" s="308"/>
      <c r="U35" s="310">
        <f t="shared" si="7"/>
        <v>4227</v>
      </c>
      <c r="V35" s="310">
        <f t="shared" si="8"/>
        <v>4227</v>
      </c>
      <c r="W35" s="308">
        <v>1</v>
      </c>
      <c r="X35" s="310">
        <f t="shared" si="9"/>
        <v>4227</v>
      </c>
      <c r="Y35" s="310">
        <f t="shared" si="10"/>
        <v>4227</v>
      </c>
      <c r="Z35" s="310">
        <f t="shared" si="11"/>
        <v>0</v>
      </c>
      <c r="AA35" s="300">
        <f t="shared" si="12"/>
        <v>2004.3333333333333</v>
      </c>
      <c r="AB35" s="300">
        <f t="shared" si="13"/>
        <v>2020</v>
      </c>
      <c r="AC35" s="300">
        <f t="shared" si="14"/>
        <v>2014.3333333333333</v>
      </c>
      <c r="AD35" s="301">
        <f t="shared" si="15"/>
        <v>2019</v>
      </c>
      <c r="AE35" s="301">
        <f t="shared" si="16"/>
        <v>-8.3333333333333329E-2</v>
      </c>
      <c r="AF35" s="301">
        <f t="shared" si="17"/>
        <v>2014.3333333333333</v>
      </c>
      <c r="AG35" s="301">
        <f t="shared" si="18"/>
        <v>2019</v>
      </c>
      <c r="AH35" s="301">
        <f t="shared" si="19"/>
        <v>-8.3333333333333329E-2</v>
      </c>
    </row>
    <row r="36" spans="1:34" ht="15.75">
      <c r="A36" s="314">
        <v>31</v>
      </c>
      <c r="B36" s="314" t="s">
        <v>445</v>
      </c>
      <c r="C36" s="304">
        <v>2004</v>
      </c>
      <c r="D36" s="305">
        <v>5</v>
      </c>
      <c r="E36" s="306">
        <v>0</v>
      </c>
      <c r="F36" s="307" t="s">
        <v>434</v>
      </c>
      <c r="G36" s="308">
        <v>10</v>
      </c>
      <c r="H36" s="309">
        <f t="shared" si="0"/>
        <v>2014</v>
      </c>
      <c r="I36" s="308"/>
      <c r="J36" s="308"/>
      <c r="K36" s="310">
        <v>3926</v>
      </c>
      <c r="L36" s="308"/>
      <c r="M36" s="310">
        <f t="shared" si="1"/>
        <v>3926</v>
      </c>
      <c r="N36" s="310">
        <f t="shared" si="2"/>
        <v>32.716666666666669</v>
      </c>
      <c r="O36" s="310">
        <f t="shared" si="3"/>
        <v>0</v>
      </c>
      <c r="P36" s="310">
        <f t="shared" si="4"/>
        <v>0</v>
      </c>
      <c r="Q36" s="310">
        <f t="shared" si="5"/>
        <v>0</v>
      </c>
      <c r="R36" s="308">
        <v>1</v>
      </c>
      <c r="S36" s="310">
        <f t="shared" si="6"/>
        <v>0</v>
      </c>
      <c r="T36" s="308"/>
      <c r="U36" s="310">
        <f t="shared" si="7"/>
        <v>3926</v>
      </c>
      <c r="V36" s="310">
        <f t="shared" si="8"/>
        <v>3926</v>
      </c>
      <c r="W36" s="308">
        <v>1</v>
      </c>
      <c r="X36" s="310">
        <f t="shared" si="9"/>
        <v>3926</v>
      </c>
      <c r="Y36" s="310">
        <f t="shared" si="10"/>
        <v>3926</v>
      </c>
      <c r="Z36" s="310">
        <f t="shared" si="11"/>
        <v>0</v>
      </c>
      <c r="AA36" s="300">
        <f t="shared" si="12"/>
        <v>2004.3333333333333</v>
      </c>
      <c r="AB36" s="300">
        <f t="shared" si="13"/>
        <v>2020</v>
      </c>
      <c r="AC36" s="300">
        <f t="shared" si="14"/>
        <v>2014.3333333333333</v>
      </c>
      <c r="AD36" s="301">
        <f t="shared" si="15"/>
        <v>2019</v>
      </c>
      <c r="AE36" s="301">
        <f t="shared" si="16"/>
        <v>-8.3333333333333329E-2</v>
      </c>
      <c r="AF36" s="301">
        <f t="shared" si="17"/>
        <v>2014.3333333333333</v>
      </c>
      <c r="AG36" s="301">
        <f t="shared" si="18"/>
        <v>2019</v>
      </c>
      <c r="AH36" s="301">
        <f t="shared" si="19"/>
        <v>-8.3333333333333329E-2</v>
      </c>
    </row>
    <row r="37" spans="1:34" ht="15.75">
      <c r="A37" s="314">
        <v>32</v>
      </c>
      <c r="B37" s="314" t="s">
        <v>446</v>
      </c>
      <c r="C37" s="304">
        <v>2004</v>
      </c>
      <c r="D37" s="305">
        <v>5</v>
      </c>
      <c r="E37" s="306">
        <v>0</v>
      </c>
      <c r="F37" s="307" t="s">
        <v>434</v>
      </c>
      <c r="G37" s="308">
        <v>10</v>
      </c>
      <c r="H37" s="309">
        <f t="shared" si="0"/>
        <v>2014</v>
      </c>
      <c r="I37" s="308"/>
      <c r="J37" s="308"/>
      <c r="K37" s="310">
        <v>861</v>
      </c>
      <c r="L37" s="308"/>
      <c r="M37" s="310">
        <f t="shared" si="1"/>
        <v>861</v>
      </c>
      <c r="N37" s="310">
        <f t="shared" si="2"/>
        <v>7.1749999999999998</v>
      </c>
      <c r="O37" s="310">
        <f t="shared" si="3"/>
        <v>0</v>
      </c>
      <c r="P37" s="310">
        <f t="shared" si="4"/>
        <v>0</v>
      </c>
      <c r="Q37" s="310">
        <f t="shared" si="5"/>
        <v>0</v>
      </c>
      <c r="R37" s="308">
        <v>1</v>
      </c>
      <c r="S37" s="310">
        <f t="shared" si="6"/>
        <v>0</v>
      </c>
      <c r="T37" s="308"/>
      <c r="U37" s="310">
        <f t="shared" si="7"/>
        <v>861</v>
      </c>
      <c r="V37" s="310">
        <f t="shared" si="8"/>
        <v>861</v>
      </c>
      <c r="W37" s="308">
        <v>1</v>
      </c>
      <c r="X37" s="310">
        <f t="shared" si="9"/>
        <v>861</v>
      </c>
      <c r="Y37" s="310">
        <f t="shared" si="10"/>
        <v>861</v>
      </c>
      <c r="Z37" s="310">
        <f t="shared" si="11"/>
        <v>0</v>
      </c>
      <c r="AA37" s="300">
        <f t="shared" si="12"/>
        <v>2004.3333333333333</v>
      </c>
      <c r="AB37" s="300">
        <f t="shared" si="13"/>
        <v>2020</v>
      </c>
      <c r="AC37" s="300">
        <f t="shared" si="14"/>
        <v>2014.3333333333333</v>
      </c>
      <c r="AD37" s="301">
        <f t="shared" si="15"/>
        <v>2019</v>
      </c>
      <c r="AE37" s="301">
        <f t="shared" si="16"/>
        <v>-8.3333333333333329E-2</v>
      </c>
      <c r="AF37" s="301">
        <f t="shared" si="17"/>
        <v>2014.3333333333333</v>
      </c>
      <c r="AG37" s="301">
        <f t="shared" si="18"/>
        <v>2019</v>
      </c>
      <c r="AH37" s="301">
        <f t="shared" si="19"/>
        <v>-8.3333333333333329E-2</v>
      </c>
    </row>
    <row r="38" spans="1:34" ht="15.75">
      <c r="A38" s="314">
        <v>33</v>
      </c>
      <c r="B38" s="314" t="s">
        <v>438</v>
      </c>
      <c r="C38" s="304">
        <v>2005</v>
      </c>
      <c r="D38" s="305">
        <v>4</v>
      </c>
      <c r="E38" s="306">
        <v>0</v>
      </c>
      <c r="F38" s="307" t="s">
        <v>434</v>
      </c>
      <c r="G38" s="308">
        <v>10</v>
      </c>
      <c r="H38" s="309">
        <f t="shared" si="0"/>
        <v>2015</v>
      </c>
      <c r="I38" s="308"/>
      <c r="J38" s="308"/>
      <c r="K38" s="310">
        <v>921</v>
      </c>
      <c r="L38" s="308"/>
      <c r="M38" s="310">
        <f t="shared" si="1"/>
        <v>921</v>
      </c>
      <c r="N38" s="310">
        <f t="shared" si="2"/>
        <v>7.6749999999999998</v>
      </c>
      <c r="O38" s="310">
        <f t="shared" si="3"/>
        <v>0</v>
      </c>
      <c r="P38" s="310">
        <f t="shared" si="4"/>
        <v>0</v>
      </c>
      <c r="Q38" s="310">
        <f t="shared" si="5"/>
        <v>0</v>
      </c>
      <c r="R38" s="308">
        <v>1</v>
      </c>
      <c r="S38" s="310">
        <f t="shared" si="6"/>
        <v>0</v>
      </c>
      <c r="T38" s="308"/>
      <c r="U38" s="310">
        <f t="shared" si="7"/>
        <v>921</v>
      </c>
      <c r="V38" s="310">
        <f t="shared" si="8"/>
        <v>921</v>
      </c>
      <c r="W38" s="308">
        <v>1</v>
      </c>
      <c r="X38" s="310">
        <f t="shared" si="9"/>
        <v>921</v>
      </c>
      <c r="Y38" s="310">
        <f t="shared" si="10"/>
        <v>921</v>
      </c>
      <c r="Z38" s="310">
        <f t="shared" si="11"/>
        <v>0</v>
      </c>
      <c r="AA38" s="300">
        <f t="shared" si="12"/>
        <v>2005.25</v>
      </c>
      <c r="AB38" s="300">
        <f t="shared" si="13"/>
        <v>2020</v>
      </c>
      <c r="AC38" s="300">
        <f t="shared" si="14"/>
        <v>2015.25</v>
      </c>
      <c r="AD38" s="301">
        <f t="shared" si="15"/>
        <v>2019</v>
      </c>
      <c r="AE38" s="301">
        <f t="shared" si="16"/>
        <v>-8.3333333333333329E-2</v>
      </c>
      <c r="AF38" s="301">
        <f t="shared" si="17"/>
        <v>2015.25</v>
      </c>
      <c r="AG38" s="301">
        <f t="shared" si="18"/>
        <v>2019</v>
      </c>
      <c r="AH38" s="301">
        <f t="shared" si="19"/>
        <v>-8.3333333333333329E-2</v>
      </c>
    </row>
    <row r="39" spans="1:34" ht="15.75">
      <c r="A39" s="314">
        <v>34</v>
      </c>
      <c r="B39" s="314" t="s">
        <v>436</v>
      </c>
      <c r="C39" s="304">
        <v>2005</v>
      </c>
      <c r="D39" s="305">
        <v>4</v>
      </c>
      <c r="E39" s="306">
        <v>0</v>
      </c>
      <c r="F39" s="307" t="s">
        <v>434</v>
      </c>
      <c r="G39" s="308">
        <v>10</v>
      </c>
      <c r="H39" s="309">
        <f t="shared" si="0"/>
        <v>2015</v>
      </c>
      <c r="I39" s="308"/>
      <c r="J39" s="308"/>
      <c r="K39" s="310">
        <v>5007</v>
      </c>
      <c r="L39" s="308"/>
      <c r="M39" s="310">
        <f t="shared" si="1"/>
        <v>5007</v>
      </c>
      <c r="N39" s="310">
        <f t="shared" si="2"/>
        <v>41.725000000000001</v>
      </c>
      <c r="O39" s="310">
        <f t="shared" si="3"/>
        <v>0</v>
      </c>
      <c r="P39" s="310">
        <f t="shared" si="4"/>
        <v>0</v>
      </c>
      <c r="Q39" s="310">
        <f t="shared" si="5"/>
        <v>0</v>
      </c>
      <c r="R39" s="308">
        <v>1</v>
      </c>
      <c r="S39" s="310">
        <f t="shared" si="6"/>
        <v>0</v>
      </c>
      <c r="T39" s="308"/>
      <c r="U39" s="310">
        <f t="shared" si="7"/>
        <v>5007</v>
      </c>
      <c r="V39" s="310">
        <f t="shared" si="8"/>
        <v>5007</v>
      </c>
      <c r="W39" s="308">
        <v>1</v>
      </c>
      <c r="X39" s="310">
        <f t="shared" si="9"/>
        <v>5007</v>
      </c>
      <c r="Y39" s="310">
        <f t="shared" si="10"/>
        <v>5007</v>
      </c>
      <c r="Z39" s="310">
        <f t="shared" si="11"/>
        <v>0</v>
      </c>
      <c r="AA39" s="300">
        <f t="shared" si="12"/>
        <v>2005.25</v>
      </c>
      <c r="AB39" s="300">
        <f t="shared" si="13"/>
        <v>2020</v>
      </c>
      <c r="AC39" s="300">
        <f t="shared" si="14"/>
        <v>2015.25</v>
      </c>
      <c r="AD39" s="301">
        <f t="shared" si="15"/>
        <v>2019</v>
      </c>
      <c r="AE39" s="301">
        <f t="shared" si="16"/>
        <v>-8.3333333333333329E-2</v>
      </c>
      <c r="AF39" s="301">
        <f t="shared" si="17"/>
        <v>2015.25</v>
      </c>
      <c r="AG39" s="301">
        <f t="shared" si="18"/>
        <v>2019</v>
      </c>
      <c r="AH39" s="301">
        <f t="shared" si="19"/>
        <v>-8.3333333333333329E-2</v>
      </c>
    </row>
    <row r="40" spans="1:34" ht="15.75">
      <c r="A40" s="314">
        <v>35</v>
      </c>
      <c r="B40" s="314" t="s">
        <v>447</v>
      </c>
      <c r="C40" s="304">
        <v>2005</v>
      </c>
      <c r="D40" s="305">
        <v>4</v>
      </c>
      <c r="E40" s="306">
        <v>0</v>
      </c>
      <c r="F40" s="307" t="s">
        <v>434</v>
      </c>
      <c r="G40" s="308">
        <v>10</v>
      </c>
      <c r="H40" s="309">
        <f t="shared" si="0"/>
        <v>2015</v>
      </c>
      <c r="I40" s="308"/>
      <c r="J40" s="308"/>
      <c r="K40" s="310">
        <v>2074</v>
      </c>
      <c r="L40" s="308"/>
      <c r="M40" s="310">
        <f t="shared" si="1"/>
        <v>2074</v>
      </c>
      <c r="N40" s="310">
        <f t="shared" si="2"/>
        <v>17.283333333333335</v>
      </c>
      <c r="O40" s="310">
        <f t="shared" si="3"/>
        <v>0</v>
      </c>
      <c r="P40" s="310">
        <f t="shared" si="4"/>
        <v>0</v>
      </c>
      <c r="Q40" s="310">
        <f t="shared" si="5"/>
        <v>0</v>
      </c>
      <c r="R40" s="308">
        <v>1</v>
      </c>
      <c r="S40" s="310">
        <f t="shared" si="6"/>
        <v>0</v>
      </c>
      <c r="T40" s="308"/>
      <c r="U40" s="310">
        <f t="shared" si="7"/>
        <v>2074</v>
      </c>
      <c r="V40" s="310">
        <f t="shared" si="8"/>
        <v>2074</v>
      </c>
      <c r="W40" s="308">
        <v>1</v>
      </c>
      <c r="X40" s="310">
        <f t="shared" si="9"/>
        <v>2074</v>
      </c>
      <c r="Y40" s="310">
        <f t="shared" si="10"/>
        <v>2074</v>
      </c>
      <c r="Z40" s="310">
        <f t="shared" si="11"/>
        <v>0</v>
      </c>
      <c r="AA40" s="300">
        <f t="shared" si="12"/>
        <v>2005.25</v>
      </c>
      <c r="AB40" s="300">
        <f t="shared" si="13"/>
        <v>2020</v>
      </c>
      <c r="AC40" s="300">
        <f t="shared" si="14"/>
        <v>2015.25</v>
      </c>
      <c r="AD40" s="301">
        <f t="shared" si="15"/>
        <v>2019</v>
      </c>
      <c r="AE40" s="301">
        <f t="shared" si="16"/>
        <v>-8.3333333333333329E-2</v>
      </c>
      <c r="AF40" s="301">
        <f t="shared" si="17"/>
        <v>2015.25</v>
      </c>
      <c r="AG40" s="301">
        <f t="shared" si="18"/>
        <v>2019</v>
      </c>
      <c r="AH40" s="301">
        <f t="shared" si="19"/>
        <v>-8.3333333333333329E-2</v>
      </c>
    </row>
    <row r="41" spans="1:34" ht="15.75">
      <c r="A41" s="314">
        <v>36</v>
      </c>
      <c r="B41" s="314" t="s">
        <v>448</v>
      </c>
      <c r="C41" s="304">
        <v>2005</v>
      </c>
      <c r="D41" s="305">
        <v>4</v>
      </c>
      <c r="E41" s="306">
        <v>0</v>
      </c>
      <c r="F41" s="307" t="s">
        <v>434</v>
      </c>
      <c r="G41" s="308">
        <v>10</v>
      </c>
      <c r="H41" s="309">
        <f t="shared" si="0"/>
        <v>2015</v>
      </c>
      <c r="I41" s="308"/>
      <c r="J41" s="308"/>
      <c r="K41" s="310">
        <v>6573</v>
      </c>
      <c r="L41" s="308"/>
      <c r="M41" s="310">
        <f t="shared" si="1"/>
        <v>6573</v>
      </c>
      <c r="N41" s="310">
        <f t="shared" si="2"/>
        <v>54.774999999999999</v>
      </c>
      <c r="O41" s="310">
        <f t="shared" si="3"/>
        <v>0</v>
      </c>
      <c r="P41" s="310">
        <f t="shared" si="4"/>
        <v>0</v>
      </c>
      <c r="Q41" s="310">
        <f t="shared" si="5"/>
        <v>0</v>
      </c>
      <c r="R41" s="308">
        <v>1</v>
      </c>
      <c r="S41" s="310">
        <f t="shared" si="6"/>
        <v>0</v>
      </c>
      <c r="T41" s="308"/>
      <c r="U41" s="310">
        <f t="shared" si="7"/>
        <v>6573</v>
      </c>
      <c r="V41" s="310">
        <f t="shared" si="8"/>
        <v>6573</v>
      </c>
      <c r="W41" s="308">
        <v>1</v>
      </c>
      <c r="X41" s="310">
        <f t="shared" si="9"/>
        <v>6573</v>
      </c>
      <c r="Y41" s="310">
        <f t="shared" si="10"/>
        <v>6573</v>
      </c>
      <c r="Z41" s="310">
        <f t="shared" si="11"/>
        <v>0</v>
      </c>
      <c r="AA41" s="300">
        <f t="shared" si="12"/>
        <v>2005.25</v>
      </c>
      <c r="AB41" s="300">
        <f t="shared" si="13"/>
        <v>2020</v>
      </c>
      <c r="AC41" s="300">
        <f t="shared" si="14"/>
        <v>2015.25</v>
      </c>
      <c r="AD41" s="301">
        <f t="shared" si="15"/>
        <v>2019</v>
      </c>
      <c r="AE41" s="301">
        <f t="shared" si="16"/>
        <v>-8.3333333333333329E-2</v>
      </c>
      <c r="AF41" s="301">
        <f t="shared" si="17"/>
        <v>2015.25</v>
      </c>
      <c r="AG41" s="301">
        <f t="shared" si="18"/>
        <v>2019</v>
      </c>
      <c r="AH41" s="301">
        <f t="shared" si="19"/>
        <v>-8.3333333333333329E-2</v>
      </c>
    </row>
    <row r="42" spans="1:34" ht="15.75">
      <c r="A42" s="314">
        <v>37</v>
      </c>
      <c r="B42" s="314" t="s">
        <v>439</v>
      </c>
      <c r="C42" s="304">
        <v>2006</v>
      </c>
      <c r="D42" s="305">
        <v>6</v>
      </c>
      <c r="E42" s="306">
        <v>0</v>
      </c>
      <c r="F42" s="307" t="s">
        <v>434</v>
      </c>
      <c r="G42" s="308">
        <v>10</v>
      </c>
      <c r="H42" s="309">
        <f t="shared" si="0"/>
        <v>2016</v>
      </c>
      <c r="I42" s="308"/>
      <c r="J42" s="308"/>
      <c r="K42" s="310">
        <v>2216</v>
      </c>
      <c r="L42" s="308"/>
      <c r="M42" s="310">
        <f t="shared" si="1"/>
        <v>2216</v>
      </c>
      <c r="N42" s="310">
        <f t="shared" si="2"/>
        <v>18.466666666666665</v>
      </c>
      <c r="O42" s="310">
        <f t="shared" si="3"/>
        <v>0</v>
      </c>
      <c r="P42" s="310">
        <f t="shared" si="4"/>
        <v>0</v>
      </c>
      <c r="Q42" s="310">
        <f t="shared" si="5"/>
        <v>0</v>
      </c>
      <c r="R42" s="308">
        <v>1</v>
      </c>
      <c r="S42" s="310">
        <f t="shared" si="6"/>
        <v>0</v>
      </c>
      <c r="T42" s="308"/>
      <c r="U42" s="310">
        <f t="shared" si="7"/>
        <v>2216</v>
      </c>
      <c r="V42" s="310">
        <f t="shared" si="8"/>
        <v>2216</v>
      </c>
      <c r="W42" s="308">
        <v>1</v>
      </c>
      <c r="X42" s="310">
        <f t="shared" si="9"/>
        <v>2216</v>
      </c>
      <c r="Y42" s="310">
        <f t="shared" si="10"/>
        <v>2216</v>
      </c>
      <c r="Z42" s="310">
        <f t="shared" si="11"/>
        <v>0</v>
      </c>
      <c r="AA42" s="300">
        <f t="shared" si="12"/>
        <v>2006.4166666666667</v>
      </c>
      <c r="AB42" s="300">
        <f t="shared" si="13"/>
        <v>2020</v>
      </c>
      <c r="AC42" s="300">
        <f t="shared" si="14"/>
        <v>2016.4166666666667</v>
      </c>
      <c r="AD42" s="301">
        <f t="shared" si="15"/>
        <v>2019</v>
      </c>
      <c r="AE42" s="301">
        <f t="shared" si="16"/>
        <v>-8.3333333333333329E-2</v>
      </c>
      <c r="AF42" s="301">
        <f t="shared" si="17"/>
        <v>2016.4166666666667</v>
      </c>
      <c r="AG42" s="301">
        <f t="shared" si="18"/>
        <v>2019</v>
      </c>
      <c r="AH42" s="301">
        <f t="shared" si="19"/>
        <v>-8.3333333333333329E-2</v>
      </c>
    </row>
    <row r="43" spans="1:34" ht="15.75">
      <c r="A43" s="314">
        <v>38</v>
      </c>
      <c r="B43" s="314" t="s">
        <v>448</v>
      </c>
      <c r="C43" s="304">
        <v>2006</v>
      </c>
      <c r="D43" s="305">
        <v>6</v>
      </c>
      <c r="E43" s="306">
        <v>0</v>
      </c>
      <c r="F43" s="307" t="s">
        <v>434</v>
      </c>
      <c r="G43" s="308">
        <v>10</v>
      </c>
      <c r="H43" s="309">
        <f t="shared" si="0"/>
        <v>2016</v>
      </c>
      <c r="I43" s="308"/>
      <c r="J43" s="308"/>
      <c r="K43" s="310">
        <v>6692</v>
      </c>
      <c r="L43" s="308"/>
      <c r="M43" s="310">
        <f t="shared" si="1"/>
        <v>6692</v>
      </c>
      <c r="N43" s="310">
        <f t="shared" si="2"/>
        <v>55.766666666666673</v>
      </c>
      <c r="O43" s="310">
        <f t="shared" si="3"/>
        <v>0</v>
      </c>
      <c r="P43" s="310">
        <f t="shared" si="4"/>
        <v>0</v>
      </c>
      <c r="Q43" s="310">
        <f t="shared" si="5"/>
        <v>0</v>
      </c>
      <c r="R43" s="308">
        <v>1</v>
      </c>
      <c r="S43" s="310">
        <f t="shared" si="6"/>
        <v>0</v>
      </c>
      <c r="T43" s="308"/>
      <c r="U43" s="310">
        <f t="shared" si="7"/>
        <v>6692</v>
      </c>
      <c r="V43" s="310">
        <f t="shared" si="8"/>
        <v>6692</v>
      </c>
      <c r="W43" s="308">
        <v>1</v>
      </c>
      <c r="X43" s="310">
        <f t="shared" si="9"/>
        <v>6692</v>
      </c>
      <c r="Y43" s="310">
        <f t="shared" si="10"/>
        <v>6692</v>
      </c>
      <c r="Z43" s="310">
        <f t="shared" si="11"/>
        <v>0</v>
      </c>
      <c r="AA43" s="300">
        <f t="shared" si="12"/>
        <v>2006.4166666666667</v>
      </c>
      <c r="AB43" s="300">
        <f t="shared" si="13"/>
        <v>2020</v>
      </c>
      <c r="AC43" s="300">
        <f t="shared" si="14"/>
        <v>2016.4166666666667</v>
      </c>
      <c r="AD43" s="301">
        <f t="shared" si="15"/>
        <v>2019</v>
      </c>
      <c r="AE43" s="301">
        <f t="shared" si="16"/>
        <v>-8.3333333333333329E-2</v>
      </c>
      <c r="AF43" s="301">
        <f t="shared" si="17"/>
        <v>2016.4166666666667</v>
      </c>
      <c r="AG43" s="301">
        <f t="shared" si="18"/>
        <v>2019</v>
      </c>
      <c r="AH43" s="301">
        <f t="shared" si="19"/>
        <v>-8.3333333333333329E-2</v>
      </c>
    </row>
    <row r="44" spans="1:34" ht="15.75">
      <c r="A44" s="314">
        <v>39</v>
      </c>
      <c r="B44" s="314" t="s">
        <v>449</v>
      </c>
      <c r="C44" s="304">
        <v>2006</v>
      </c>
      <c r="D44" s="305">
        <v>6</v>
      </c>
      <c r="E44" s="306">
        <v>0</v>
      </c>
      <c r="F44" s="307" t="s">
        <v>434</v>
      </c>
      <c r="G44" s="308">
        <v>10</v>
      </c>
      <c r="H44" s="309">
        <f t="shared" si="0"/>
        <v>2016</v>
      </c>
      <c r="I44" s="308"/>
      <c r="J44" s="308"/>
      <c r="K44" s="310">
        <v>10559</v>
      </c>
      <c r="L44" s="308"/>
      <c r="M44" s="310">
        <f t="shared" si="1"/>
        <v>10559</v>
      </c>
      <c r="N44" s="310">
        <f t="shared" si="2"/>
        <v>87.991666666666674</v>
      </c>
      <c r="O44" s="310">
        <f t="shared" si="3"/>
        <v>0</v>
      </c>
      <c r="P44" s="310">
        <f t="shared" si="4"/>
        <v>0</v>
      </c>
      <c r="Q44" s="310">
        <f t="shared" si="5"/>
        <v>0</v>
      </c>
      <c r="R44" s="308">
        <v>1</v>
      </c>
      <c r="S44" s="310">
        <f t="shared" si="6"/>
        <v>0</v>
      </c>
      <c r="T44" s="308"/>
      <c r="U44" s="310">
        <f t="shared" si="7"/>
        <v>10559</v>
      </c>
      <c r="V44" s="310">
        <f t="shared" si="8"/>
        <v>10559</v>
      </c>
      <c r="W44" s="308">
        <v>1</v>
      </c>
      <c r="X44" s="310">
        <f t="shared" si="9"/>
        <v>10559</v>
      </c>
      <c r="Y44" s="310">
        <f t="shared" si="10"/>
        <v>10559</v>
      </c>
      <c r="Z44" s="310">
        <f t="shared" si="11"/>
        <v>0</v>
      </c>
      <c r="AA44" s="300">
        <f t="shared" si="12"/>
        <v>2006.4166666666667</v>
      </c>
      <c r="AB44" s="300">
        <f t="shared" si="13"/>
        <v>2020</v>
      </c>
      <c r="AC44" s="300">
        <f t="shared" si="14"/>
        <v>2016.4166666666667</v>
      </c>
      <c r="AD44" s="301">
        <f t="shared" si="15"/>
        <v>2019</v>
      </c>
      <c r="AE44" s="301">
        <f t="shared" si="16"/>
        <v>-8.3333333333333329E-2</v>
      </c>
      <c r="AF44" s="301">
        <f t="shared" si="17"/>
        <v>2016.4166666666667</v>
      </c>
      <c r="AG44" s="301">
        <f t="shared" si="18"/>
        <v>2019</v>
      </c>
      <c r="AH44" s="301">
        <f t="shared" si="19"/>
        <v>-8.3333333333333329E-2</v>
      </c>
    </row>
    <row r="45" spans="1:34" ht="15.75">
      <c r="A45" s="314">
        <v>40</v>
      </c>
      <c r="B45" s="314" t="s">
        <v>450</v>
      </c>
      <c r="C45" s="304">
        <v>2007</v>
      </c>
      <c r="D45" s="305">
        <v>6</v>
      </c>
      <c r="E45" s="306">
        <v>0</v>
      </c>
      <c r="F45" s="307" t="s">
        <v>434</v>
      </c>
      <c r="G45" s="308">
        <v>10</v>
      </c>
      <c r="H45" s="309">
        <f t="shared" ref="H45:H68" si="20">+C45+G45</f>
        <v>2017</v>
      </c>
      <c r="I45" s="308"/>
      <c r="J45" s="308"/>
      <c r="K45" s="310">
        <v>3729</v>
      </c>
      <c r="L45" s="308"/>
      <c r="M45" s="310">
        <f t="shared" ref="M45:M68" si="21">K45-K45*E45</f>
        <v>3729</v>
      </c>
      <c r="N45" s="310">
        <f t="shared" ref="N45:N68" si="22">M45/G45/12</f>
        <v>31.074999999999999</v>
      </c>
      <c r="O45" s="310">
        <f t="shared" ref="O45:O67" si="23">IF(L45&gt;0,0,IF((OR((AA45&gt;AB45),(AC45&lt;AD45))),0,IF((AND((AC45&gt;=AD45),(AC45&lt;=AB45))),N45*((AC45-AD45)*12),IF((AND((AD45&lt;=AA45),(AB45&gt;=AA45))),((AB45-AA45)*12)*N45,IF(AC45&gt;AB45,12*N45,0)))))</f>
        <v>0</v>
      </c>
      <c r="P45" s="310">
        <f t="shared" ref="P45:P68" si="24">IF(L45=0,0,IF((AND((AE45&gt;=AD45),(AE45&lt;=AC45))),((AE45-AD45)*12)*N45,0))</f>
        <v>0</v>
      </c>
      <c r="Q45" s="310">
        <f t="shared" ref="Q45:Q68" si="25">IF(P45&gt;0,P45,O45)</f>
        <v>0</v>
      </c>
      <c r="R45" s="308">
        <v>1</v>
      </c>
      <c r="S45" s="310">
        <f t="shared" ref="S45:S68" si="26">R45*SUM(O45:P45)</f>
        <v>0</v>
      </c>
      <c r="T45" s="308"/>
      <c r="U45" s="310">
        <f t="shared" ref="U45:U68" si="27">IF(AA45&gt;AB45,0,IF(AC45&lt;AD45,M45,IF((AND((AC45&gt;=AD45),(AC45&lt;=AB45))),(M45-Q45),IF((AND((AD45&lt;=AA45),(AB45&gt;=AA45))),0,IF(AC45&gt;AB45,((AD45-AA45)*12)*N45,0)))))</f>
        <v>3729</v>
      </c>
      <c r="V45" s="310">
        <f t="shared" ref="V45:V68" si="28">U45*R45</f>
        <v>3729</v>
      </c>
      <c r="W45" s="308">
        <v>1</v>
      </c>
      <c r="X45" s="310">
        <f t="shared" ref="X45:X68" si="29">V45*W45</f>
        <v>3729</v>
      </c>
      <c r="Y45" s="310">
        <f t="shared" ref="Y45:Y68" si="30">IF(L45&gt;0,0,X45+S45*W45)*W45</f>
        <v>3729</v>
      </c>
      <c r="Z45" s="310">
        <f t="shared" ref="Z45:Z66" si="31">IF(L45&gt;0,(K45-X45)/2,IF(AA45&gt;=AD45,(((K45*R45)*W45)-Y45)/2,((((K45*R45)*W45)-X45)+(((K45*R45)*W45)-Y45))/2))</f>
        <v>0</v>
      </c>
      <c r="AA45" s="300">
        <f t="shared" ref="AA45:AA68" si="32">$C45+(($D45-1)/12)</f>
        <v>2007.4166666666667</v>
      </c>
      <c r="AB45" s="300">
        <f t="shared" ref="AB45:AB68" si="33">($M$5+1)-($M$2/12)</f>
        <v>2020</v>
      </c>
      <c r="AC45" s="300">
        <f t="shared" ref="AC45:AC68" si="34">$H45+(($D45-1)/12)</f>
        <v>2017.4166666666667</v>
      </c>
      <c r="AD45" s="301">
        <f t="shared" ref="AD45:AD68" si="35">$M$4+($M$3/12)</f>
        <v>2019</v>
      </c>
      <c r="AE45" s="301">
        <f t="shared" ref="AE45:AE68" si="36">$I45+(($J45-1)/12)</f>
        <v>-8.3333333333333329E-2</v>
      </c>
      <c r="AF45" s="301">
        <f t="shared" ref="AF45:AF68" si="37">$H45+(($D45-1)/12)</f>
        <v>2017.4166666666667</v>
      </c>
      <c r="AG45" s="301">
        <f t="shared" ref="AG45:AG68" si="38">$M$4+($M$3/12)</f>
        <v>2019</v>
      </c>
      <c r="AH45" s="301">
        <f t="shared" ref="AH45:AH68" si="39">$I45+(($J45-1)/12)</f>
        <v>-8.3333333333333329E-2</v>
      </c>
    </row>
    <row r="46" spans="1:34" ht="15.75">
      <c r="A46" s="314">
        <v>41</v>
      </c>
      <c r="B46" s="314" t="s">
        <v>451</v>
      </c>
      <c r="C46" s="304">
        <v>2007</v>
      </c>
      <c r="D46" s="305">
        <v>6</v>
      </c>
      <c r="E46" s="306">
        <v>0</v>
      </c>
      <c r="F46" s="307" t="s">
        <v>434</v>
      </c>
      <c r="G46" s="308">
        <v>10</v>
      </c>
      <c r="H46" s="309">
        <f t="shared" si="20"/>
        <v>2017</v>
      </c>
      <c r="I46" s="308"/>
      <c r="J46" s="308"/>
      <c r="K46" s="310">
        <v>4305</v>
      </c>
      <c r="L46" s="308"/>
      <c r="M46" s="310">
        <f t="shared" si="21"/>
        <v>4305</v>
      </c>
      <c r="N46" s="310">
        <f t="shared" si="22"/>
        <v>35.875</v>
      </c>
      <c r="O46" s="310">
        <f t="shared" si="23"/>
        <v>0</v>
      </c>
      <c r="P46" s="310">
        <f t="shared" si="24"/>
        <v>0</v>
      </c>
      <c r="Q46" s="310">
        <f t="shared" si="25"/>
        <v>0</v>
      </c>
      <c r="R46" s="308">
        <v>1</v>
      </c>
      <c r="S46" s="310">
        <f t="shared" si="26"/>
        <v>0</v>
      </c>
      <c r="T46" s="308"/>
      <c r="U46" s="310">
        <f t="shared" si="27"/>
        <v>4305</v>
      </c>
      <c r="V46" s="310">
        <f t="shared" si="28"/>
        <v>4305</v>
      </c>
      <c r="W46" s="308">
        <v>1</v>
      </c>
      <c r="X46" s="310">
        <f t="shared" si="29"/>
        <v>4305</v>
      </c>
      <c r="Y46" s="310">
        <f t="shared" si="30"/>
        <v>4305</v>
      </c>
      <c r="Z46" s="310">
        <f t="shared" si="31"/>
        <v>0</v>
      </c>
      <c r="AA46" s="300">
        <f t="shared" si="32"/>
        <v>2007.4166666666667</v>
      </c>
      <c r="AB46" s="300">
        <f t="shared" si="33"/>
        <v>2020</v>
      </c>
      <c r="AC46" s="300">
        <f t="shared" si="34"/>
        <v>2017.4166666666667</v>
      </c>
      <c r="AD46" s="301">
        <f t="shared" si="35"/>
        <v>2019</v>
      </c>
      <c r="AE46" s="301">
        <f t="shared" si="36"/>
        <v>-8.3333333333333329E-2</v>
      </c>
      <c r="AF46" s="301">
        <f t="shared" si="37"/>
        <v>2017.4166666666667</v>
      </c>
      <c r="AG46" s="301">
        <f t="shared" si="38"/>
        <v>2019</v>
      </c>
      <c r="AH46" s="301">
        <f t="shared" si="39"/>
        <v>-8.3333333333333329E-2</v>
      </c>
    </row>
    <row r="47" spans="1:34" ht="15.75">
      <c r="A47" s="314">
        <v>47</v>
      </c>
      <c r="B47" s="314" t="s">
        <v>452</v>
      </c>
      <c r="C47" s="304">
        <v>2008</v>
      </c>
      <c r="D47" s="305">
        <v>6</v>
      </c>
      <c r="E47" s="306">
        <v>0</v>
      </c>
      <c r="F47" s="307" t="s">
        <v>434</v>
      </c>
      <c r="G47" s="308">
        <v>10</v>
      </c>
      <c r="H47" s="309">
        <f t="shared" si="20"/>
        <v>2018</v>
      </c>
      <c r="I47" s="308"/>
      <c r="J47" s="308"/>
      <c r="K47" s="310">
        <v>9077</v>
      </c>
      <c r="L47" s="308"/>
      <c r="M47" s="310">
        <f t="shared" si="21"/>
        <v>9077</v>
      </c>
      <c r="N47" s="310">
        <f t="shared" si="22"/>
        <v>75.641666666666666</v>
      </c>
      <c r="O47" s="310">
        <f t="shared" si="23"/>
        <v>0</v>
      </c>
      <c r="P47" s="310">
        <f t="shared" si="24"/>
        <v>0</v>
      </c>
      <c r="Q47" s="310">
        <f t="shared" si="25"/>
        <v>0</v>
      </c>
      <c r="R47" s="308">
        <v>1</v>
      </c>
      <c r="S47" s="310">
        <f t="shared" si="26"/>
        <v>0</v>
      </c>
      <c r="T47" s="308"/>
      <c r="U47" s="310">
        <f t="shared" si="27"/>
        <v>9077</v>
      </c>
      <c r="V47" s="310">
        <f t="shared" si="28"/>
        <v>9077</v>
      </c>
      <c r="W47" s="308">
        <v>1</v>
      </c>
      <c r="X47" s="310">
        <f t="shared" si="29"/>
        <v>9077</v>
      </c>
      <c r="Y47" s="310">
        <f t="shared" si="30"/>
        <v>9077</v>
      </c>
      <c r="Z47" s="310">
        <f t="shared" si="31"/>
        <v>0</v>
      </c>
      <c r="AA47" s="300">
        <f t="shared" si="32"/>
        <v>2008.4166666666667</v>
      </c>
      <c r="AB47" s="300">
        <f t="shared" si="33"/>
        <v>2020</v>
      </c>
      <c r="AC47" s="300">
        <f t="shared" si="34"/>
        <v>2018.4166666666667</v>
      </c>
      <c r="AD47" s="301">
        <f t="shared" si="35"/>
        <v>2019</v>
      </c>
      <c r="AE47" s="301">
        <f t="shared" si="36"/>
        <v>-8.3333333333333329E-2</v>
      </c>
      <c r="AF47" s="301">
        <f t="shared" si="37"/>
        <v>2018.4166666666667</v>
      </c>
      <c r="AG47" s="301">
        <f t="shared" si="38"/>
        <v>2019</v>
      </c>
      <c r="AH47" s="301">
        <f t="shared" si="39"/>
        <v>-8.3333333333333329E-2</v>
      </c>
    </row>
    <row r="48" spans="1:34" ht="15.75">
      <c r="A48" s="314">
        <v>48</v>
      </c>
      <c r="B48" s="314" t="s">
        <v>453</v>
      </c>
      <c r="C48" s="304">
        <v>2008</v>
      </c>
      <c r="D48" s="305">
        <v>6</v>
      </c>
      <c r="E48" s="306">
        <v>0</v>
      </c>
      <c r="F48" s="307" t="s">
        <v>434</v>
      </c>
      <c r="G48" s="308">
        <v>10</v>
      </c>
      <c r="H48" s="309">
        <f t="shared" si="20"/>
        <v>2018</v>
      </c>
      <c r="I48" s="308"/>
      <c r="J48" s="308"/>
      <c r="K48" s="310">
        <v>490</v>
      </c>
      <c r="L48" s="308"/>
      <c r="M48" s="310">
        <f t="shared" si="21"/>
        <v>490</v>
      </c>
      <c r="N48" s="310">
        <f t="shared" si="22"/>
        <v>4.083333333333333</v>
      </c>
      <c r="O48" s="310">
        <f t="shared" si="23"/>
        <v>0</v>
      </c>
      <c r="P48" s="310">
        <f t="shared" si="24"/>
        <v>0</v>
      </c>
      <c r="Q48" s="310">
        <f t="shared" si="25"/>
        <v>0</v>
      </c>
      <c r="R48" s="308">
        <v>1</v>
      </c>
      <c r="S48" s="310">
        <f t="shared" si="26"/>
        <v>0</v>
      </c>
      <c r="T48" s="308"/>
      <c r="U48" s="310">
        <f t="shared" si="27"/>
        <v>490</v>
      </c>
      <c r="V48" s="310">
        <f t="shared" si="28"/>
        <v>490</v>
      </c>
      <c r="W48" s="308">
        <v>1</v>
      </c>
      <c r="X48" s="310">
        <f t="shared" si="29"/>
        <v>490</v>
      </c>
      <c r="Y48" s="310">
        <f t="shared" si="30"/>
        <v>490</v>
      </c>
      <c r="Z48" s="310">
        <f t="shared" si="31"/>
        <v>0</v>
      </c>
      <c r="AA48" s="300">
        <f t="shared" si="32"/>
        <v>2008.4166666666667</v>
      </c>
      <c r="AB48" s="300">
        <f t="shared" si="33"/>
        <v>2020</v>
      </c>
      <c r="AC48" s="300">
        <f t="shared" si="34"/>
        <v>2018.4166666666667</v>
      </c>
      <c r="AD48" s="301">
        <f t="shared" si="35"/>
        <v>2019</v>
      </c>
      <c r="AE48" s="301">
        <f t="shared" si="36"/>
        <v>-8.3333333333333329E-2</v>
      </c>
      <c r="AF48" s="301">
        <f t="shared" si="37"/>
        <v>2018.4166666666667</v>
      </c>
      <c r="AG48" s="301">
        <f t="shared" si="38"/>
        <v>2019</v>
      </c>
      <c r="AH48" s="301">
        <f t="shared" si="39"/>
        <v>-8.3333333333333329E-2</v>
      </c>
    </row>
    <row r="49" spans="1:34" ht="15.75">
      <c r="A49" s="314">
        <v>49</v>
      </c>
      <c r="B49" s="314" t="s">
        <v>454</v>
      </c>
      <c r="C49" s="304">
        <v>2008</v>
      </c>
      <c r="D49" s="305">
        <v>6</v>
      </c>
      <c r="E49" s="306">
        <v>0</v>
      </c>
      <c r="F49" s="307" t="s">
        <v>434</v>
      </c>
      <c r="G49" s="308">
        <v>10</v>
      </c>
      <c r="H49" s="309">
        <f t="shared" si="20"/>
        <v>2018</v>
      </c>
      <c r="I49" s="308"/>
      <c r="J49" s="308"/>
      <c r="K49" s="310">
        <v>4098</v>
      </c>
      <c r="L49" s="308"/>
      <c r="M49" s="310">
        <f t="shared" si="21"/>
        <v>4098</v>
      </c>
      <c r="N49" s="310">
        <f t="shared" si="22"/>
        <v>34.15</v>
      </c>
      <c r="O49" s="310">
        <f t="shared" si="23"/>
        <v>0</v>
      </c>
      <c r="P49" s="310">
        <f t="shared" si="24"/>
        <v>0</v>
      </c>
      <c r="Q49" s="310">
        <f t="shared" si="25"/>
        <v>0</v>
      </c>
      <c r="R49" s="308">
        <v>1</v>
      </c>
      <c r="S49" s="310">
        <f t="shared" si="26"/>
        <v>0</v>
      </c>
      <c r="T49" s="308"/>
      <c r="U49" s="310">
        <f t="shared" si="27"/>
        <v>4098</v>
      </c>
      <c r="V49" s="310">
        <f t="shared" si="28"/>
        <v>4098</v>
      </c>
      <c r="W49" s="308">
        <v>1</v>
      </c>
      <c r="X49" s="310">
        <f t="shared" si="29"/>
        <v>4098</v>
      </c>
      <c r="Y49" s="310">
        <f t="shared" si="30"/>
        <v>4098</v>
      </c>
      <c r="Z49" s="310">
        <f t="shared" si="31"/>
        <v>0</v>
      </c>
      <c r="AA49" s="300">
        <f t="shared" si="32"/>
        <v>2008.4166666666667</v>
      </c>
      <c r="AB49" s="300">
        <f t="shared" si="33"/>
        <v>2020</v>
      </c>
      <c r="AC49" s="300">
        <f t="shared" si="34"/>
        <v>2018.4166666666667</v>
      </c>
      <c r="AD49" s="301">
        <f t="shared" si="35"/>
        <v>2019</v>
      </c>
      <c r="AE49" s="301">
        <f t="shared" si="36"/>
        <v>-8.3333333333333329E-2</v>
      </c>
      <c r="AF49" s="301">
        <f t="shared" si="37"/>
        <v>2018.4166666666667</v>
      </c>
      <c r="AG49" s="301">
        <f t="shared" si="38"/>
        <v>2019</v>
      </c>
      <c r="AH49" s="301">
        <f t="shared" si="39"/>
        <v>-8.3333333333333329E-2</v>
      </c>
    </row>
    <row r="50" spans="1:34" ht="15.75">
      <c r="A50" s="314">
        <v>50</v>
      </c>
      <c r="B50" s="314" t="s">
        <v>455</v>
      </c>
      <c r="C50" s="304">
        <v>2008</v>
      </c>
      <c r="D50" s="305">
        <v>6</v>
      </c>
      <c r="E50" s="306">
        <v>0</v>
      </c>
      <c r="F50" s="307" t="s">
        <v>434</v>
      </c>
      <c r="G50" s="308">
        <v>10</v>
      </c>
      <c r="H50" s="309">
        <f t="shared" si="20"/>
        <v>2018</v>
      </c>
      <c r="I50" s="308"/>
      <c r="J50" s="308"/>
      <c r="K50" s="310">
        <v>1760</v>
      </c>
      <c r="L50" s="308"/>
      <c r="M50" s="310">
        <f t="shared" si="21"/>
        <v>1760</v>
      </c>
      <c r="N50" s="310">
        <f t="shared" si="22"/>
        <v>14.666666666666666</v>
      </c>
      <c r="O50" s="310">
        <f t="shared" si="23"/>
        <v>0</v>
      </c>
      <c r="P50" s="310">
        <f t="shared" si="24"/>
        <v>0</v>
      </c>
      <c r="Q50" s="310">
        <f t="shared" si="25"/>
        <v>0</v>
      </c>
      <c r="R50" s="308">
        <v>1</v>
      </c>
      <c r="S50" s="310">
        <f t="shared" si="26"/>
        <v>0</v>
      </c>
      <c r="T50" s="308"/>
      <c r="U50" s="310">
        <f t="shared" si="27"/>
        <v>1760</v>
      </c>
      <c r="V50" s="310">
        <f t="shared" si="28"/>
        <v>1760</v>
      </c>
      <c r="W50" s="308">
        <v>1</v>
      </c>
      <c r="X50" s="310">
        <f t="shared" si="29"/>
        <v>1760</v>
      </c>
      <c r="Y50" s="310">
        <f t="shared" si="30"/>
        <v>1760</v>
      </c>
      <c r="Z50" s="310">
        <f t="shared" si="31"/>
        <v>0</v>
      </c>
      <c r="AA50" s="300">
        <f t="shared" si="32"/>
        <v>2008.4166666666667</v>
      </c>
      <c r="AB50" s="300">
        <f t="shared" si="33"/>
        <v>2020</v>
      </c>
      <c r="AC50" s="300">
        <f t="shared" si="34"/>
        <v>2018.4166666666667</v>
      </c>
      <c r="AD50" s="301">
        <f t="shared" si="35"/>
        <v>2019</v>
      </c>
      <c r="AE50" s="301">
        <f t="shared" si="36"/>
        <v>-8.3333333333333329E-2</v>
      </c>
      <c r="AF50" s="301">
        <f t="shared" si="37"/>
        <v>2018.4166666666667</v>
      </c>
      <c r="AG50" s="301">
        <f t="shared" si="38"/>
        <v>2019</v>
      </c>
      <c r="AH50" s="301">
        <f t="shared" si="39"/>
        <v>-8.3333333333333329E-2</v>
      </c>
    </row>
    <row r="51" spans="1:34" ht="15.75">
      <c r="A51" s="314">
        <v>51</v>
      </c>
      <c r="B51" s="314" t="s">
        <v>456</v>
      </c>
      <c r="C51" s="304">
        <v>2009</v>
      </c>
      <c r="D51" s="305">
        <v>6</v>
      </c>
      <c r="E51" s="306">
        <v>0</v>
      </c>
      <c r="F51" s="307" t="s">
        <v>434</v>
      </c>
      <c r="G51" s="308">
        <v>10</v>
      </c>
      <c r="H51" s="309">
        <f t="shared" si="20"/>
        <v>2019</v>
      </c>
      <c r="I51" s="308"/>
      <c r="J51" s="308"/>
      <c r="K51" s="310">
        <v>2100</v>
      </c>
      <c r="L51" s="308"/>
      <c r="M51" s="310">
        <f t="shared" si="21"/>
        <v>2100</v>
      </c>
      <c r="N51" s="310">
        <f t="shared" si="22"/>
        <v>17.5</v>
      </c>
      <c r="O51" s="310">
        <f t="shared" si="23"/>
        <v>87.500000000015916</v>
      </c>
      <c r="P51" s="310">
        <f t="shared" si="24"/>
        <v>0</v>
      </c>
      <c r="Q51" s="310">
        <f t="shared" si="25"/>
        <v>87.500000000015916</v>
      </c>
      <c r="R51" s="308">
        <v>1</v>
      </c>
      <c r="S51" s="310">
        <f t="shared" si="26"/>
        <v>87.500000000015916</v>
      </c>
      <c r="T51" s="308"/>
      <c r="U51" s="310">
        <f t="shared" si="27"/>
        <v>2012.4999999999841</v>
      </c>
      <c r="V51" s="310">
        <f t="shared" si="28"/>
        <v>2012.4999999999841</v>
      </c>
      <c r="W51" s="308">
        <v>1</v>
      </c>
      <c r="X51" s="310">
        <f t="shared" si="29"/>
        <v>2012.4999999999841</v>
      </c>
      <c r="Y51" s="310">
        <f t="shared" si="30"/>
        <v>2100</v>
      </c>
      <c r="Z51" s="310">
        <f t="shared" si="31"/>
        <v>43.750000000007958</v>
      </c>
      <c r="AA51" s="300">
        <f t="shared" si="32"/>
        <v>2009.4166666666667</v>
      </c>
      <c r="AB51" s="300">
        <f t="shared" si="33"/>
        <v>2020</v>
      </c>
      <c r="AC51" s="300">
        <f t="shared" si="34"/>
        <v>2019.4166666666667</v>
      </c>
      <c r="AD51" s="301">
        <f t="shared" si="35"/>
        <v>2019</v>
      </c>
      <c r="AE51" s="301">
        <f t="shared" si="36"/>
        <v>-8.3333333333333329E-2</v>
      </c>
      <c r="AF51" s="301">
        <f t="shared" si="37"/>
        <v>2019.4166666666667</v>
      </c>
      <c r="AG51" s="301">
        <f t="shared" si="38"/>
        <v>2019</v>
      </c>
      <c r="AH51" s="301">
        <f t="shared" si="39"/>
        <v>-8.3333333333333329E-2</v>
      </c>
    </row>
    <row r="52" spans="1:34" ht="15.75">
      <c r="A52" s="314">
        <v>52</v>
      </c>
      <c r="B52" s="314" t="s">
        <v>457</v>
      </c>
      <c r="C52" s="304">
        <v>2009</v>
      </c>
      <c r="D52" s="305">
        <v>6</v>
      </c>
      <c r="E52" s="306">
        <v>0</v>
      </c>
      <c r="F52" s="307" t="s">
        <v>434</v>
      </c>
      <c r="G52" s="308">
        <v>10</v>
      </c>
      <c r="H52" s="309">
        <f t="shared" si="20"/>
        <v>2019</v>
      </c>
      <c r="I52" s="308"/>
      <c r="J52" s="308"/>
      <c r="K52" s="310">
        <v>1450</v>
      </c>
      <c r="L52" s="308"/>
      <c r="M52" s="310">
        <f t="shared" si="21"/>
        <v>1450</v>
      </c>
      <c r="N52" s="310">
        <f t="shared" si="22"/>
        <v>12.083333333333334</v>
      </c>
      <c r="O52" s="310">
        <f t="shared" si="23"/>
        <v>60.416666666677656</v>
      </c>
      <c r="P52" s="310">
        <f t="shared" si="24"/>
        <v>0</v>
      </c>
      <c r="Q52" s="310">
        <f t="shared" si="25"/>
        <v>60.416666666677656</v>
      </c>
      <c r="R52" s="308">
        <v>1</v>
      </c>
      <c r="S52" s="310">
        <f t="shared" si="26"/>
        <v>60.416666666677656</v>
      </c>
      <c r="T52" s="308"/>
      <c r="U52" s="310">
        <f t="shared" si="27"/>
        <v>1389.5833333333223</v>
      </c>
      <c r="V52" s="310">
        <f t="shared" si="28"/>
        <v>1389.5833333333223</v>
      </c>
      <c r="W52" s="308">
        <v>1</v>
      </c>
      <c r="X52" s="310">
        <f t="shared" si="29"/>
        <v>1389.5833333333223</v>
      </c>
      <c r="Y52" s="310">
        <f t="shared" si="30"/>
        <v>1450</v>
      </c>
      <c r="Z52" s="310">
        <f t="shared" si="31"/>
        <v>30.208333333338828</v>
      </c>
      <c r="AA52" s="300">
        <f t="shared" si="32"/>
        <v>2009.4166666666667</v>
      </c>
      <c r="AB52" s="300">
        <f t="shared" si="33"/>
        <v>2020</v>
      </c>
      <c r="AC52" s="300">
        <f t="shared" si="34"/>
        <v>2019.4166666666667</v>
      </c>
      <c r="AD52" s="301">
        <f t="shared" si="35"/>
        <v>2019</v>
      </c>
      <c r="AE52" s="301">
        <f t="shared" si="36"/>
        <v>-8.3333333333333329E-2</v>
      </c>
      <c r="AF52" s="301">
        <f t="shared" si="37"/>
        <v>2019.4166666666667</v>
      </c>
      <c r="AG52" s="301">
        <f t="shared" si="38"/>
        <v>2019</v>
      </c>
      <c r="AH52" s="301">
        <f t="shared" si="39"/>
        <v>-8.3333333333333329E-2</v>
      </c>
    </row>
    <row r="53" spans="1:34" ht="15.75">
      <c r="A53" s="314">
        <v>53</v>
      </c>
      <c r="B53" s="314" t="s">
        <v>458</v>
      </c>
      <c r="C53" s="304">
        <v>2009</v>
      </c>
      <c r="D53" s="305">
        <v>6</v>
      </c>
      <c r="E53" s="306">
        <v>0</v>
      </c>
      <c r="F53" s="307" t="s">
        <v>434</v>
      </c>
      <c r="G53" s="308">
        <v>10</v>
      </c>
      <c r="H53" s="309">
        <f t="shared" si="20"/>
        <v>2019</v>
      </c>
      <c r="I53" s="308"/>
      <c r="J53" s="308"/>
      <c r="K53" s="310">
        <v>1554</v>
      </c>
      <c r="L53" s="308"/>
      <c r="M53" s="310">
        <f t="shared" si="21"/>
        <v>1554</v>
      </c>
      <c r="N53" s="310">
        <f t="shared" si="22"/>
        <v>12.950000000000001</v>
      </c>
      <c r="O53" s="310">
        <f t="shared" si="23"/>
        <v>64.750000000011781</v>
      </c>
      <c r="P53" s="310">
        <f t="shared" si="24"/>
        <v>0</v>
      </c>
      <c r="Q53" s="310">
        <f t="shared" si="25"/>
        <v>64.750000000011781</v>
      </c>
      <c r="R53" s="308">
        <v>1</v>
      </c>
      <c r="S53" s="310">
        <f t="shared" si="26"/>
        <v>64.750000000011781</v>
      </c>
      <c r="T53" s="308"/>
      <c r="U53" s="310">
        <f t="shared" si="27"/>
        <v>1489.2499999999882</v>
      </c>
      <c r="V53" s="310">
        <f t="shared" si="28"/>
        <v>1489.2499999999882</v>
      </c>
      <c r="W53" s="308">
        <v>1</v>
      </c>
      <c r="X53" s="310">
        <f t="shared" si="29"/>
        <v>1489.2499999999882</v>
      </c>
      <c r="Y53" s="310">
        <f t="shared" si="30"/>
        <v>1554</v>
      </c>
      <c r="Z53" s="310">
        <f t="shared" si="31"/>
        <v>32.375000000005912</v>
      </c>
      <c r="AA53" s="300">
        <f t="shared" si="32"/>
        <v>2009.4166666666667</v>
      </c>
      <c r="AB53" s="300">
        <f t="shared" si="33"/>
        <v>2020</v>
      </c>
      <c r="AC53" s="300">
        <f t="shared" si="34"/>
        <v>2019.4166666666667</v>
      </c>
      <c r="AD53" s="301">
        <f t="shared" si="35"/>
        <v>2019</v>
      </c>
      <c r="AE53" s="301">
        <f t="shared" si="36"/>
        <v>-8.3333333333333329E-2</v>
      </c>
      <c r="AF53" s="301">
        <f t="shared" si="37"/>
        <v>2019.4166666666667</v>
      </c>
      <c r="AG53" s="301">
        <f t="shared" si="38"/>
        <v>2019</v>
      </c>
      <c r="AH53" s="301">
        <f t="shared" si="39"/>
        <v>-8.3333333333333329E-2</v>
      </c>
    </row>
    <row r="54" spans="1:34" ht="15.75">
      <c r="A54" s="314">
        <v>60</v>
      </c>
      <c r="B54" s="314" t="s">
        <v>324</v>
      </c>
      <c r="C54" s="304">
        <v>2012</v>
      </c>
      <c r="D54" s="305">
        <v>5</v>
      </c>
      <c r="E54" s="306">
        <v>0</v>
      </c>
      <c r="F54" s="307" t="s">
        <v>434</v>
      </c>
      <c r="G54" s="308">
        <v>10</v>
      </c>
      <c r="H54" s="309">
        <f t="shared" si="20"/>
        <v>2022</v>
      </c>
      <c r="I54" s="308"/>
      <c r="J54" s="308"/>
      <c r="K54" s="310">
        <v>7633</v>
      </c>
      <c r="L54" s="308"/>
      <c r="M54" s="310">
        <f t="shared" si="21"/>
        <v>7633</v>
      </c>
      <c r="N54" s="310">
        <f t="shared" si="22"/>
        <v>63.608333333333327</v>
      </c>
      <c r="O54" s="310">
        <f t="shared" si="23"/>
        <v>763.3</v>
      </c>
      <c r="P54" s="310">
        <f t="shared" si="24"/>
        <v>0</v>
      </c>
      <c r="Q54" s="310">
        <f t="shared" si="25"/>
        <v>763.3</v>
      </c>
      <c r="R54" s="308">
        <v>1</v>
      </c>
      <c r="S54" s="310">
        <f t="shared" si="26"/>
        <v>763.3</v>
      </c>
      <c r="T54" s="308"/>
      <c r="U54" s="310">
        <f t="shared" si="27"/>
        <v>5088.6666666667243</v>
      </c>
      <c r="V54" s="310">
        <f t="shared" si="28"/>
        <v>5088.6666666667243</v>
      </c>
      <c r="W54" s="308">
        <v>1</v>
      </c>
      <c r="X54" s="310">
        <f t="shared" si="29"/>
        <v>5088.6666666667243</v>
      </c>
      <c r="Y54" s="310">
        <f t="shared" si="30"/>
        <v>5851.9666666667244</v>
      </c>
      <c r="Z54" s="310">
        <f t="shared" si="31"/>
        <v>2162.6833333332756</v>
      </c>
      <c r="AA54" s="300">
        <f t="shared" si="32"/>
        <v>2012.3333333333333</v>
      </c>
      <c r="AB54" s="300">
        <f t="shared" si="33"/>
        <v>2020</v>
      </c>
      <c r="AC54" s="300">
        <f t="shared" si="34"/>
        <v>2022.3333333333333</v>
      </c>
      <c r="AD54" s="301">
        <f t="shared" si="35"/>
        <v>2019</v>
      </c>
      <c r="AE54" s="301">
        <f t="shared" si="36"/>
        <v>-8.3333333333333329E-2</v>
      </c>
      <c r="AF54" s="301">
        <f t="shared" si="37"/>
        <v>2022.3333333333333</v>
      </c>
      <c r="AG54" s="301">
        <f t="shared" si="38"/>
        <v>2019</v>
      </c>
      <c r="AH54" s="301">
        <f t="shared" si="39"/>
        <v>-8.3333333333333329E-2</v>
      </c>
    </row>
    <row r="55" spans="1:34" ht="15.75">
      <c r="A55" s="314">
        <v>63</v>
      </c>
      <c r="B55" s="314" t="s">
        <v>459</v>
      </c>
      <c r="C55" s="304">
        <v>2013</v>
      </c>
      <c r="D55" s="305">
        <v>4</v>
      </c>
      <c r="E55" s="306">
        <v>0</v>
      </c>
      <c r="F55" s="307" t="s">
        <v>434</v>
      </c>
      <c r="G55" s="308">
        <v>10</v>
      </c>
      <c r="H55" s="309">
        <f t="shared" si="20"/>
        <v>2023</v>
      </c>
      <c r="I55" s="308"/>
      <c r="J55" s="308"/>
      <c r="K55" s="310">
        <v>75146</v>
      </c>
      <c r="L55" s="308"/>
      <c r="M55" s="310">
        <f t="shared" si="21"/>
        <v>75146</v>
      </c>
      <c r="N55" s="310">
        <f t="shared" si="22"/>
        <v>626.2166666666667</v>
      </c>
      <c r="O55" s="310">
        <f t="shared" si="23"/>
        <v>7514.6</v>
      </c>
      <c r="P55" s="310">
        <f t="shared" si="24"/>
        <v>0</v>
      </c>
      <c r="Q55" s="310">
        <f t="shared" si="25"/>
        <v>7514.6</v>
      </c>
      <c r="R55" s="308">
        <v>1</v>
      </c>
      <c r="S55" s="310">
        <f t="shared" si="26"/>
        <v>7514.6</v>
      </c>
      <c r="T55" s="308"/>
      <c r="U55" s="310">
        <f t="shared" si="27"/>
        <v>43208.950000000004</v>
      </c>
      <c r="V55" s="310">
        <f t="shared" si="28"/>
        <v>43208.950000000004</v>
      </c>
      <c r="W55" s="308">
        <v>1</v>
      </c>
      <c r="X55" s="310">
        <f t="shared" si="29"/>
        <v>43208.950000000004</v>
      </c>
      <c r="Y55" s="310">
        <f t="shared" si="30"/>
        <v>50723.55</v>
      </c>
      <c r="Z55" s="310">
        <f t="shared" si="31"/>
        <v>28179.749999999996</v>
      </c>
      <c r="AA55" s="300">
        <f t="shared" si="32"/>
        <v>2013.25</v>
      </c>
      <c r="AB55" s="300">
        <f t="shared" si="33"/>
        <v>2020</v>
      </c>
      <c r="AC55" s="300">
        <f t="shared" si="34"/>
        <v>2023.25</v>
      </c>
      <c r="AD55" s="301">
        <f t="shared" si="35"/>
        <v>2019</v>
      </c>
      <c r="AE55" s="301">
        <f t="shared" si="36"/>
        <v>-8.3333333333333329E-2</v>
      </c>
      <c r="AF55" s="301">
        <f t="shared" si="37"/>
        <v>2023.25</v>
      </c>
      <c r="AG55" s="301">
        <f t="shared" si="38"/>
        <v>2019</v>
      </c>
      <c r="AH55" s="301">
        <f t="shared" si="39"/>
        <v>-8.3333333333333329E-2</v>
      </c>
    </row>
    <row r="56" spans="1:34" ht="15.75">
      <c r="A56" s="314">
        <v>72</v>
      </c>
      <c r="B56" s="314" t="s">
        <v>460</v>
      </c>
      <c r="C56" s="304">
        <v>2014</v>
      </c>
      <c r="D56" s="305">
        <v>8</v>
      </c>
      <c r="E56" s="306">
        <v>0</v>
      </c>
      <c r="F56" s="307" t="s">
        <v>434</v>
      </c>
      <c r="G56" s="308">
        <v>10</v>
      </c>
      <c r="H56" s="309">
        <f t="shared" si="20"/>
        <v>2024</v>
      </c>
      <c r="I56" s="308"/>
      <c r="J56" s="308"/>
      <c r="K56" s="310">
        <v>22998</v>
      </c>
      <c r="L56" s="308"/>
      <c r="M56" s="310">
        <f t="shared" si="21"/>
        <v>22998</v>
      </c>
      <c r="N56" s="310">
        <f t="shared" si="22"/>
        <v>191.65</v>
      </c>
      <c r="O56" s="310">
        <f t="shared" si="23"/>
        <v>2299.8000000000002</v>
      </c>
      <c r="P56" s="310">
        <f t="shared" si="24"/>
        <v>0</v>
      </c>
      <c r="Q56" s="310">
        <f t="shared" si="25"/>
        <v>2299.8000000000002</v>
      </c>
      <c r="R56" s="308">
        <v>1</v>
      </c>
      <c r="S56" s="310">
        <f t="shared" si="26"/>
        <v>2299.8000000000002</v>
      </c>
      <c r="T56" s="308"/>
      <c r="U56" s="310">
        <f t="shared" si="27"/>
        <v>10157.450000000175</v>
      </c>
      <c r="V56" s="310">
        <f t="shared" si="28"/>
        <v>10157.450000000175</v>
      </c>
      <c r="W56" s="308">
        <v>1</v>
      </c>
      <c r="X56" s="310">
        <f t="shared" si="29"/>
        <v>10157.450000000175</v>
      </c>
      <c r="Y56" s="310">
        <f t="shared" si="30"/>
        <v>12457.250000000175</v>
      </c>
      <c r="Z56" s="310">
        <f t="shared" si="31"/>
        <v>11690.649999999825</v>
      </c>
      <c r="AA56" s="300">
        <f t="shared" si="32"/>
        <v>2014.5833333333333</v>
      </c>
      <c r="AB56" s="300">
        <f t="shared" si="33"/>
        <v>2020</v>
      </c>
      <c r="AC56" s="300">
        <f t="shared" si="34"/>
        <v>2024.5833333333333</v>
      </c>
      <c r="AD56" s="301">
        <f t="shared" si="35"/>
        <v>2019</v>
      </c>
      <c r="AE56" s="301">
        <f t="shared" si="36"/>
        <v>-8.3333333333333329E-2</v>
      </c>
      <c r="AF56" s="301">
        <f t="shared" si="37"/>
        <v>2024.5833333333333</v>
      </c>
      <c r="AG56" s="301">
        <f t="shared" si="38"/>
        <v>2019</v>
      </c>
      <c r="AH56" s="301">
        <f t="shared" si="39"/>
        <v>-8.3333333333333329E-2</v>
      </c>
    </row>
    <row r="57" spans="1:34" ht="15.75">
      <c r="A57" s="314">
        <v>75</v>
      </c>
      <c r="B57" s="314" t="s">
        <v>462</v>
      </c>
      <c r="C57" s="304">
        <v>2015</v>
      </c>
      <c r="D57" s="305">
        <v>5</v>
      </c>
      <c r="E57" s="306">
        <v>0</v>
      </c>
      <c r="F57" s="307" t="s">
        <v>434</v>
      </c>
      <c r="G57" s="308">
        <v>10</v>
      </c>
      <c r="H57" s="309">
        <f t="shared" si="20"/>
        <v>2025</v>
      </c>
      <c r="I57" s="308"/>
      <c r="J57" s="308"/>
      <c r="K57" s="310">
        <v>7206.63</v>
      </c>
      <c r="L57" s="308"/>
      <c r="M57" s="310">
        <f t="shared" si="21"/>
        <v>7206.63</v>
      </c>
      <c r="N57" s="310">
        <f t="shared" si="22"/>
        <v>60.055250000000001</v>
      </c>
      <c r="O57" s="310">
        <f t="shared" si="23"/>
        <v>720.66300000000001</v>
      </c>
      <c r="P57" s="310">
        <f t="shared" si="24"/>
        <v>0</v>
      </c>
      <c r="Q57" s="310">
        <f t="shared" si="25"/>
        <v>720.66300000000001</v>
      </c>
      <c r="R57" s="308">
        <v>1</v>
      </c>
      <c r="S57" s="310">
        <f t="shared" si="26"/>
        <v>720.66300000000001</v>
      </c>
      <c r="T57" s="308"/>
      <c r="U57" s="310">
        <f t="shared" si="27"/>
        <v>2642.4310000000546</v>
      </c>
      <c r="V57" s="310">
        <f t="shared" si="28"/>
        <v>2642.4310000000546</v>
      </c>
      <c r="W57" s="308">
        <v>1</v>
      </c>
      <c r="X57" s="310">
        <f t="shared" si="29"/>
        <v>2642.4310000000546</v>
      </c>
      <c r="Y57" s="310">
        <f t="shared" si="30"/>
        <v>3363.0940000000546</v>
      </c>
      <c r="Z57" s="310">
        <f t="shared" si="31"/>
        <v>4203.8674999999457</v>
      </c>
      <c r="AA57" s="300">
        <f t="shared" si="32"/>
        <v>2015.3333333333333</v>
      </c>
      <c r="AB57" s="300">
        <f t="shared" si="33"/>
        <v>2020</v>
      </c>
      <c r="AC57" s="300">
        <f t="shared" si="34"/>
        <v>2025.3333333333333</v>
      </c>
      <c r="AD57" s="301">
        <f t="shared" si="35"/>
        <v>2019</v>
      </c>
      <c r="AE57" s="301">
        <f t="shared" si="36"/>
        <v>-8.3333333333333329E-2</v>
      </c>
      <c r="AF57" s="301">
        <f t="shared" si="37"/>
        <v>2025.3333333333333</v>
      </c>
      <c r="AG57" s="301">
        <f t="shared" si="38"/>
        <v>2019</v>
      </c>
      <c r="AH57" s="301">
        <f t="shared" si="39"/>
        <v>-8.3333333333333329E-2</v>
      </c>
    </row>
    <row r="58" spans="1:34" ht="15.75">
      <c r="A58" s="314">
        <v>76</v>
      </c>
      <c r="B58" s="314" t="s">
        <v>463</v>
      </c>
      <c r="C58" s="304">
        <v>2015</v>
      </c>
      <c r="D58" s="305">
        <v>10</v>
      </c>
      <c r="E58" s="306">
        <v>0</v>
      </c>
      <c r="F58" s="307" t="s">
        <v>434</v>
      </c>
      <c r="G58" s="308">
        <v>10</v>
      </c>
      <c r="H58" s="309">
        <f t="shared" si="20"/>
        <v>2025</v>
      </c>
      <c r="I58" s="308"/>
      <c r="J58" s="308"/>
      <c r="K58" s="310">
        <v>11199</v>
      </c>
      <c r="L58" s="308"/>
      <c r="M58" s="310">
        <f t="shared" si="21"/>
        <v>11199</v>
      </c>
      <c r="N58" s="310">
        <f t="shared" si="22"/>
        <v>93.325000000000003</v>
      </c>
      <c r="O58" s="310">
        <f t="shared" si="23"/>
        <v>1119.9000000000001</v>
      </c>
      <c r="P58" s="310">
        <f t="shared" si="24"/>
        <v>0</v>
      </c>
      <c r="Q58" s="310">
        <f t="shared" si="25"/>
        <v>1119.9000000000001</v>
      </c>
      <c r="R58" s="308">
        <v>1</v>
      </c>
      <c r="S58" s="310">
        <f t="shared" si="26"/>
        <v>1119.9000000000001</v>
      </c>
      <c r="T58" s="308"/>
      <c r="U58" s="310">
        <f t="shared" si="27"/>
        <v>3639.6750000000002</v>
      </c>
      <c r="V58" s="310">
        <f t="shared" si="28"/>
        <v>3639.6750000000002</v>
      </c>
      <c r="W58" s="308">
        <v>1</v>
      </c>
      <c r="X58" s="310">
        <f t="shared" si="29"/>
        <v>3639.6750000000002</v>
      </c>
      <c r="Y58" s="310">
        <f t="shared" si="30"/>
        <v>4759.5750000000007</v>
      </c>
      <c r="Z58" s="310">
        <f t="shared" si="31"/>
        <v>6999.375</v>
      </c>
      <c r="AA58" s="300">
        <f t="shared" si="32"/>
        <v>2015.75</v>
      </c>
      <c r="AB58" s="300">
        <f t="shared" si="33"/>
        <v>2020</v>
      </c>
      <c r="AC58" s="300">
        <f t="shared" si="34"/>
        <v>2025.75</v>
      </c>
      <c r="AD58" s="301">
        <f t="shared" si="35"/>
        <v>2019</v>
      </c>
      <c r="AE58" s="301">
        <f t="shared" si="36"/>
        <v>-8.3333333333333329E-2</v>
      </c>
      <c r="AF58" s="301">
        <f t="shared" si="37"/>
        <v>2025.75</v>
      </c>
      <c r="AG58" s="301">
        <f t="shared" si="38"/>
        <v>2019</v>
      </c>
      <c r="AH58" s="301">
        <f t="shared" si="39"/>
        <v>-8.3333333333333329E-2</v>
      </c>
    </row>
    <row r="59" spans="1:34" ht="15.75">
      <c r="A59" s="314">
        <v>77</v>
      </c>
      <c r="B59" s="314" t="s">
        <v>465</v>
      </c>
      <c r="C59" s="304">
        <v>2016</v>
      </c>
      <c r="D59" s="305">
        <v>6</v>
      </c>
      <c r="E59" s="306">
        <v>0</v>
      </c>
      <c r="F59" s="307" t="s">
        <v>434</v>
      </c>
      <c r="G59" s="308">
        <v>10</v>
      </c>
      <c r="H59" s="309">
        <f t="shared" si="20"/>
        <v>2026</v>
      </c>
      <c r="I59" s="308"/>
      <c r="J59" s="308"/>
      <c r="K59" s="310">
        <v>6612</v>
      </c>
      <c r="L59" s="308"/>
      <c r="M59" s="310">
        <f t="shared" si="21"/>
        <v>6612</v>
      </c>
      <c r="N59" s="310">
        <f t="shared" si="22"/>
        <v>55.1</v>
      </c>
      <c r="O59" s="310">
        <f t="shared" si="23"/>
        <v>661.2</v>
      </c>
      <c r="P59" s="310">
        <f t="shared" si="24"/>
        <v>0</v>
      </c>
      <c r="Q59" s="310">
        <f t="shared" si="25"/>
        <v>661.2</v>
      </c>
      <c r="R59" s="308">
        <v>1</v>
      </c>
      <c r="S59" s="310">
        <f t="shared" si="26"/>
        <v>661.2</v>
      </c>
      <c r="T59" s="308"/>
      <c r="U59" s="310">
        <f t="shared" si="27"/>
        <v>1708.0999999999499</v>
      </c>
      <c r="V59" s="310">
        <f t="shared" si="28"/>
        <v>1708.0999999999499</v>
      </c>
      <c r="W59" s="308">
        <v>1</v>
      </c>
      <c r="X59" s="310">
        <f t="shared" si="29"/>
        <v>1708.0999999999499</v>
      </c>
      <c r="Y59" s="310">
        <f t="shared" si="30"/>
        <v>2369.2999999999502</v>
      </c>
      <c r="Z59" s="310">
        <f t="shared" si="31"/>
        <v>4573.3000000000502</v>
      </c>
      <c r="AA59" s="300">
        <f t="shared" si="32"/>
        <v>2016.4166666666667</v>
      </c>
      <c r="AB59" s="300">
        <f t="shared" si="33"/>
        <v>2020</v>
      </c>
      <c r="AC59" s="300">
        <f t="shared" si="34"/>
        <v>2026.4166666666667</v>
      </c>
      <c r="AD59" s="301">
        <f t="shared" si="35"/>
        <v>2019</v>
      </c>
      <c r="AE59" s="301">
        <f t="shared" si="36"/>
        <v>-8.3333333333333329E-2</v>
      </c>
      <c r="AF59" s="301">
        <f t="shared" si="37"/>
        <v>2026.4166666666667</v>
      </c>
      <c r="AG59" s="301">
        <f t="shared" si="38"/>
        <v>2019</v>
      </c>
      <c r="AH59" s="301">
        <f t="shared" si="39"/>
        <v>-8.3333333333333329E-2</v>
      </c>
    </row>
    <row r="60" spans="1:34" ht="15.75">
      <c r="A60" s="314">
        <v>79</v>
      </c>
      <c r="B60" s="314" t="s">
        <v>466</v>
      </c>
      <c r="C60" s="304">
        <v>2017</v>
      </c>
      <c r="D60" s="305">
        <v>5</v>
      </c>
      <c r="E60" s="306">
        <v>0</v>
      </c>
      <c r="F60" s="307" t="s">
        <v>434</v>
      </c>
      <c r="G60" s="308">
        <v>10</v>
      </c>
      <c r="H60" s="309">
        <f t="shared" si="20"/>
        <v>2027</v>
      </c>
      <c r="I60" s="308"/>
      <c r="J60" s="308"/>
      <c r="K60" s="310">
        <v>7869</v>
      </c>
      <c r="L60" s="308"/>
      <c r="M60" s="310">
        <f t="shared" si="21"/>
        <v>7869</v>
      </c>
      <c r="N60" s="310">
        <f t="shared" si="22"/>
        <v>65.575000000000003</v>
      </c>
      <c r="O60" s="310">
        <f t="shared" si="23"/>
        <v>786.90000000000009</v>
      </c>
      <c r="P60" s="310">
        <f t="shared" si="24"/>
        <v>0</v>
      </c>
      <c r="Q60" s="310">
        <f t="shared" si="25"/>
        <v>786.90000000000009</v>
      </c>
      <c r="R60" s="308">
        <v>1</v>
      </c>
      <c r="S60" s="310">
        <f t="shared" si="26"/>
        <v>786.90000000000009</v>
      </c>
      <c r="T60" s="308"/>
      <c r="U60" s="310">
        <f t="shared" si="27"/>
        <v>1311.5000000000598</v>
      </c>
      <c r="V60" s="310">
        <f t="shared" si="28"/>
        <v>1311.5000000000598</v>
      </c>
      <c r="W60" s="308">
        <v>1</v>
      </c>
      <c r="X60" s="310">
        <f t="shared" si="29"/>
        <v>1311.5000000000598</v>
      </c>
      <c r="Y60" s="310">
        <f t="shared" si="30"/>
        <v>2098.4000000000597</v>
      </c>
      <c r="Z60" s="310">
        <f t="shared" si="31"/>
        <v>6164.0499999999402</v>
      </c>
      <c r="AA60" s="300">
        <f t="shared" si="32"/>
        <v>2017.3333333333333</v>
      </c>
      <c r="AB60" s="300">
        <f t="shared" si="33"/>
        <v>2020</v>
      </c>
      <c r="AC60" s="300">
        <f t="shared" si="34"/>
        <v>2027.3333333333333</v>
      </c>
      <c r="AD60" s="301">
        <f t="shared" si="35"/>
        <v>2019</v>
      </c>
      <c r="AE60" s="301">
        <f t="shared" si="36"/>
        <v>-8.3333333333333329E-2</v>
      </c>
      <c r="AF60" s="301">
        <f t="shared" si="37"/>
        <v>2027.3333333333333</v>
      </c>
      <c r="AG60" s="301">
        <f t="shared" si="38"/>
        <v>2019</v>
      </c>
      <c r="AH60" s="301">
        <f t="shared" si="39"/>
        <v>-8.3333333333333329E-2</v>
      </c>
    </row>
    <row r="61" spans="1:34" ht="15.75">
      <c r="A61" s="314">
        <v>80</v>
      </c>
      <c r="B61" s="314" t="s">
        <v>467</v>
      </c>
      <c r="C61" s="304">
        <v>2017</v>
      </c>
      <c r="D61" s="305">
        <v>7</v>
      </c>
      <c r="E61" s="306">
        <v>0</v>
      </c>
      <c r="F61" s="307" t="s">
        <v>434</v>
      </c>
      <c r="G61" s="308">
        <v>10</v>
      </c>
      <c r="H61" s="309">
        <f t="shared" si="20"/>
        <v>2027</v>
      </c>
      <c r="I61" s="308"/>
      <c r="J61" s="308"/>
      <c r="K61" s="310">
        <v>3650</v>
      </c>
      <c r="L61" s="308"/>
      <c r="M61" s="310">
        <f t="shared" si="21"/>
        <v>3650</v>
      </c>
      <c r="N61" s="310">
        <f t="shared" si="22"/>
        <v>30.416666666666668</v>
      </c>
      <c r="O61" s="310">
        <f t="shared" si="23"/>
        <v>365</v>
      </c>
      <c r="P61" s="310">
        <f t="shared" si="24"/>
        <v>0</v>
      </c>
      <c r="Q61" s="310">
        <f t="shared" si="25"/>
        <v>365</v>
      </c>
      <c r="R61" s="308">
        <v>1</v>
      </c>
      <c r="S61" s="310">
        <f t="shared" si="26"/>
        <v>365</v>
      </c>
      <c r="T61" s="308"/>
      <c r="U61" s="310">
        <f t="shared" si="27"/>
        <v>547.5</v>
      </c>
      <c r="V61" s="310">
        <f t="shared" si="28"/>
        <v>547.5</v>
      </c>
      <c r="W61" s="308">
        <v>1</v>
      </c>
      <c r="X61" s="310">
        <f t="shared" si="29"/>
        <v>547.5</v>
      </c>
      <c r="Y61" s="310">
        <f t="shared" si="30"/>
        <v>912.5</v>
      </c>
      <c r="Z61" s="310">
        <f t="shared" si="31"/>
        <v>2920</v>
      </c>
      <c r="AA61" s="300">
        <f t="shared" si="32"/>
        <v>2017.5</v>
      </c>
      <c r="AB61" s="300">
        <f t="shared" si="33"/>
        <v>2020</v>
      </c>
      <c r="AC61" s="300">
        <f t="shared" si="34"/>
        <v>2027.5</v>
      </c>
      <c r="AD61" s="301">
        <f t="shared" si="35"/>
        <v>2019</v>
      </c>
      <c r="AE61" s="301">
        <f t="shared" si="36"/>
        <v>-8.3333333333333329E-2</v>
      </c>
      <c r="AF61" s="301">
        <f t="shared" si="37"/>
        <v>2027.5</v>
      </c>
      <c r="AG61" s="301">
        <f t="shared" si="38"/>
        <v>2019</v>
      </c>
      <c r="AH61" s="301">
        <f t="shared" si="39"/>
        <v>-8.3333333333333329E-2</v>
      </c>
    </row>
    <row r="62" spans="1:34" ht="15.75">
      <c r="A62" s="314">
        <v>81</v>
      </c>
      <c r="B62" s="314" t="s">
        <v>465</v>
      </c>
      <c r="C62" s="304">
        <v>2017</v>
      </c>
      <c r="D62" s="305">
        <v>9</v>
      </c>
      <c r="E62" s="306">
        <v>0</v>
      </c>
      <c r="F62" s="307" t="s">
        <v>434</v>
      </c>
      <c r="G62" s="308">
        <v>10</v>
      </c>
      <c r="H62" s="309">
        <f t="shared" si="20"/>
        <v>2027</v>
      </c>
      <c r="I62" s="308"/>
      <c r="J62" s="308"/>
      <c r="K62" s="310">
        <v>6667</v>
      </c>
      <c r="L62" s="308"/>
      <c r="M62" s="310">
        <f t="shared" si="21"/>
        <v>6667</v>
      </c>
      <c r="N62" s="310">
        <f t="shared" si="22"/>
        <v>55.558333333333337</v>
      </c>
      <c r="O62" s="310">
        <f t="shared" si="23"/>
        <v>666.7</v>
      </c>
      <c r="P62" s="310">
        <f t="shared" si="24"/>
        <v>0</v>
      </c>
      <c r="Q62" s="310">
        <f t="shared" si="25"/>
        <v>666.7</v>
      </c>
      <c r="R62" s="308">
        <v>1</v>
      </c>
      <c r="S62" s="310">
        <f t="shared" si="26"/>
        <v>666.7</v>
      </c>
      <c r="T62" s="308"/>
      <c r="U62" s="310">
        <f t="shared" si="27"/>
        <v>888.93333333328292</v>
      </c>
      <c r="V62" s="310">
        <f t="shared" si="28"/>
        <v>888.93333333328292</v>
      </c>
      <c r="W62" s="308">
        <v>1</v>
      </c>
      <c r="X62" s="310">
        <f t="shared" si="29"/>
        <v>888.93333333328292</v>
      </c>
      <c r="Y62" s="310">
        <f t="shared" si="30"/>
        <v>1555.633333333283</v>
      </c>
      <c r="Z62" s="310">
        <f t="shared" si="31"/>
        <v>5444.7166666667163</v>
      </c>
      <c r="AA62" s="300">
        <f t="shared" si="32"/>
        <v>2017.6666666666667</v>
      </c>
      <c r="AB62" s="300">
        <f t="shared" si="33"/>
        <v>2020</v>
      </c>
      <c r="AC62" s="300">
        <f t="shared" si="34"/>
        <v>2027.6666666666667</v>
      </c>
      <c r="AD62" s="301">
        <f t="shared" si="35"/>
        <v>2019</v>
      </c>
      <c r="AE62" s="301">
        <f t="shared" si="36"/>
        <v>-8.3333333333333329E-2</v>
      </c>
      <c r="AF62" s="301">
        <f t="shared" si="37"/>
        <v>2027.6666666666667</v>
      </c>
      <c r="AG62" s="301">
        <f t="shared" si="38"/>
        <v>2019</v>
      </c>
      <c r="AH62" s="301">
        <f t="shared" si="39"/>
        <v>-8.3333333333333329E-2</v>
      </c>
    </row>
    <row r="63" spans="1:34" ht="15.75">
      <c r="A63" s="314">
        <v>82</v>
      </c>
      <c r="B63" s="314" t="s">
        <v>467</v>
      </c>
      <c r="C63" s="304">
        <v>2017</v>
      </c>
      <c r="D63" s="305">
        <v>10</v>
      </c>
      <c r="E63" s="306">
        <v>0</v>
      </c>
      <c r="F63" s="307" t="s">
        <v>434</v>
      </c>
      <c r="G63" s="308">
        <v>10</v>
      </c>
      <c r="H63" s="309">
        <f t="shared" si="20"/>
        <v>2027</v>
      </c>
      <c r="I63" s="308"/>
      <c r="J63" s="308"/>
      <c r="K63" s="310">
        <v>3650</v>
      </c>
      <c r="L63" s="308"/>
      <c r="M63" s="310">
        <f t="shared" si="21"/>
        <v>3650</v>
      </c>
      <c r="N63" s="310">
        <f t="shared" si="22"/>
        <v>30.416666666666668</v>
      </c>
      <c r="O63" s="310">
        <f t="shared" si="23"/>
        <v>365</v>
      </c>
      <c r="P63" s="310">
        <f t="shared" si="24"/>
        <v>0</v>
      </c>
      <c r="Q63" s="310">
        <f t="shared" si="25"/>
        <v>365</v>
      </c>
      <c r="R63" s="308">
        <v>1</v>
      </c>
      <c r="S63" s="310">
        <f t="shared" si="26"/>
        <v>365</v>
      </c>
      <c r="T63" s="308"/>
      <c r="U63" s="310">
        <f t="shared" si="27"/>
        <v>456.25</v>
      </c>
      <c r="V63" s="310">
        <f t="shared" si="28"/>
        <v>456.25</v>
      </c>
      <c r="W63" s="308">
        <v>1</v>
      </c>
      <c r="X63" s="310">
        <f t="shared" si="29"/>
        <v>456.25</v>
      </c>
      <c r="Y63" s="310">
        <f t="shared" si="30"/>
        <v>821.25</v>
      </c>
      <c r="Z63" s="310">
        <f t="shared" si="31"/>
        <v>3011.25</v>
      </c>
      <c r="AA63" s="300">
        <f t="shared" si="32"/>
        <v>2017.75</v>
      </c>
      <c r="AB63" s="300">
        <f t="shared" si="33"/>
        <v>2020</v>
      </c>
      <c r="AC63" s="300">
        <f t="shared" si="34"/>
        <v>2027.75</v>
      </c>
      <c r="AD63" s="301">
        <f t="shared" si="35"/>
        <v>2019</v>
      </c>
      <c r="AE63" s="301">
        <f t="shared" si="36"/>
        <v>-8.3333333333333329E-2</v>
      </c>
      <c r="AF63" s="301">
        <f t="shared" si="37"/>
        <v>2027.75</v>
      </c>
      <c r="AG63" s="301">
        <f t="shared" si="38"/>
        <v>2019</v>
      </c>
      <c r="AH63" s="301">
        <f t="shared" si="39"/>
        <v>-8.3333333333333329E-2</v>
      </c>
    </row>
    <row r="64" spans="1:34" ht="15.75">
      <c r="A64" s="314">
        <v>83</v>
      </c>
      <c r="B64" s="314" t="s">
        <v>468</v>
      </c>
      <c r="C64" s="304">
        <v>2017</v>
      </c>
      <c r="D64" s="305">
        <v>10</v>
      </c>
      <c r="E64" s="306">
        <v>0</v>
      </c>
      <c r="F64" s="307" t="s">
        <v>434</v>
      </c>
      <c r="G64" s="308">
        <v>10</v>
      </c>
      <c r="H64" s="309">
        <f t="shared" si="20"/>
        <v>2027</v>
      </c>
      <c r="I64" s="308"/>
      <c r="J64" s="308"/>
      <c r="K64" s="310">
        <v>19488</v>
      </c>
      <c r="L64" s="308"/>
      <c r="M64" s="310">
        <f t="shared" si="21"/>
        <v>19488</v>
      </c>
      <c r="N64" s="310">
        <f t="shared" si="22"/>
        <v>162.4</v>
      </c>
      <c r="O64" s="310">
        <f t="shared" si="23"/>
        <v>1948.8000000000002</v>
      </c>
      <c r="P64" s="310">
        <f t="shared" si="24"/>
        <v>0</v>
      </c>
      <c r="Q64" s="310">
        <f t="shared" si="25"/>
        <v>1948.8000000000002</v>
      </c>
      <c r="R64" s="308">
        <v>1</v>
      </c>
      <c r="S64" s="310">
        <f t="shared" si="26"/>
        <v>1948.8000000000002</v>
      </c>
      <c r="T64" s="308"/>
      <c r="U64" s="310">
        <f t="shared" si="27"/>
        <v>2436</v>
      </c>
      <c r="V64" s="310">
        <f t="shared" si="28"/>
        <v>2436</v>
      </c>
      <c r="W64" s="308">
        <v>1</v>
      </c>
      <c r="X64" s="310">
        <f t="shared" si="29"/>
        <v>2436</v>
      </c>
      <c r="Y64" s="310">
        <f t="shared" si="30"/>
        <v>4384.8</v>
      </c>
      <c r="Z64" s="310">
        <f t="shared" si="31"/>
        <v>16077.6</v>
      </c>
      <c r="AA64" s="300">
        <f t="shared" si="32"/>
        <v>2017.75</v>
      </c>
      <c r="AB64" s="300">
        <f t="shared" si="33"/>
        <v>2020</v>
      </c>
      <c r="AC64" s="300">
        <f t="shared" si="34"/>
        <v>2027.75</v>
      </c>
      <c r="AD64" s="301">
        <f t="shared" si="35"/>
        <v>2019</v>
      </c>
      <c r="AE64" s="301">
        <f t="shared" si="36"/>
        <v>-8.3333333333333329E-2</v>
      </c>
      <c r="AF64" s="301">
        <f t="shared" si="37"/>
        <v>2027.75</v>
      </c>
      <c r="AG64" s="301">
        <f t="shared" si="38"/>
        <v>2019</v>
      </c>
      <c r="AH64" s="301">
        <f t="shared" si="39"/>
        <v>-8.3333333333333329E-2</v>
      </c>
    </row>
    <row r="65" spans="1:34" ht="15.75">
      <c r="A65" s="314">
        <v>84</v>
      </c>
      <c r="B65" s="314" t="s">
        <v>469</v>
      </c>
      <c r="C65" s="304">
        <v>2018</v>
      </c>
      <c r="D65" s="305">
        <v>10</v>
      </c>
      <c r="E65" s="306">
        <v>0</v>
      </c>
      <c r="F65" s="307" t="s">
        <v>434</v>
      </c>
      <c r="G65" s="308">
        <v>10</v>
      </c>
      <c r="H65" s="309">
        <f t="shared" si="20"/>
        <v>2028</v>
      </c>
      <c r="I65" s="308"/>
      <c r="J65" s="308"/>
      <c r="K65" s="310">
        <v>5806</v>
      </c>
      <c r="L65" s="308"/>
      <c r="M65" s="310">
        <f t="shared" si="21"/>
        <v>5806</v>
      </c>
      <c r="N65" s="310">
        <f t="shared" si="22"/>
        <v>48.383333333333333</v>
      </c>
      <c r="O65" s="310">
        <f t="shared" si="23"/>
        <v>580.6</v>
      </c>
      <c r="P65" s="310">
        <f t="shared" si="24"/>
        <v>0</v>
      </c>
      <c r="Q65" s="310">
        <f t="shared" si="25"/>
        <v>580.6</v>
      </c>
      <c r="R65" s="308">
        <v>1</v>
      </c>
      <c r="S65" s="310">
        <f t="shared" si="26"/>
        <v>580.6</v>
      </c>
      <c r="T65" s="308"/>
      <c r="U65" s="310">
        <f t="shared" si="27"/>
        <v>145.15</v>
      </c>
      <c r="V65" s="310">
        <f t="shared" si="28"/>
        <v>145.15</v>
      </c>
      <c r="W65" s="308">
        <v>1</v>
      </c>
      <c r="X65" s="310">
        <f t="shared" si="29"/>
        <v>145.15</v>
      </c>
      <c r="Y65" s="310">
        <f t="shared" si="30"/>
        <v>725.75</v>
      </c>
      <c r="Z65" s="310">
        <f t="shared" si="31"/>
        <v>5370.55</v>
      </c>
      <c r="AA65" s="300">
        <f t="shared" si="32"/>
        <v>2018.75</v>
      </c>
      <c r="AB65" s="300">
        <f t="shared" si="33"/>
        <v>2020</v>
      </c>
      <c r="AC65" s="300">
        <f t="shared" si="34"/>
        <v>2028.75</v>
      </c>
      <c r="AD65" s="301">
        <f t="shared" si="35"/>
        <v>2019</v>
      </c>
      <c r="AE65" s="301">
        <f t="shared" si="36"/>
        <v>-8.3333333333333329E-2</v>
      </c>
      <c r="AF65" s="301">
        <f t="shared" si="37"/>
        <v>2028.75</v>
      </c>
      <c r="AG65" s="301">
        <f t="shared" si="38"/>
        <v>2019</v>
      </c>
      <c r="AH65" s="301">
        <f t="shared" si="39"/>
        <v>-8.3333333333333329E-2</v>
      </c>
    </row>
    <row r="66" spans="1:34" ht="15.75">
      <c r="A66" s="314">
        <v>85</v>
      </c>
      <c r="B66" s="314" t="s">
        <v>470</v>
      </c>
      <c r="C66" s="304">
        <v>2018</v>
      </c>
      <c r="D66" s="305">
        <v>10</v>
      </c>
      <c r="E66" s="306">
        <v>0</v>
      </c>
      <c r="F66" s="307" t="s">
        <v>434</v>
      </c>
      <c r="G66" s="308">
        <v>10</v>
      </c>
      <c r="H66" s="309">
        <f t="shared" si="20"/>
        <v>2028</v>
      </c>
      <c r="I66" s="308"/>
      <c r="J66" s="308"/>
      <c r="K66" s="310">
        <v>7794</v>
      </c>
      <c r="L66" s="308"/>
      <c r="M66" s="310">
        <f t="shared" si="21"/>
        <v>7794</v>
      </c>
      <c r="N66" s="310">
        <f t="shared" si="22"/>
        <v>64.95</v>
      </c>
      <c r="O66" s="310">
        <f t="shared" si="23"/>
        <v>779.40000000000009</v>
      </c>
      <c r="P66" s="310">
        <f t="shared" si="24"/>
        <v>0</v>
      </c>
      <c r="Q66" s="310">
        <f t="shared" si="25"/>
        <v>779.40000000000009</v>
      </c>
      <c r="R66" s="308">
        <v>1</v>
      </c>
      <c r="S66" s="310">
        <f t="shared" si="26"/>
        <v>779.40000000000009</v>
      </c>
      <c r="T66" s="308"/>
      <c r="U66" s="310">
        <f t="shared" si="27"/>
        <v>194.85000000000002</v>
      </c>
      <c r="V66" s="310">
        <f t="shared" si="28"/>
        <v>194.85000000000002</v>
      </c>
      <c r="W66" s="308">
        <v>1</v>
      </c>
      <c r="X66" s="310">
        <f t="shared" si="29"/>
        <v>194.85000000000002</v>
      </c>
      <c r="Y66" s="310">
        <f t="shared" si="30"/>
        <v>974.25000000000011</v>
      </c>
      <c r="Z66" s="310">
        <f t="shared" si="31"/>
        <v>7209.45</v>
      </c>
      <c r="AA66" s="300">
        <f t="shared" si="32"/>
        <v>2018.75</v>
      </c>
      <c r="AB66" s="300">
        <f t="shared" si="33"/>
        <v>2020</v>
      </c>
      <c r="AC66" s="300">
        <f t="shared" si="34"/>
        <v>2028.75</v>
      </c>
      <c r="AD66" s="301">
        <f t="shared" si="35"/>
        <v>2019</v>
      </c>
      <c r="AE66" s="301">
        <f t="shared" si="36"/>
        <v>-8.3333333333333329E-2</v>
      </c>
      <c r="AF66" s="301">
        <f t="shared" si="37"/>
        <v>2028.75</v>
      </c>
      <c r="AG66" s="301">
        <f t="shared" si="38"/>
        <v>2019</v>
      </c>
      <c r="AH66" s="301">
        <f t="shared" si="39"/>
        <v>-8.3333333333333329E-2</v>
      </c>
    </row>
    <row r="67" spans="1:34" ht="15.75">
      <c r="A67" s="314">
        <v>87</v>
      </c>
      <c r="B67" s="314" t="s">
        <v>471</v>
      </c>
      <c r="C67" s="304">
        <v>2019</v>
      </c>
      <c r="D67" s="305">
        <v>5</v>
      </c>
      <c r="E67" s="306">
        <v>0</v>
      </c>
      <c r="F67" s="307" t="s">
        <v>434</v>
      </c>
      <c r="G67" s="308">
        <v>10</v>
      </c>
      <c r="H67" s="309">
        <f t="shared" si="20"/>
        <v>2029</v>
      </c>
      <c r="I67" s="308"/>
      <c r="J67" s="308"/>
      <c r="K67" s="310">
        <v>7440</v>
      </c>
      <c r="L67" s="308"/>
      <c r="M67" s="310">
        <f t="shared" si="21"/>
        <v>7440</v>
      </c>
      <c r="N67" s="310">
        <f t="shared" si="22"/>
        <v>62</v>
      </c>
      <c r="O67" s="310">
        <f t="shared" si="23"/>
        <v>496.00000000005639</v>
      </c>
      <c r="P67" s="310">
        <f t="shared" si="24"/>
        <v>0</v>
      </c>
      <c r="Q67" s="310">
        <f t="shared" si="25"/>
        <v>496.00000000005639</v>
      </c>
      <c r="R67" s="308">
        <v>1</v>
      </c>
      <c r="S67" s="310">
        <f t="shared" si="26"/>
        <v>496.00000000005639</v>
      </c>
      <c r="T67" s="308"/>
      <c r="U67" s="310">
        <f t="shared" si="27"/>
        <v>0</v>
      </c>
      <c r="V67" s="310">
        <f t="shared" si="28"/>
        <v>0</v>
      </c>
      <c r="W67" s="308">
        <v>1</v>
      </c>
      <c r="X67" s="310">
        <f t="shared" si="29"/>
        <v>0</v>
      </c>
      <c r="Y67" s="310">
        <f t="shared" si="30"/>
        <v>496.00000000005639</v>
      </c>
      <c r="Z67" s="310">
        <f>+M67-Y67</f>
        <v>6943.9999999999436</v>
      </c>
      <c r="AA67" s="300">
        <f t="shared" si="32"/>
        <v>2019.3333333333333</v>
      </c>
      <c r="AB67" s="300">
        <f t="shared" si="33"/>
        <v>2020</v>
      </c>
      <c r="AC67" s="300">
        <f t="shared" si="34"/>
        <v>2029.3333333333333</v>
      </c>
      <c r="AD67" s="301">
        <f t="shared" si="35"/>
        <v>2019</v>
      </c>
      <c r="AE67" s="301">
        <f t="shared" si="36"/>
        <v>-8.3333333333333329E-2</v>
      </c>
      <c r="AF67" s="301">
        <f t="shared" si="37"/>
        <v>2029.3333333333333</v>
      </c>
      <c r="AG67" s="301">
        <f t="shared" si="38"/>
        <v>2019</v>
      </c>
      <c r="AH67" s="301">
        <f t="shared" si="39"/>
        <v>-8.3333333333333329E-2</v>
      </c>
    </row>
    <row r="68" spans="1:34" ht="15.75">
      <c r="A68" s="314"/>
      <c r="B68" s="314" t="s">
        <v>474</v>
      </c>
      <c r="C68" s="304">
        <v>2020</v>
      </c>
      <c r="D68" s="305">
        <v>7</v>
      </c>
      <c r="E68" s="306">
        <v>0</v>
      </c>
      <c r="F68" s="307" t="s">
        <v>434</v>
      </c>
      <c r="G68" s="308">
        <v>5</v>
      </c>
      <c r="H68" s="309">
        <f t="shared" si="20"/>
        <v>2025</v>
      </c>
      <c r="I68" s="308"/>
      <c r="J68" s="308"/>
      <c r="K68" s="310">
        <v>93885</v>
      </c>
      <c r="L68" s="308"/>
      <c r="M68" s="310">
        <f t="shared" si="21"/>
        <v>93885</v>
      </c>
      <c r="N68" s="310">
        <f t="shared" si="22"/>
        <v>1564.75</v>
      </c>
      <c r="O68" s="310">
        <f>+N68*12</f>
        <v>18777</v>
      </c>
      <c r="P68" s="310">
        <f t="shared" si="24"/>
        <v>0</v>
      </c>
      <c r="Q68" s="310">
        <f t="shared" si="25"/>
        <v>18777</v>
      </c>
      <c r="R68" s="308">
        <v>1</v>
      </c>
      <c r="S68" s="310">
        <f t="shared" si="26"/>
        <v>18777</v>
      </c>
      <c r="T68" s="308"/>
      <c r="U68" s="310">
        <f t="shared" si="27"/>
        <v>0</v>
      </c>
      <c r="V68" s="310">
        <f t="shared" si="28"/>
        <v>0</v>
      </c>
      <c r="W68" s="308">
        <v>1</v>
      </c>
      <c r="X68" s="310">
        <f t="shared" si="29"/>
        <v>0</v>
      </c>
      <c r="Y68" s="310">
        <f t="shared" si="30"/>
        <v>18777</v>
      </c>
      <c r="Z68" s="310">
        <f>+M68-Y68</f>
        <v>75108</v>
      </c>
      <c r="AA68" s="300">
        <f t="shared" si="32"/>
        <v>2020.5</v>
      </c>
      <c r="AB68" s="300">
        <f t="shared" si="33"/>
        <v>2020</v>
      </c>
      <c r="AC68" s="300">
        <f t="shared" si="34"/>
        <v>2025.5</v>
      </c>
      <c r="AD68" s="301">
        <f t="shared" si="35"/>
        <v>2019</v>
      </c>
      <c r="AE68" s="301">
        <f t="shared" si="36"/>
        <v>-8.3333333333333329E-2</v>
      </c>
      <c r="AF68" s="301">
        <f t="shared" si="37"/>
        <v>2025.5</v>
      </c>
      <c r="AG68" s="301">
        <f t="shared" si="38"/>
        <v>2019</v>
      </c>
      <c r="AH68" s="301">
        <f t="shared" si="39"/>
        <v>-8.3333333333333329E-2</v>
      </c>
    </row>
    <row r="69" spans="1:34" ht="15.75">
      <c r="A69" s="314"/>
      <c r="B69" s="314" t="s">
        <v>513</v>
      </c>
      <c r="C69" s="304">
        <v>2020</v>
      </c>
      <c r="D69" s="305">
        <v>2</v>
      </c>
      <c r="E69" s="306">
        <v>0</v>
      </c>
      <c r="F69" s="307" t="s">
        <v>434</v>
      </c>
      <c r="G69" s="308">
        <v>10</v>
      </c>
      <c r="H69" s="309">
        <f>+C69+G69</f>
        <v>2030</v>
      </c>
      <c r="I69" s="308"/>
      <c r="J69" s="308"/>
      <c r="K69" s="310">
        <v>6626</v>
      </c>
      <c r="L69" s="308"/>
      <c r="M69" s="310">
        <f>K69-K69*E69</f>
        <v>6626</v>
      </c>
      <c r="N69" s="310">
        <f>M69/G69/12</f>
        <v>55.216666666666669</v>
      </c>
      <c r="O69" s="310">
        <v>663</v>
      </c>
      <c r="P69" s="310">
        <f>IF(L69=0,0,IF((AND((AE69&gt;=AD69),(AE69&lt;=AC69))),((AE69-AD69)*12)*N69,0))</f>
        <v>0</v>
      </c>
      <c r="Q69" s="310">
        <f>IF(P69&gt;0,P69,O69)</f>
        <v>663</v>
      </c>
      <c r="R69" s="308">
        <v>1</v>
      </c>
      <c r="S69" s="310">
        <f>R69*SUM(O69:P69)</f>
        <v>663</v>
      </c>
      <c r="T69" s="308"/>
      <c r="U69" s="310">
        <f>IF(AA69&gt;AB69,0,IF(AC69&lt;AD69,M69,IF((AND((AC69&gt;=AD69),(AC69&lt;=AB69))),(M69-Q69),IF((AND((AD69&lt;=AA69),(AB69&gt;=AA69))),0,IF(AC69&gt;AB69,((AD69-AA69)*12)*N69,0)))))</f>
        <v>0</v>
      </c>
      <c r="V69" s="310">
        <f>U69*R69</f>
        <v>0</v>
      </c>
      <c r="W69" s="308">
        <v>1</v>
      </c>
      <c r="X69" s="310">
        <f>V69*W69</f>
        <v>0</v>
      </c>
      <c r="Y69" s="310">
        <f>IF(L69&gt;0,0,X69+S69*W69)*W69</f>
        <v>663</v>
      </c>
      <c r="Z69" s="310">
        <f>+M69-Y69</f>
        <v>5963</v>
      </c>
      <c r="AA69" s="300">
        <f>$C69+(($D69-1)/12)</f>
        <v>2020.0833333333333</v>
      </c>
      <c r="AB69" s="300">
        <f>($M$5+1)-($M$2/12)</f>
        <v>2020</v>
      </c>
      <c r="AC69" s="300">
        <f>$H69+(($D69-1)/12)</f>
        <v>2030.0833333333333</v>
      </c>
      <c r="AD69" s="301">
        <f>$M$4+($M$3/12)</f>
        <v>2019</v>
      </c>
      <c r="AE69" s="301">
        <f>$I69+(($J69-1)/12)</f>
        <v>-8.3333333333333329E-2</v>
      </c>
      <c r="AF69" s="301">
        <f>$H69+(($D69-1)/12)</f>
        <v>2030.0833333333333</v>
      </c>
      <c r="AG69" s="301">
        <f>$M$4+($M$3/12)</f>
        <v>2019</v>
      </c>
      <c r="AH69" s="301">
        <f>$I69+(($J69-1)/12)</f>
        <v>-8.3333333333333329E-2</v>
      </c>
    </row>
    <row r="70" spans="1:34" ht="15.75">
      <c r="A70" s="314"/>
      <c r="B70" s="314" t="s">
        <v>514</v>
      </c>
      <c r="C70" s="304">
        <v>2020</v>
      </c>
      <c r="D70" s="305">
        <v>2</v>
      </c>
      <c r="E70" s="306">
        <v>0</v>
      </c>
      <c r="F70" s="307" t="s">
        <v>434</v>
      </c>
      <c r="G70" s="308">
        <v>10</v>
      </c>
      <c r="H70" s="309">
        <f>+C70+G70</f>
        <v>2030</v>
      </c>
      <c r="I70" s="308"/>
      <c r="J70" s="308"/>
      <c r="K70" s="310">
        <v>1761</v>
      </c>
      <c r="L70" s="308"/>
      <c r="M70" s="310">
        <f>K70-K70*E70</f>
        <v>1761</v>
      </c>
      <c r="N70" s="310">
        <f>M70/G70/12</f>
        <v>14.674999999999999</v>
      </c>
      <c r="O70" s="310">
        <v>176</v>
      </c>
      <c r="P70" s="310">
        <f>IF(L70=0,0,IF((AND((AE70&gt;=AD70),(AE70&lt;=AC70))),((AE70-AD70)*12)*N70,0))</f>
        <v>0</v>
      </c>
      <c r="Q70" s="310">
        <f>IF(P70&gt;0,P70,O70)</f>
        <v>176</v>
      </c>
      <c r="R70" s="308">
        <v>1</v>
      </c>
      <c r="S70" s="310">
        <f>R70*SUM(O70:P70)</f>
        <v>176</v>
      </c>
      <c r="T70" s="308"/>
      <c r="U70" s="310">
        <f>IF(AA70&gt;AB70,0,IF(AC70&lt;AD70,M70,IF((AND((AC70&gt;=AD70),(AC70&lt;=AB70))),(M70-Q70),IF((AND((AD70&lt;=AA70),(AB70&gt;=AA70))),0,IF(AC70&gt;AB70,((AD70-AA70)*12)*N70,0)))))</f>
        <v>0</v>
      </c>
      <c r="V70" s="310">
        <f>U70*R70</f>
        <v>0</v>
      </c>
      <c r="W70" s="308">
        <v>1</v>
      </c>
      <c r="X70" s="310">
        <f>V70*W70</f>
        <v>0</v>
      </c>
      <c r="Y70" s="310">
        <f>IF(L70&gt;0,0,X70+S70*W70)*W70</f>
        <v>176</v>
      </c>
      <c r="Z70" s="310">
        <f>+M70-Y70</f>
        <v>1585</v>
      </c>
      <c r="AA70" s="300">
        <f>$C70+(($D70-1)/12)</f>
        <v>2020.0833333333333</v>
      </c>
      <c r="AB70" s="300">
        <f>($M$5+1)-($M$2/12)</f>
        <v>2020</v>
      </c>
      <c r="AC70" s="300">
        <f>$H70+(($D70-1)/12)</f>
        <v>2030.0833333333333</v>
      </c>
      <c r="AD70" s="301">
        <f>$M$4+($M$3/12)</f>
        <v>2019</v>
      </c>
      <c r="AE70" s="301">
        <f>$I70+(($J70-1)/12)</f>
        <v>-8.3333333333333329E-2</v>
      </c>
      <c r="AF70" s="301">
        <f>$H70+(($D70-1)/12)</f>
        <v>2030.0833333333333</v>
      </c>
      <c r="AG70" s="301">
        <f>$M$4+($M$3/12)</f>
        <v>2019</v>
      </c>
      <c r="AH70" s="301">
        <f>$I70+(($J70-1)/12)</f>
        <v>-8.3333333333333329E-2</v>
      </c>
    </row>
    <row r="71" spans="1:34" ht="15.75">
      <c r="A71" s="314">
        <v>69</v>
      </c>
      <c r="B71" s="314" t="s">
        <v>475</v>
      </c>
      <c r="C71" s="304">
        <v>2009</v>
      </c>
      <c r="D71" s="305">
        <v>7</v>
      </c>
      <c r="E71" s="306">
        <v>0</v>
      </c>
      <c r="F71" s="307" t="s">
        <v>434</v>
      </c>
      <c r="G71" s="308">
        <v>10</v>
      </c>
      <c r="H71" s="309">
        <f>+C71+G71</f>
        <v>2019</v>
      </c>
      <c r="I71" s="308"/>
      <c r="J71" s="308"/>
      <c r="K71" s="313">
        <v>8400</v>
      </c>
      <c r="L71" s="312"/>
      <c r="M71" s="313">
        <f>K71-K71*E71</f>
        <v>8400</v>
      </c>
      <c r="N71" s="313">
        <f>M71/G71/12</f>
        <v>70</v>
      </c>
      <c r="O71" s="313">
        <f>IF(L71&gt;0,0,IF((OR((AA71&gt;AB71),(AC71&lt;AD71))),0,IF((AND((AC71&gt;=AD71),(AC71&lt;=AB71))),N71*((AC71-AD71)*12),IF((AND((AD71&lt;=AA71),(AB71&gt;=AA71))),((AB71-AA71)*12)*N71,IF(AC71&gt;AB71,12*N71,0)))))</f>
        <v>420</v>
      </c>
      <c r="P71" s="313">
        <f>IF(L71=0,0,IF((AND((AE71&gt;=AD71),(AE71&lt;=AC71))),((AE71-AD71)*12)*N71,0))</f>
        <v>0</v>
      </c>
      <c r="Q71" s="313">
        <f>IF(P71&gt;0,P71,O71)</f>
        <v>420</v>
      </c>
      <c r="R71" s="312">
        <v>1</v>
      </c>
      <c r="S71" s="313">
        <f>R71*SUM(O71:P71)</f>
        <v>420</v>
      </c>
      <c r="T71" s="312"/>
      <c r="U71" s="313">
        <f>IF(AA71&gt;AB71,0,IF(AC71&lt;AD71,M71,IF((AND((AC71&gt;=AD71),(AC71&lt;=AB71))),(M71-Q71),IF((AND((AD71&lt;=AA71),(AB71&gt;=AA71))),0,IF(AC71&gt;AB71,((AD71-AA71)*12)*N71,0)))))</f>
        <v>7980</v>
      </c>
      <c r="V71" s="313">
        <f>U71*R71</f>
        <v>7980</v>
      </c>
      <c r="W71" s="312">
        <v>1</v>
      </c>
      <c r="X71" s="313">
        <f>V71*W71</f>
        <v>7980</v>
      </c>
      <c r="Y71" s="313">
        <f>IF(L71&gt;0,0,X71+S71*W71)*W71</f>
        <v>8400</v>
      </c>
      <c r="Z71" s="313">
        <f>IF(L71&gt;0,(K71-X71)/2,IF(AA71&gt;=AD71,(((K71*R71)*W71)-Y71)/2,((((K71*R71)*W71)-X71)+(((K71*R71)*W71)-Y71))/2))</f>
        <v>210</v>
      </c>
      <c r="AA71" s="300">
        <f>$C71+(($D71-1)/12)</f>
        <v>2009.5</v>
      </c>
      <c r="AB71" s="300">
        <f>($M$5+1)-($M$2/12)</f>
        <v>2020</v>
      </c>
      <c r="AC71" s="300">
        <f>$H71+(($D71-1)/12)</f>
        <v>2019.5</v>
      </c>
      <c r="AD71" s="301">
        <f>$M$4+($M$3/12)</f>
        <v>2019</v>
      </c>
      <c r="AE71" s="301">
        <f>$I71+(($J71-1)/12)</f>
        <v>-8.3333333333333329E-2</v>
      </c>
      <c r="AF71" s="301">
        <f>$H71+(($D71-1)/12)</f>
        <v>2019.5</v>
      </c>
      <c r="AG71" s="301">
        <f>$M$4+($M$3/12)</f>
        <v>2019</v>
      </c>
      <c r="AH71" s="301">
        <f>$I71+(($J71-1)/12)</f>
        <v>-8.3333333333333329E-2</v>
      </c>
    </row>
    <row r="72" spans="1:34" ht="15.75">
      <c r="A72" s="314"/>
      <c r="B72" s="308"/>
      <c r="C72" s="305"/>
      <c r="D72" s="305"/>
      <c r="E72" s="308"/>
      <c r="F72" s="307"/>
      <c r="G72" s="308"/>
      <c r="H72" s="331"/>
      <c r="I72" s="308"/>
      <c r="J72" s="308"/>
      <c r="K72" s="308">
        <f>SUM(K13:K71)</f>
        <v>451381.63</v>
      </c>
      <c r="L72" s="308"/>
      <c r="M72" s="308">
        <f t="shared" ref="M72:Z72" si="40">SUM(M13:M71)</f>
        <v>451381.63</v>
      </c>
      <c r="N72" s="308">
        <f t="shared" si="40"/>
        <v>4543.8885833333316</v>
      </c>
      <c r="O72" s="308">
        <f t="shared" si="40"/>
        <v>39316.529666666764</v>
      </c>
      <c r="P72" s="308">
        <f t="shared" si="40"/>
        <v>0</v>
      </c>
      <c r="Q72" s="308">
        <f t="shared" si="40"/>
        <v>39316.529666666764</v>
      </c>
      <c r="R72" s="308">
        <f t="shared" si="40"/>
        <v>59</v>
      </c>
      <c r="S72" s="308">
        <f t="shared" si="40"/>
        <v>39316.529666666764</v>
      </c>
      <c r="T72" s="308">
        <f t="shared" si="40"/>
        <v>0</v>
      </c>
      <c r="U72" s="308">
        <f t="shared" si="40"/>
        <v>227743.78933333352</v>
      </c>
      <c r="V72" s="308">
        <f t="shared" si="40"/>
        <v>227743.78933333352</v>
      </c>
      <c r="W72" s="308">
        <f t="shared" si="40"/>
        <v>59</v>
      </c>
      <c r="X72" s="308">
        <f t="shared" si="40"/>
        <v>227743.78933333352</v>
      </c>
      <c r="Y72" s="308">
        <f t="shared" si="40"/>
        <v>267060.31900000025</v>
      </c>
      <c r="Z72" s="308">
        <f t="shared" si="40"/>
        <v>193923.57583333307</v>
      </c>
      <c r="AA72" s="293"/>
      <c r="AB72" s="293"/>
      <c r="AC72" s="293"/>
      <c r="AD72" s="293"/>
      <c r="AE72" s="293"/>
      <c r="AF72" s="293"/>
      <c r="AG72" s="293"/>
      <c r="AH72" s="293"/>
    </row>
    <row r="73" spans="1:34" ht="15.75">
      <c r="A73" s="316" t="s">
        <v>476</v>
      </c>
      <c r="B73" s="308"/>
      <c r="C73" s="305"/>
      <c r="D73" s="305"/>
      <c r="E73" s="308"/>
      <c r="F73" s="307"/>
      <c r="G73" s="308"/>
      <c r="H73" s="308"/>
      <c r="I73" s="308"/>
      <c r="J73" s="308"/>
      <c r="K73" s="308"/>
      <c r="L73" s="308"/>
      <c r="M73" s="308"/>
      <c r="N73" s="308"/>
      <c r="O73" s="308"/>
      <c r="P73" s="308"/>
      <c r="Q73" s="308"/>
      <c r="R73" s="308"/>
      <c r="S73" s="308"/>
      <c r="T73" s="308"/>
      <c r="U73" s="308"/>
      <c r="V73" s="308"/>
      <c r="W73" s="308"/>
      <c r="X73" s="308"/>
      <c r="Y73" s="308"/>
      <c r="Z73" s="308"/>
      <c r="AA73" s="293"/>
      <c r="AB73" s="293"/>
      <c r="AC73" s="293"/>
      <c r="AD73" s="293"/>
      <c r="AE73" s="293"/>
      <c r="AF73" s="293"/>
      <c r="AG73" s="293"/>
      <c r="AH73" s="293"/>
    </row>
    <row r="74" spans="1:34" ht="15.75">
      <c r="A74" s="314">
        <v>1</v>
      </c>
      <c r="B74" s="314" t="s">
        <v>477</v>
      </c>
      <c r="C74" s="304">
        <v>1994</v>
      </c>
      <c r="D74" s="305">
        <v>9</v>
      </c>
      <c r="E74" s="306">
        <v>0</v>
      </c>
      <c r="F74" s="307" t="s">
        <v>434</v>
      </c>
      <c r="G74" s="308">
        <v>5</v>
      </c>
      <c r="H74" s="309">
        <f t="shared" ref="H74:H88" si="41">+C74+G74</f>
        <v>1999</v>
      </c>
      <c r="I74" s="308"/>
      <c r="J74" s="308"/>
      <c r="K74" s="310">
        <v>1956</v>
      </c>
      <c r="L74" s="308"/>
      <c r="M74" s="310">
        <f>K74-K74*E74</f>
        <v>1956</v>
      </c>
      <c r="N74" s="310">
        <f t="shared" ref="N74:N88" si="42">M74/G74/12</f>
        <v>32.6</v>
      </c>
      <c r="O74" s="310">
        <f t="shared" ref="O74:O86" si="43">IF(L74&gt;0,0,IF((OR((AA74&gt;AB74),(AC74&lt;AD74))),0,IF((AND((AC74&gt;=AD74),(AC74&lt;=AB74))),N74*((AC74-AD74)*12),IF((AND((AD74&lt;=AA74),(AB74&gt;=AA74))),((AB74-AA74)*12)*N74,IF(AC74&gt;AB74,12*N74,0)))))</f>
        <v>0</v>
      </c>
      <c r="P74" s="310">
        <f t="shared" ref="P74:P88" si="44">IF(L74=0,0,IF((AND((AE74&gt;=AD74),(AE74&lt;=AC74))),((AE74-AD74)*12)*N74,0))</f>
        <v>0</v>
      </c>
      <c r="Q74" s="310">
        <f t="shared" ref="Q74:Q88" si="45">IF(P74&gt;0,P74,O74)</f>
        <v>0</v>
      </c>
      <c r="R74" s="308">
        <v>1</v>
      </c>
      <c r="S74" s="310">
        <f t="shared" ref="S74:S88" si="46">R74*SUM(O74:P74)</f>
        <v>0</v>
      </c>
      <c r="T74" s="308"/>
      <c r="U74" s="310">
        <f t="shared" ref="U74:U88" si="47">IF(AA74&gt;AB74,0,IF(AC74&lt;AD74,M74,IF((AND((AC74&gt;=AD74),(AC74&lt;=AB74))),(M74-Q74),IF((AND((AD74&lt;=AA74),(AB74&gt;=AA74))),0,IF(AC74&gt;AB74,((AD74-AA74)*12)*N74,0)))))</f>
        <v>1956</v>
      </c>
      <c r="V74" s="310">
        <f t="shared" ref="V74:V88" si="48">U74*R74</f>
        <v>1956</v>
      </c>
      <c r="W74" s="308">
        <v>1</v>
      </c>
      <c r="X74" s="310">
        <f t="shared" ref="X74:X88" si="49">V74*W74</f>
        <v>1956</v>
      </c>
      <c r="Y74" s="310">
        <f t="shared" ref="Y74:Y88" si="50">IF(L74&gt;0,0,X74+S74*W74)*W74</f>
        <v>1956</v>
      </c>
      <c r="Z74" s="310">
        <f>IF(L74&gt;0,(K74-X74)/2,IF(AA74&gt;=AD74,(((K74*R74)*W74)-Y74)/2,((((K74*R74)*W74)-X74)+(((K74*R74)*W74)-Y74))/2))</f>
        <v>0</v>
      </c>
      <c r="AA74" s="300">
        <f t="shared" ref="AA74:AA88" si="51">$C74+(($D74-1)/12)</f>
        <v>1994.6666666666667</v>
      </c>
      <c r="AB74" s="300">
        <f t="shared" ref="AB74:AB88" si="52">($M$5+1)-($M$2/12)</f>
        <v>2020</v>
      </c>
      <c r="AC74" s="300">
        <f t="shared" ref="AC74:AC88" si="53">$H74+(($D74-1)/12)</f>
        <v>1999.6666666666667</v>
      </c>
      <c r="AD74" s="301">
        <f t="shared" ref="AD74:AD88" si="54">$M$4+($M$3/12)</f>
        <v>2019</v>
      </c>
      <c r="AE74" s="301">
        <f t="shared" ref="AE74:AE88" si="55">$I74+(($J74-1)/12)</f>
        <v>-8.3333333333333329E-2</v>
      </c>
      <c r="AF74" s="301">
        <f t="shared" ref="AF74:AF88" si="56">$H74+(($D74-1)/12)</f>
        <v>1999.6666666666667</v>
      </c>
      <c r="AG74" s="301">
        <f t="shared" ref="AG74:AG88" si="57">$M$4+($M$3/12)</f>
        <v>2019</v>
      </c>
      <c r="AH74" s="301">
        <f t="shared" ref="AH74:AH88" si="58">$I74+(($J74-1)/12)</f>
        <v>-8.3333333333333329E-2</v>
      </c>
    </row>
    <row r="75" spans="1:34" ht="15.75">
      <c r="A75" s="314">
        <v>2</v>
      </c>
      <c r="B75" s="314" t="s">
        <v>478</v>
      </c>
      <c r="C75" s="304">
        <v>2000</v>
      </c>
      <c r="D75" s="305">
        <v>4</v>
      </c>
      <c r="E75" s="306">
        <v>0</v>
      </c>
      <c r="F75" s="307" t="s">
        <v>434</v>
      </c>
      <c r="G75" s="308">
        <v>5</v>
      </c>
      <c r="H75" s="309">
        <f t="shared" si="41"/>
        <v>2005</v>
      </c>
      <c r="I75" s="308"/>
      <c r="J75" s="308"/>
      <c r="K75" s="310">
        <v>2011</v>
      </c>
      <c r="L75" s="308"/>
      <c r="M75" s="310">
        <f>K75-K75*E75</f>
        <v>2011</v>
      </c>
      <c r="N75" s="310">
        <f t="shared" si="42"/>
        <v>33.516666666666666</v>
      </c>
      <c r="O75" s="310">
        <f t="shared" si="43"/>
        <v>0</v>
      </c>
      <c r="P75" s="310">
        <f t="shared" si="44"/>
        <v>0</v>
      </c>
      <c r="Q75" s="310">
        <f t="shared" si="45"/>
        <v>0</v>
      </c>
      <c r="R75" s="308">
        <v>1</v>
      </c>
      <c r="S75" s="310">
        <f t="shared" si="46"/>
        <v>0</v>
      </c>
      <c r="T75" s="308"/>
      <c r="U75" s="310">
        <f t="shared" si="47"/>
        <v>2011</v>
      </c>
      <c r="V75" s="310">
        <f t="shared" si="48"/>
        <v>2011</v>
      </c>
      <c r="W75" s="308">
        <v>1</v>
      </c>
      <c r="X75" s="310">
        <f t="shared" si="49"/>
        <v>2011</v>
      </c>
      <c r="Y75" s="310">
        <f t="shared" si="50"/>
        <v>2011</v>
      </c>
      <c r="Z75" s="310">
        <f>IF(L75&gt;0,(K75-X75)/2,IF(AA75&gt;=AD75,(((K75*R75)*W75)-Y75)/2,((((K75*R75)*W75)-X75)+(((K75*R75)*W75)-Y75))/2))</f>
        <v>0</v>
      </c>
      <c r="AA75" s="300">
        <f t="shared" si="51"/>
        <v>2000.25</v>
      </c>
      <c r="AB75" s="300">
        <f t="shared" si="52"/>
        <v>2020</v>
      </c>
      <c r="AC75" s="300">
        <f t="shared" si="53"/>
        <v>2005.25</v>
      </c>
      <c r="AD75" s="301">
        <f t="shared" si="54"/>
        <v>2019</v>
      </c>
      <c r="AE75" s="301">
        <f t="shared" si="55"/>
        <v>-8.3333333333333329E-2</v>
      </c>
      <c r="AF75" s="301">
        <f t="shared" si="56"/>
        <v>2005.25</v>
      </c>
      <c r="AG75" s="301">
        <f t="shared" si="57"/>
        <v>2019</v>
      </c>
      <c r="AH75" s="301">
        <f t="shared" si="58"/>
        <v>-8.3333333333333329E-2</v>
      </c>
    </row>
    <row r="76" spans="1:34" ht="15.75">
      <c r="A76" s="314">
        <v>3</v>
      </c>
      <c r="B76" s="314" t="s">
        <v>479</v>
      </c>
      <c r="C76" s="304">
        <v>1991</v>
      </c>
      <c r="D76" s="305">
        <v>6</v>
      </c>
      <c r="E76" s="306">
        <v>0</v>
      </c>
      <c r="F76" s="307" t="s">
        <v>434</v>
      </c>
      <c r="G76" s="308">
        <v>5</v>
      </c>
      <c r="H76" s="309">
        <f t="shared" si="41"/>
        <v>1996</v>
      </c>
      <c r="I76" s="308"/>
      <c r="J76" s="308"/>
      <c r="K76" s="310">
        <v>11725</v>
      </c>
      <c r="L76" s="308"/>
      <c r="M76" s="310">
        <f>+K76</f>
        <v>11725</v>
      </c>
      <c r="N76" s="310">
        <f t="shared" si="42"/>
        <v>195.41666666666666</v>
      </c>
      <c r="O76" s="310">
        <f t="shared" si="43"/>
        <v>0</v>
      </c>
      <c r="P76" s="310">
        <f t="shared" si="44"/>
        <v>0</v>
      </c>
      <c r="Q76" s="310">
        <f t="shared" si="45"/>
        <v>0</v>
      </c>
      <c r="R76" s="308">
        <v>1</v>
      </c>
      <c r="S76" s="310">
        <f t="shared" si="46"/>
        <v>0</v>
      </c>
      <c r="T76" s="308"/>
      <c r="U76" s="310">
        <f t="shared" si="47"/>
        <v>11725</v>
      </c>
      <c r="V76" s="310">
        <f t="shared" si="48"/>
        <v>11725</v>
      </c>
      <c r="W76" s="308">
        <v>1</v>
      </c>
      <c r="X76" s="310">
        <f t="shared" si="49"/>
        <v>11725</v>
      </c>
      <c r="Y76" s="310">
        <f t="shared" si="50"/>
        <v>11725</v>
      </c>
      <c r="Z76" s="310">
        <f>IF(L76&gt;0,(K76-X76)/2,IF(AA76&gt;=AD76,(((K76*R76)*W76)-Y76)/2,((((K76*R76)*W76)-X76)+(((K76*R76)*W76)-Y76))/2))</f>
        <v>0</v>
      </c>
      <c r="AA76" s="300">
        <f t="shared" si="51"/>
        <v>1991.4166666666667</v>
      </c>
      <c r="AB76" s="300">
        <f t="shared" si="52"/>
        <v>2020</v>
      </c>
      <c r="AC76" s="300">
        <f t="shared" si="53"/>
        <v>1996.4166666666667</v>
      </c>
      <c r="AD76" s="301">
        <f t="shared" si="54"/>
        <v>2019</v>
      </c>
      <c r="AE76" s="301">
        <f t="shared" si="55"/>
        <v>-8.3333333333333329E-2</v>
      </c>
      <c r="AF76" s="301">
        <f t="shared" si="56"/>
        <v>1996.4166666666667</v>
      </c>
      <c r="AG76" s="301">
        <f t="shared" si="57"/>
        <v>2019</v>
      </c>
      <c r="AH76" s="301">
        <f t="shared" si="58"/>
        <v>-8.3333333333333329E-2</v>
      </c>
    </row>
    <row r="77" spans="1:34" ht="15.75">
      <c r="A77" s="314">
        <v>3</v>
      </c>
      <c r="B77" s="314" t="s">
        <v>480</v>
      </c>
      <c r="C77" s="304">
        <v>2019</v>
      </c>
      <c r="D77" s="305">
        <v>4</v>
      </c>
      <c r="E77" s="306">
        <v>0</v>
      </c>
      <c r="F77" s="307" t="s">
        <v>434</v>
      </c>
      <c r="G77" s="308">
        <v>4</v>
      </c>
      <c r="H77" s="309">
        <f t="shared" si="41"/>
        <v>2023</v>
      </c>
      <c r="I77" s="308"/>
      <c r="J77" s="308"/>
      <c r="K77" s="310">
        <f>17500-11725</f>
        <v>5775</v>
      </c>
      <c r="L77" s="308"/>
      <c r="M77" s="310">
        <f t="shared" ref="M77:M88" si="59">K77-K77*E77</f>
        <v>5775</v>
      </c>
      <c r="N77" s="310">
        <f t="shared" si="42"/>
        <v>120.3125</v>
      </c>
      <c r="O77" s="310">
        <f t="shared" si="43"/>
        <v>1082.8125</v>
      </c>
      <c r="P77" s="310">
        <f t="shared" si="44"/>
        <v>0</v>
      </c>
      <c r="Q77" s="310">
        <f t="shared" si="45"/>
        <v>1082.8125</v>
      </c>
      <c r="R77" s="308">
        <v>1</v>
      </c>
      <c r="S77" s="310">
        <f t="shared" si="46"/>
        <v>1082.8125</v>
      </c>
      <c r="T77" s="308"/>
      <c r="U77" s="310">
        <f t="shared" si="47"/>
        <v>0</v>
      </c>
      <c r="V77" s="310">
        <f t="shared" si="48"/>
        <v>0</v>
      </c>
      <c r="W77" s="308">
        <v>1</v>
      </c>
      <c r="X77" s="310">
        <f t="shared" si="49"/>
        <v>0</v>
      </c>
      <c r="Y77" s="310">
        <f t="shared" si="50"/>
        <v>1082.8125</v>
      </c>
      <c r="Z77" s="310">
        <f>+M77-Y77</f>
        <v>4692.1875</v>
      </c>
      <c r="AA77" s="300">
        <f t="shared" si="51"/>
        <v>2019.25</v>
      </c>
      <c r="AB77" s="300">
        <f t="shared" si="52"/>
        <v>2020</v>
      </c>
      <c r="AC77" s="300">
        <f t="shared" si="53"/>
        <v>2023.25</v>
      </c>
      <c r="AD77" s="301">
        <f t="shared" si="54"/>
        <v>2019</v>
      </c>
      <c r="AE77" s="301">
        <f t="shared" si="55"/>
        <v>-8.3333333333333329E-2</v>
      </c>
      <c r="AF77" s="301">
        <f t="shared" si="56"/>
        <v>2023.25</v>
      </c>
      <c r="AG77" s="301">
        <f t="shared" si="57"/>
        <v>2019</v>
      </c>
      <c r="AH77" s="301">
        <f t="shared" si="58"/>
        <v>-8.3333333333333329E-2</v>
      </c>
    </row>
    <row r="78" spans="1:34" ht="15.75">
      <c r="A78" s="314">
        <v>4</v>
      </c>
      <c r="B78" s="314" t="s">
        <v>516</v>
      </c>
      <c r="C78" s="304">
        <v>1992</v>
      </c>
      <c r="D78" s="305">
        <v>8</v>
      </c>
      <c r="E78" s="306">
        <v>0</v>
      </c>
      <c r="F78" s="307" t="s">
        <v>434</v>
      </c>
      <c r="G78" s="308">
        <v>5</v>
      </c>
      <c r="H78" s="309">
        <f t="shared" si="41"/>
        <v>1997</v>
      </c>
      <c r="I78" s="308"/>
      <c r="J78" s="308"/>
      <c r="K78" s="310">
        <f>87510-29140</f>
        <v>58370</v>
      </c>
      <c r="L78" s="308"/>
      <c r="M78" s="310">
        <f t="shared" si="59"/>
        <v>58370</v>
      </c>
      <c r="N78" s="310">
        <f t="shared" si="42"/>
        <v>972.83333333333337</v>
      </c>
      <c r="O78" s="310">
        <f t="shared" si="43"/>
        <v>0</v>
      </c>
      <c r="P78" s="310">
        <f t="shared" si="44"/>
        <v>0</v>
      </c>
      <c r="Q78" s="310">
        <f t="shared" si="45"/>
        <v>0</v>
      </c>
      <c r="R78" s="308">
        <v>1</v>
      </c>
      <c r="S78" s="310">
        <f t="shared" si="46"/>
        <v>0</v>
      </c>
      <c r="T78" s="308"/>
      <c r="U78" s="310">
        <f t="shared" si="47"/>
        <v>58370</v>
      </c>
      <c r="V78" s="310">
        <f t="shared" si="48"/>
        <v>58370</v>
      </c>
      <c r="W78" s="308">
        <v>1</v>
      </c>
      <c r="X78" s="310">
        <f t="shared" si="49"/>
        <v>58370</v>
      </c>
      <c r="Y78" s="310">
        <f t="shared" si="50"/>
        <v>58370</v>
      </c>
      <c r="Z78" s="310">
        <f>IF(L78&gt;0,(K78-X78)/2,IF(AA78&gt;=AD78,(((K78*R78)*W78)-Y78)/2,((((K78*R78)*W78)-X78)+(((K78*R78)*W78)-Y78))/2))</f>
        <v>0</v>
      </c>
      <c r="AA78" s="300">
        <f t="shared" si="51"/>
        <v>1992.5833333333333</v>
      </c>
      <c r="AB78" s="300">
        <f t="shared" si="52"/>
        <v>2020</v>
      </c>
      <c r="AC78" s="300">
        <f t="shared" si="53"/>
        <v>1997.5833333333333</v>
      </c>
      <c r="AD78" s="301">
        <f t="shared" si="54"/>
        <v>2019</v>
      </c>
      <c r="AE78" s="301">
        <f t="shared" si="55"/>
        <v>-8.3333333333333329E-2</v>
      </c>
      <c r="AF78" s="301">
        <f t="shared" si="56"/>
        <v>1997.5833333333333</v>
      </c>
      <c r="AG78" s="301">
        <f t="shared" si="57"/>
        <v>2019</v>
      </c>
      <c r="AH78" s="301">
        <f t="shared" si="58"/>
        <v>-8.3333333333333329E-2</v>
      </c>
    </row>
    <row r="79" spans="1:34" ht="15.75">
      <c r="A79" s="314">
        <v>4</v>
      </c>
      <c r="B79" s="314" t="s">
        <v>517</v>
      </c>
      <c r="C79" s="304">
        <v>2019</v>
      </c>
      <c r="D79" s="305">
        <v>1</v>
      </c>
      <c r="E79" s="306">
        <v>0</v>
      </c>
      <c r="F79" s="307" t="s">
        <v>434</v>
      </c>
      <c r="G79" s="308">
        <v>4</v>
      </c>
      <c r="H79" s="309">
        <f t="shared" si="41"/>
        <v>2023</v>
      </c>
      <c r="I79" s="308"/>
      <c r="J79" s="308"/>
      <c r="K79" s="310">
        <f>87510-58370</f>
        <v>29140</v>
      </c>
      <c r="L79" s="308"/>
      <c r="M79" s="310">
        <f t="shared" si="59"/>
        <v>29140</v>
      </c>
      <c r="N79" s="310">
        <f t="shared" si="42"/>
        <v>607.08333333333337</v>
      </c>
      <c r="O79" s="310">
        <f t="shared" si="43"/>
        <v>7285</v>
      </c>
      <c r="P79" s="310">
        <f t="shared" si="44"/>
        <v>0</v>
      </c>
      <c r="Q79" s="310">
        <f t="shared" si="45"/>
        <v>7285</v>
      </c>
      <c r="R79" s="308">
        <v>1</v>
      </c>
      <c r="S79" s="310">
        <f t="shared" si="46"/>
        <v>7285</v>
      </c>
      <c r="T79" s="308"/>
      <c r="U79" s="310">
        <f t="shared" si="47"/>
        <v>0</v>
      </c>
      <c r="V79" s="310">
        <f t="shared" si="48"/>
        <v>0</v>
      </c>
      <c r="W79" s="308">
        <v>1</v>
      </c>
      <c r="X79" s="310">
        <f t="shared" si="49"/>
        <v>0</v>
      </c>
      <c r="Y79" s="310">
        <f t="shared" si="50"/>
        <v>7285</v>
      </c>
      <c r="Z79" s="310">
        <f>+M79-Y79</f>
        <v>21855</v>
      </c>
      <c r="AA79" s="300">
        <f t="shared" si="51"/>
        <v>2019</v>
      </c>
      <c r="AB79" s="300">
        <f t="shared" si="52"/>
        <v>2020</v>
      </c>
      <c r="AC79" s="300">
        <f t="shared" si="53"/>
        <v>2023</v>
      </c>
      <c r="AD79" s="301">
        <f t="shared" si="54"/>
        <v>2019</v>
      </c>
      <c r="AE79" s="301">
        <f t="shared" si="55"/>
        <v>-8.3333333333333329E-2</v>
      </c>
      <c r="AF79" s="301">
        <f t="shared" si="56"/>
        <v>2023</v>
      </c>
      <c r="AG79" s="301">
        <f t="shared" si="57"/>
        <v>2019</v>
      </c>
      <c r="AH79" s="301">
        <f t="shared" si="58"/>
        <v>-8.3333333333333329E-2</v>
      </c>
    </row>
    <row r="80" spans="1:34" ht="15.75">
      <c r="A80" s="314">
        <v>5</v>
      </c>
      <c r="B80" s="314" t="s">
        <v>506</v>
      </c>
      <c r="C80" s="304">
        <v>2004</v>
      </c>
      <c r="D80" s="305">
        <v>12</v>
      </c>
      <c r="E80" s="306">
        <v>0</v>
      </c>
      <c r="F80" s="307" t="s">
        <v>434</v>
      </c>
      <c r="G80" s="308">
        <v>7</v>
      </c>
      <c r="H80" s="309">
        <f t="shared" si="41"/>
        <v>2011</v>
      </c>
      <c r="I80" s="308"/>
      <c r="J80" s="308"/>
      <c r="K80" s="310">
        <f>(135133-27027)*0.75</f>
        <v>81079.5</v>
      </c>
      <c r="L80" s="308"/>
      <c r="M80" s="310">
        <f t="shared" si="59"/>
        <v>81079.5</v>
      </c>
      <c r="N80" s="310">
        <f t="shared" si="42"/>
        <v>965.23214285714278</v>
      </c>
      <c r="O80" s="310">
        <f t="shared" si="43"/>
        <v>0</v>
      </c>
      <c r="P80" s="310">
        <f t="shared" si="44"/>
        <v>0</v>
      </c>
      <c r="Q80" s="310">
        <f t="shared" si="45"/>
        <v>0</v>
      </c>
      <c r="R80" s="308">
        <v>1</v>
      </c>
      <c r="S80" s="310">
        <f t="shared" si="46"/>
        <v>0</v>
      </c>
      <c r="T80" s="308"/>
      <c r="U80" s="310">
        <f t="shared" si="47"/>
        <v>81079.5</v>
      </c>
      <c r="V80" s="310">
        <f t="shared" si="48"/>
        <v>81079.5</v>
      </c>
      <c r="W80" s="308">
        <v>1</v>
      </c>
      <c r="X80" s="310">
        <f t="shared" si="49"/>
        <v>81079.5</v>
      </c>
      <c r="Y80" s="310">
        <f t="shared" si="50"/>
        <v>81079.5</v>
      </c>
      <c r="Z80" s="310">
        <f>IF(L80&gt;0,(K80-X80)/2,IF(AA80&gt;=AD80,(((K80*R80)*W80)-Y80)/2,((((K80*R80)*W80)-X80)+(((K80*R80)*W80)-Y80))/2))</f>
        <v>0</v>
      </c>
      <c r="AA80" s="300">
        <f t="shared" si="51"/>
        <v>2004.9166666666667</v>
      </c>
      <c r="AB80" s="300">
        <f t="shared" si="52"/>
        <v>2020</v>
      </c>
      <c r="AC80" s="300">
        <f t="shared" si="53"/>
        <v>2011.9166666666667</v>
      </c>
      <c r="AD80" s="301">
        <f t="shared" si="54"/>
        <v>2019</v>
      </c>
      <c r="AE80" s="301">
        <f t="shared" si="55"/>
        <v>-8.3333333333333329E-2</v>
      </c>
      <c r="AF80" s="301">
        <f t="shared" si="56"/>
        <v>2011.9166666666667</v>
      </c>
      <c r="AG80" s="301">
        <f t="shared" si="57"/>
        <v>2019</v>
      </c>
      <c r="AH80" s="301">
        <f t="shared" si="58"/>
        <v>-8.3333333333333329E-2</v>
      </c>
    </row>
    <row r="81" spans="1:34" ht="15.75">
      <c r="A81" s="314">
        <v>5</v>
      </c>
      <c r="B81" s="314" t="s">
        <v>507</v>
      </c>
      <c r="C81" s="304">
        <v>2019</v>
      </c>
      <c r="D81" s="305">
        <v>1</v>
      </c>
      <c r="E81" s="306">
        <v>0</v>
      </c>
      <c r="F81" s="307" t="s">
        <v>434</v>
      </c>
      <c r="G81" s="308">
        <v>4</v>
      </c>
      <c r="H81" s="309">
        <f t="shared" si="41"/>
        <v>2023</v>
      </c>
      <c r="I81" s="308"/>
      <c r="J81" s="308"/>
      <c r="K81" s="310">
        <f>(135133-108106)*0.75</f>
        <v>20270.25</v>
      </c>
      <c r="L81" s="308"/>
      <c r="M81" s="310">
        <f t="shared" si="59"/>
        <v>20270.25</v>
      </c>
      <c r="N81" s="310">
        <f t="shared" si="42"/>
        <v>422.296875</v>
      </c>
      <c r="O81" s="310">
        <f t="shared" si="43"/>
        <v>5067.5625</v>
      </c>
      <c r="P81" s="310">
        <f t="shared" si="44"/>
        <v>0</v>
      </c>
      <c r="Q81" s="310">
        <f t="shared" si="45"/>
        <v>5067.5625</v>
      </c>
      <c r="R81" s="308">
        <v>1</v>
      </c>
      <c r="S81" s="310">
        <f t="shared" si="46"/>
        <v>5067.5625</v>
      </c>
      <c r="T81" s="308"/>
      <c r="U81" s="310">
        <f t="shared" si="47"/>
        <v>0</v>
      </c>
      <c r="V81" s="310">
        <f t="shared" si="48"/>
        <v>0</v>
      </c>
      <c r="W81" s="308">
        <v>1</v>
      </c>
      <c r="X81" s="310">
        <f t="shared" si="49"/>
        <v>0</v>
      </c>
      <c r="Y81" s="310">
        <f t="shared" si="50"/>
        <v>5067.5625</v>
      </c>
      <c r="Z81" s="310">
        <f>+M81-Y81</f>
        <v>15202.6875</v>
      </c>
      <c r="AA81" s="300">
        <f t="shared" si="51"/>
        <v>2019</v>
      </c>
      <c r="AB81" s="300">
        <f t="shared" si="52"/>
        <v>2020</v>
      </c>
      <c r="AC81" s="300">
        <f t="shared" si="53"/>
        <v>2023</v>
      </c>
      <c r="AD81" s="301">
        <f t="shared" si="54"/>
        <v>2019</v>
      </c>
      <c r="AE81" s="301">
        <f t="shared" si="55"/>
        <v>-8.3333333333333329E-2</v>
      </c>
      <c r="AF81" s="301">
        <f t="shared" si="56"/>
        <v>2023</v>
      </c>
      <c r="AG81" s="301">
        <f t="shared" si="57"/>
        <v>2019</v>
      </c>
      <c r="AH81" s="301">
        <f t="shared" si="58"/>
        <v>-8.3333333333333329E-2</v>
      </c>
    </row>
    <row r="82" spans="1:34" ht="15.75">
      <c r="A82" s="314">
        <v>6</v>
      </c>
      <c r="B82" s="314" t="s">
        <v>477</v>
      </c>
      <c r="C82" s="304">
        <v>2005</v>
      </c>
      <c r="D82" s="305">
        <v>8</v>
      </c>
      <c r="E82" s="306">
        <v>0</v>
      </c>
      <c r="F82" s="307" t="s">
        <v>434</v>
      </c>
      <c r="G82" s="308">
        <v>5</v>
      </c>
      <c r="H82" s="309">
        <f t="shared" si="41"/>
        <v>2010</v>
      </c>
      <c r="I82" s="308"/>
      <c r="J82" s="308"/>
      <c r="K82" s="310">
        <v>63568</v>
      </c>
      <c r="L82" s="308"/>
      <c r="M82" s="310">
        <f t="shared" si="59"/>
        <v>63568</v>
      </c>
      <c r="N82" s="310">
        <f t="shared" si="42"/>
        <v>1059.4666666666667</v>
      </c>
      <c r="O82" s="310">
        <f t="shared" si="43"/>
        <v>0</v>
      </c>
      <c r="P82" s="310">
        <f t="shared" si="44"/>
        <v>0</v>
      </c>
      <c r="Q82" s="310">
        <f t="shared" si="45"/>
        <v>0</v>
      </c>
      <c r="R82" s="308">
        <v>1</v>
      </c>
      <c r="S82" s="310">
        <f t="shared" si="46"/>
        <v>0</v>
      </c>
      <c r="T82" s="308"/>
      <c r="U82" s="310">
        <f t="shared" si="47"/>
        <v>63568</v>
      </c>
      <c r="V82" s="310">
        <f t="shared" si="48"/>
        <v>63568</v>
      </c>
      <c r="W82" s="308">
        <v>1</v>
      </c>
      <c r="X82" s="310">
        <f t="shared" si="49"/>
        <v>63568</v>
      </c>
      <c r="Y82" s="310">
        <f t="shared" si="50"/>
        <v>63568</v>
      </c>
      <c r="Z82" s="310">
        <f>IF(L82&gt;0,(K82-X82)/2,IF(AA82&gt;=AD82,(((K82*R82)*W82)-Y82)/2,((((K82*R82)*W82)-X82)+(((K82*R82)*W82)-Y82))/2))</f>
        <v>0</v>
      </c>
      <c r="AA82" s="300">
        <f t="shared" si="51"/>
        <v>2005.5833333333333</v>
      </c>
      <c r="AB82" s="300">
        <f t="shared" si="52"/>
        <v>2020</v>
      </c>
      <c r="AC82" s="300">
        <f t="shared" si="53"/>
        <v>2010.5833333333333</v>
      </c>
      <c r="AD82" s="301">
        <f t="shared" si="54"/>
        <v>2019</v>
      </c>
      <c r="AE82" s="301">
        <f t="shared" si="55"/>
        <v>-8.3333333333333329E-2</v>
      </c>
      <c r="AF82" s="301">
        <f t="shared" si="56"/>
        <v>2010.5833333333333</v>
      </c>
      <c r="AG82" s="301">
        <f t="shared" si="57"/>
        <v>2019</v>
      </c>
      <c r="AH82" s="301">
        <f t="shared" si="58"/>
        <v>-8.3333333333333329E-2</v>
      </c>
    </row>
    <row r="83" spans="1:34" ht="15.75">
      <c r="A83" s="314">
        <v>27</v>
      </c>
      <c r="B83" s="314" t="s">
        <v>481</v>
      </c>
      <c r="C83" s="304">
        <v>2003</v>
      </c>
      <c r="D83" s="305">
        <v>5</v>
      </c>
      <c r="E83" s="306">
        <v>0</v>
      </c>
      <c r="F83" s="307" t="s">
        <v>434</v>
      </c>
      <c r="G83" s="308">
        <v>5</v>
      </c>
      <c r="H83" s="309">
        <f t="shared" si="41"/>
        <v>2008</v>
      </c>
      <c r="I83" s="308"/>
      <c r="J83" s="308"/>
      <c r="K83" s="310">
        <f>1215-405</f>
        <v>810</v>
      </c>
      <c r="L83" s="308"/>
      <c r="M83" s="310">
        <f t="shared" si="59"/>
        <v>810</v>
      </c>
      <c r="N83" s="310">
        <f t="shared" si="42"/>
        <v>13.5</v>
      </c>
      <c r="O83" s="310">
        <f t="shared" si="43"/>
        <v>0</v>
      </c>
      <c r="P83" s="310">
        <f t="shared" si="44"/>
        <v>0</v>
      </c>
      <c r="Q83" s="310">
        <f t="shared" si="45"/>
        <v>0</v>
      </c>
      <c r="R83" s="308">
        <v>1</v>
      </c>
      <c r="S83" s="310">
        <f t="shared" si="46"/>
        <v>0</v>
      </c>
      <c r="T83" s="308"/>
      <c r="U83" s="310">
        <f t="shared" si="47"/>
        <v>810</v>
      </c>
      <c r="V83" s="310">
        <f t="shared" si="48"/>
        <v>810</v>
      </c>
      <c r="W83" s="308">
        <v>1</v>
      </c>
      <c r="X83" s="310">
        <f t="shared" si="49"/>
        <v>810</v>
      </c>
      <c r="Y83" s="310">
        <f t="shared" si="50"/>
        <v>810</v>
      </c>
      <c r="Z83" s="310">
        <f>IF(L83&gt;0,(K83-X83)/2,IF(AA83&gt;=AD83,(((K83*R83)*W83)-Y83)/2,((((K83*R83)*W83)-X83)+(((K83*R83)*W83)-Y83))/2))</f>
        <v>0</v>
      </c>
      <c r="AA83" s="300">
        <f t="shared" si="51"/>
        <v>2003.3333333333333</v>
      </c>
      <c r="AB83" s="300">
        <f t="shared" si="52"/>
        <v>2020</v>
      </c>
      <c r="AC83" s="300">
        <f t="shared" si="53"/>
        <v>2008.3333333333333</v>
      </c>
      <c r="AD83" s="301">
        <f t="shared" si="54"/>
        <v>2019</v>
      </c>
      <c r="AE83" s="301">
        <f t="shared" si="55"/>
        <v>-8.3333333333333329E-2</v>
      </c>
      <c r="AF83" s="301">
        <f t="shared" si="56"/>
        <v>2008.3333333333333</v>
      </c>
      <c r="AG83" s="301">
        <f t="shared" si="57"/>
        <v>2019</v>
      </c>
      <c r="AH83" s="301">
        <f t="shared" si="58"/>
        <v>-8.3333333333333329E-2</v>
      </c>
    </row>
    <row r="84" spans="1:34" ht="15.75">
      <c r="A84" s="314">
        <v>27</v>
      </c>
      <c r="B84" s="314" t="s">
        <v>482</v>
      </c>
      <c r="C84" s="304">
        <v>2019</v>
      </c>
      <c r="D84" s="305">
        <v>1</v>
      </c>
      <c r="E84" s="306">
        <v>0</v>
      </c>
      <c r="F84" s="307" t="s">
        <v>434</v>
      </c>
      <c r="G84" s="308">
        <v>4</v>
      </c>
      <c r="H84" s="309">
        <f t="shared" si="41"/>
        <v>2023</v>
      </c>
      <c r="I84" s="308"/>
      <c r="J84" s="308"/>
      <c r="K84" s="310">
        <f>1215-810</f>
        <v>405</v>
      </c>
      <c r="L84" s="308"/>
      <c r="M84" s="310">
        <f t="shared" si="59"/>
        <v>405</v>
      </c>
      <c r="N84" s="310">
        <f t="shared" si="42"/>
        <v>8.4375</v>
      </c>
      <c r="O84" s="310">
        <f t="shared" si="43"/>
        <v>101.25</v>
      </c>
      <c r="P84" s="310">
        <f t="shared" si="44"/>
        <v>0</v>
      </c>
      <c r="Q84" s="310">
        <f t="shared" si="45"/>
        <v>101.25</v>
      </c>
      <c r="R84" s="308">
        <v>1</v>
      </c>
      <c r="S84" s="310">
        <f t="shared" si="46"/>
        <v>101.25</v>
      </c>
      <c r="T84" s="308"/>
      <c r="U84" s="310">
        <f t="shared" si="47"/>
        <v>0</v>
      </c>
      <c r="V84" s="310">
        <f t="shared" si="48"/>
        <v>0</v>
      </c>
      <c r="W84" s="308">
        <v>1</v>
      </c>
      <c r="X84" s="310">
        <f t="shared" si="49"/>
        <v>0</v>
      </c>
      <c r="Y84" s="310">
        <f t="shared" si="50"/>
        <v>101.25</v>
      </c>
      <c r="Z84" s="310">
        <v>324</v>
      </c>
      <c r="AA84" s="300">
        <f t="shared" si="51"/>
        <v>2019</v>
      </c>
      <c r="AB84" s="300">
        <f t="shared" si="52"/>
        <v>2020</v>
      </c>
      <c r="AC84" s="300">
        <f t="shared" si="53"/>
        <v>2023</v>
      </c>
      <c r="AD84" s="301">
        <f t="shared" si="54"/>
        <v>2019</v>
      </c>
      <c r="AE84" s="301">
        <f t="shared" si="55"/>
        <v>-8.3333333333333329E-2</v>
      </c>
      <c r="AF84" s="301">
        <f t="shared" si="56"/>
        <v>2023</v>
      </c>
      <c r="AG84" s="301">
        <f t="shared" si="57"/>
        <v>2019</v>
      </c>
      <c r="AH84" s="301">
        <f t="shared" si="58"/>
        <v>-8.3333333333333329E-2</v>
      </c>
    </row>
    <row r="85" spans="1:34" ht="15.75">
      <c r="A85" s="314">
        <v>62</v>
      </c>
      <c r="B85" s="314" t="s">
        <v>483</v>
      </c>
      <c r="C85" s="304">
        <v>2013</v>
      </c>
      <c r="D85" s="305">
        <v>5</v>
      </c>
      <c r="E85" s="306">
        <v>0</v>
      </c>
      <c r="F85" s="307" t="s">
        <v>434</v>
      </c>
      <c r="G85" s="308">
        <v>7</v>
      </c>
      <c r="H85" s="309">
        <f t="shared" si="41"/>
        <v>2020</v>
      </c>
      <c r="I85" s="308"/>
      <c r="J85" s="308"/>
      <c r="K85" s="310">
        <v>281005</v>
      </c>
      <c r="L85" s="308"/>
      <c r="M85" s="310">
        <f t="shared" si="59"/>
        <v>281005</v>
      </c>
      <c r="N85" s="310">
        <f t="shared" si="42"/>
        <v>3345.2976190476188</v>
      </c>
      <c r="O85" s="310">
        <f t="shared" si="43"/>
        <v>40143.571428571428</v>
      </c>
      <c r="P85" s="310">
        <f t="shared" si="44"/>
        <v>0</v>
      </c>
      <c r="Q85" s="310">
        <f t="shared" si="45"/>
        <v>40143.571428571428</v>
      </c>
      <c r="R85" s="308">
        <v>1</v>
      </c>
      <c r="S85" s="310">
        <f t="shared" si="46"/>
        <v>40143.571428571428</v>
      </c>
      <c r="T85" s="308"/>
      <c r="U85" s="310">
        <f t="shared" si="47"/>
        <v>227480.23809524113</v>
      </c>
      <c r="V85" s="310">
        <f t="shared" si="48"/>
        <v>227480.23809524113</v>
      </c>
      <c r="W85" s="308">
        <v>1</v>
      </c>
      <c r="X85" s="310">
        <f t="shared" si="49"/>
        <v>227480.23809524113</v>
      </c>
      <c r="Y85" s="310">
        <f t="shared" si="50"/>
        <v>267623.80952381255</v>
      </c>
      <c r="Z85" s="310">
        <f>+M85-Y85</f>
        <v>13381.190476187447</v>
      </c>
      <c r="AA85" s="300">
        <f t="shared" si="51"/>
        <v>2013.3333333333333</v>
      </c>
      <c r="AB85" s="300">
        <f t="shared" si="52"/>
        <v>2020</v>
      </c>
      <c r="AC85" s="300">
        <f t="shared" si="53"/>
        <v>2020.3333333333333</v>
      </c>
      <c r="AD85" s="301">
        <f t="shared" si="54"/>
        <v>2019</v>
      </c>
      <c r="AE85" s="301">
        <f t="shared" si="55"/>
        <v>-8.3333333333333329E-2</v>
      </c>
      <c r="AF85" s="301">
        <f t="shared" si="56"/>
        <v>2020.3333333333333</v>
      </c>
      <c r="AG85" s="301">
        <f t="shared" si="57"/>
        <v>2019</v>
      </c>
      <c r="AH85" s="301">
        <f t="shared" si="58"/>
        <v>-8.3333333333333329E-2</v>
      </c>
    </row>
    <row r="86" spans="1:34" ht="15.75">
      <c r="A86" s="314">
        <v>62</v>
      </c>
      <c r="B86" s="314" t="s">
        <v>484</v>
      </c>
      <c r="C86" s="304">
        <v>2019</v>
      </c>
      <c r="D86" s="305">
        <v>1</v>
      </c>
      <c r="E86" s="306">
        <v>0</v>
      </c>
      <c r="F86" s="307" t="s">
        <v>434</v>
      </c>
      <c r="G86" s="308">
        <v>4</v>
      </c>
      <c r="H86" s="309">
        <f t="shared" si="41"/>
        <v>2023</v>
      </c>
      <c r="I86" s="308"/>
      <c r="J86" s="308"/>
      <c r="K86" s="310">
        <f>351256.12-281005</f>
        <v>70251.12</v>
      </c>
      <c r="L86" s="308"/>
      <c r="M86" s="310">
        <f t="shared" si="59"/>
        <v>70251.12</v>
      </c>
      <c r="N86" s="310">
        <f t="shared" si="42"/>
        <v>1463.5649999999998</v>
      </c>
      <c r="O86" s="310">
        <f t="shared" si="43"/>
        <v>17562.78</v>
      </c>
      <c r="P86" s="310">
        <f t="shared" si="44"/>
        <v>0</v>
      </c>
      <c r="Q86" s="310">
        <f t="shared" si="45"/>
        <v>17562.78</v>
      </c>
      <c r="R86" s="308">
        <v>1</v>
      </c>
      <c r="S86" s="310">
        <f t="shared" si="46"/>
        <v>17562.78</v>
      </c>
      <c r="T86" s="308"/>
      <c r="U86" s="310">
        <f t="shared" si="47"/>
        <v>0</v>
      </c>
      <c r="V86" s="310">
        <f t="shared" si="48"/>
        <v>0</v>
      </c>
      <c r="W86" s="308">
        <v>1</v>
      </c>
      <c r="X86" s="310">
        <f t="shared" si="49"/>
        <v>0</v>
      </c>
      <c r="Y86" s="310">
        <f t="shared" si="50"/>
        <v>17562.78</v>
      </c>
      <c r="Z86" s="310">
        <f>+M86-Y86</f>
        <v>52688.34</v>
      </c>
      <c r="AA86" s="300">
        <f t="shared" si="51"/>
        <v>2019</v>
      </c>
      <c r="AB86" s="300">
        <f t="shared" si="52"/>
        <v>2020</v>
      </c>
      <c r="AC86" s="300">
        <f t="shared" si="53"/>
        <v>2023</v>
      </c>
      <c r="AD86" s="301">
        <f t="shared" si="54"/>
        <v>2019</v>
      </c>
      <c r="AE86" s="301">
        <f t="shared" si="55"/>
        <v>-8.3333333333333329E-2</v>
      </c>
      <c r="AF86" s="301">
        <f t="shared" si="56"/>
        <v>2023</v>
      </c>
      <c r="AG86" s="301">
        <f t="shared" si="57"/>
        <v>2019</v>
      </c>
      <c r="AH86" s="301">
        <f t="shared" si="58"/>
        <v>-8.3333333333333329E-2</v>
      </c>
    </row>
    <row r="87" spans="1:34" ht="15.75">
      <c r="A87" s="314"/>
      <c r="B87" s="314" t="s">
        <v>485</v>
      </c>
      <c r="C87" s="304">
        <v>2020</v>
      </c>
      <c r="D87" s="305">
        <v>9</v>
      </c>
      <c r="E87" s="306">
        <v>0</v>
      </c>
      <c r="F87" s="307" t="s">
        <v>434</v>
      </c>
      <c r="G87" s="308">
        <v>7</v>
      </c>
      <c r="H87" s="309">
        <f t="shared" si="41"/>
        <v>2027</v>
      </c>
      <c r="I87" s="308"/>
      <c r="J87" s="308"/>
      <c r="K87" s="310">
        <f>215808.22+162651.13+38335.23</f>
        <v>416794.57999999996</v>
      </c>
      <c r="L87" s="308"/>
      <c r="M87" s="310">
        <f t="shared" si="59"/>
        <v>416794.57999999996</v>
      </c>
      <c r="N87" s="310">
        <f t="shared" si="42"/>
        <v>4961.8402380952375</v>
      </c>
      <c r="O87" s="310">
        <f>+M87/7</f>
        <v>59542.08285714285</v>
      </c>
      <c r="P87" s="310">
        <f t="shared" si="44"/>
        <v>0</v>
      </c>
      <c r="Q87" s="310">
        <f t="shared" si="45"/>
        <v>59542.08285714285</v>
      </c>
      <c r="R87" s="308">
        <v>1</v>
      </c>
      <c r="S87" s="310">
        <f t="shared" si="46"/>
        <v>59542.08285714285</v>
      </c>
      <c r="T87" s="308"/>
      <c r="U87" s="310">
        <f t="shared" si="47"/>
        <v>0</v>
      </c>
      <c r="V87" s="310">
        <f t="shared" si="48"/>
        <v>0</v>
      </c>
      <c r="W87" s="308">
        <v>1</v>
      </c>
      <c r="X87" s="310">
        <f t="shared" si="49"/>
        <v>0</v>
      </c>
      <c r="Y87" s="310">
        <f t="shared" si="50"/>
        <v>59542.08285714285</v>
      </c>
      <c r="Z87" s="310">
        <f>+K87-Y87</f>
        <v>357252.49714285712</v>
      </c>
      <c r="AA87" s="300">
        <f t="shared" si="51"/>
        <v>2020.6666666666667</v>
      </c>
      <c r="AB87" s="300">
        <f t="shared" si="52"/>
        <v>2020</v>
      </c>
      <c r="AC87" s="300">
        <f t="shared" si="53"/>
        <v>2027.6666666666667</v>
      </c>
      <c r="AD87" s="301">
        <f t="shared" si="54"/>
        <v>2019</v>
      </c>
      <c r="AE87" s="301">
        <f t="shared" si="55"/>
        <v>-8.3333333333333329E-2</v>
      </c>
      <c r="AF87" s="301">
        <f t="shared" si="56"/>
        <v>2027.6666666666667</v>
      </c>
      <c r="AG87" s="301">
        <f t="shared" si="57"/>
        <v>2019</v>
      </c>
      <c r="AH87" s="301">
        <f t="shared" si="58"/>
        <v>-8.3333333333333329E-2</v>
      </c>
    </row>
    <row r="88" spans="1:34" ht="15.75">
      <c r="A88" s="314"/>
      <c r="B88" s="308" t="s">
        <v>504</v>
      </c>
      <c r="C88" s="304">
        <v>2013</v>
      </c>
      <c r="D88" s="305">
        <v>7</v>
      </c>
      <c r="E88" s="306">
        <v>0</v>
      </c>
      <c r="F88" s="307" t="s">
        <v>434</v>
      </c>
      <c r="G88" s="308">
        <v>5</v>
      </c>
      <c r="H88" s="309">
        <f t="shared" si="41"/>
        <v>2018</v>
      </c>
      <c r="I88" s="308"/>
      <c r="J88" s="308"/>
      <c r="K88" s="313">
        <f>7577.82+1737.6+1003.61</f>
        <v>10319.030000000001</v>
      </c>
      <c r="L88" s="312"/>
      <c r="M88" s="313">
        <f t="shared" si="59"/>
        <v>10319.030000000001</v>
      </c>
      <c r="N88" s="313">
        <f t="shared" si="42"/>
        <v>171.98383333333334</v>
      </c>
      <c r="O88" s="313">
        <f>IF(L88&gt;0,0,IF((OR((AA88&gt;AB88),(AC88&lt;AD88))),0,IF((AND((AC88&gt;=AD88),(AC88&lt;=AB88))),N88*((AC88-AD88)*12),IF((AND((AD88&lt;=AA88),(AB88&gt;=AA88))),((AB88-AA88)*12)*N88,IF(AC88&gt;AB88,12*N88,0)))))</f>
        <v>0</v>
      </c>
      <c r="P88" s="313">
        <f t="shared" si="44"/>
        <v>0</v>
      </c>
      <c r="Q88" s="313">
        <f t="shared" si="45"/>
        <v>0</v>
      </c>
      <c r="R88" s="312">
        <v>1</v>
      </c>
      <c r="S88" s="313">
        <f t="shared" si="46"/>
        <v>0</v>
      </c>
      <c r="T88" s="312"/>
      <c r="U88" s="313">
        <f t="shared" si="47"/>
        <v>10319.030000000001</v>
      </c>
      <c r="V88" s="313">
        <f t="shared" si="48"/>
        <v>10319.030000000001</v>
      </c>
      <c r="W88" s="312">
        <v>1</v>
      </c>
      <c r="X88" s="313">
        <f t="shared" si="49"/>
        <v>10319.030000000001</v>
      </c>
      <c r="Y88" s="313">
        <f t="shared" si="50"/>
        <v>10319.030000000001</v>
      </c>
      <c r="Z88" s="313">
        <f>IF(L88&gt;0,(K88-X88)/2,IF(AA88&gt;=AD88,(((K88*R88)*W88)-Y88)/2,((((K88*R88)*W88)-X88)+(((K88*R88)*W88)-Y88))/2))</f>
        <v>0</v>
      </c>
      <c r="AA88" s="300">
        <f t="shared" si="51"/>
        <v>2013.5</v>
      </c>
      <c r="AB88" s="300">
        <f t="shared" si="52"/>
        <v>2020</v>
      </c>
      <c r="AC88" s="300">
        <f t="shared" si="53"/>
        <v>2018.5</v>
      </c>
      <c r="AD88" s="301">
        <f t="shared" si="54"/>
        <v>2019</v>
      </c>
      <c r="AE88" s="301">
        <f t="shared" si="55"/>
        <v>-8.3333333333333329E-2</v>
      </c>
      <c r="AF88" s="301">
        <f t="shared" si="56"/>
        <v>2018.5</v>
      </c>
      <c r="AG88" s="301">
        <f t="shared" si="57"/>
        <v>2019</v>
      </c>
      <c r="AH88" s="301">
        <f t="shared" si="58"/>
        <v>-8.3333333333333329E-2</v>
      </c>
    </row>
    <row r="89" spans="1:34" ht="15.75">
      <c r="A89" s="314"/>
      <c r="B89" s="308"/>
      <c r="C89" s="307"/>
      <c r="D89" s="307"/>
      <c r="E89" s="308"/>
      <c r="F89" s="307"/>
      <c r="G89" s="308"/>
      <c r="H89" s="308"/>
      <c r="I89" s="308"/>
      <c r="J89" s="308"/>
      <c r="K89" s="308">
        <f>SUM(K74:K88)</f>
        <v>1053479.48</v>
      </c>
      <c r="L89" s="308"/>
      <c r="M89" s="308">
        <f t="shared" ref="M89:Z89" si="60">SUM(M74:M88)</f>
        <v>1053479.48</v>
      </c>
      <c r="N89" s="308">
        <f t="shared" si="60"/>
        <v>14373.382374999999</v>
      </c>
      <c r="O89" s="308">
        <f t="shared" si="60"/>
        <v>130785.05928571426</v>
      </c>
      <c r="P89" s="308">
        <f t="shared" si="60"/>
        <v>0</v>
      </c>
      <c r="Q89" s="308">
        <f t="shared" si="60"/>
        <v>130785.05928571426</v>
      </c>
      <c r="R89" s="308">
        <f t="shared" si="60"/>
        <v>15</v>
      </c>
      <c r="S89" s="308">
        <f t="shared" si="60"/>
        <v>130785.05928571426</v>
      </c>
      <c r="T89" s="308">
        <f t="shared" si="60"/>
        <v>0</v>
      </c>
      <c r="U89" s="308">
        <f t="shared" si="60"/>
        <v>457318.76809524116</v>
      </c>
      <c r="V89" s="308">
        <f t="shared" si="60"/>
        <v>457318.76809524116</v>
      </c>
      <c r="W89" s="308">
        <f t="shared" si="60"/>
        <v>15</v>
      </c>
      <c r="X89" s="308">
        <f t="shared" si="60"/>
        <v>457318.76809524116</v>
      </c>
      <c r="Y89" s="308">
        <f t="shared" si="60"/>
        <v>588103.82738095545</v>
      </c>
      <c r="Z89" s="308">
        <f t="shared" si="60"/>
        <v>465395.90261904453</v>
      </c>
      <c r="AA89" s="293"/>
      <c r="AB89" s="293"/>
      <c r="AC89" s="293"/>
      <c r="AD89" s="293"/>
      <c r="AE89" s="293"/>
      <c r="AF89" s="293"/>
      <c r="AG89" s="293"/>
      <c r="AH89" s="293"/>
    </row>
    <row r="90" spans="1:34" ht="15.75">
      <c r="A90" s="314"/>
      <c r="B90" s="308"/>
      <c r="C90" s="307"/>
      <c r="D90" s="307"/>
      <c r="E90" s="308"/>
      <c r="F90" s="307"/>
      <c r="G90" s="308"/>
      <c r="H90" s="308"/>
      <c r="I90" s="308"/>
      <c r="J90" s="308"/>
      <c r="K90" s="308"/>
      <c r="L90" s="308"/>
      <c r="M90" s="308"/>
      <c r="N90" s="308"/>
      <c r="O90" s="308"/>
      <c r="P90" s="308"/>
      <c r="Q90" s="308"/>
      <c r="R90" s="308"/>
      <c r="S90" s="308"/>
      <c r="T90" s="308"/>
      <c r="U90" s="308"/>
      <c r="V90" s="308"/>
      <c r="W90" s="308"/>
      <c r="X90" s="308"/>
      <c r="Y90" s="308"/>
      <c r="Z90" s="308"/>
      <c r="AA90" s="293"/>
      <c r="AB90" s="293"/>
      <c r="AC90" s="293"/>
      <c r="AD90" s="293"/>
      <c r="AE90" s="293"/>
      <c r="AF90" s="293"/>
      <c r="AG90" s="293"/>
      <c r="AH90" s="293"/>
    </row>
    <row r="91" spans="1:34" ht="15.75">
      <c r="A91" s="314"/>
      <c r="B91" s="308"/>
      <c r="C91" s="307"/>
      <c r="D91" s="307"/>
      <c r="E91" s="308"/>
      <c r="F91" s="307"/>
      <c r="G91" s="308"/>
      <c r="H91" s="308"/>
      <c r="I91" s="308"/>
      <c r="J91" s="308"/>
      <c r="K91" s="308"/>
      <c r="L91" s="308"/>
      <c r="M91" s="308"/>
      <c r="N91" s="308"/>
      <c r="O91" s="308"/>
      <c r="P91" s="308"/>
      <c r="Q91" s="308"/>
      <c r="R91" s="308"/>
      <c r="S91" s="308"/>
      <c r="T91" s="308"/>
      <c r="U91" s="308"/>
      <c r="V91" s="308"/>
      <c r="W91" s="308"/>
      <c r="X91" s="308"/>
      <c r="Y91" s="308"/>
      <c r="Z91" s="308"/>
      <c r="AA91" s="293"/>
      <c r="AB91" s="293"/>
      <c r="AC91" s="293"/>
      <c r="AD91" s="293"/>
      <c r="AE91" s="293"/>
      <c r="AF91" s="293"/>
      <c r="AG91" s="293"/>
      <c r="AH91" s="293"/>
    </row>
    <row r="92" spans="1:34" ht="15.75">
      <c r="A92" s="317" t="s">
        <v>486</v>
      </c>
      <c r="B92" s="308"/>
      <c r="C92" s="307"/>
      <c r="D92" s="307"/>
      <c r="E92" s="308"/>
      <c r="F92" s="307"/>
      <c r="G92" s="308"/>
      <c r="H92" s="308"/>
      <c r="I92" s="308"/>
      <c r="J92" s="308"/>
      <c r="K92" s="308"/>
      <c r="L92" s="308"/>
      <c r="M92" s="308"/>
      <c r="N92" s="308"/>
      <c r="O92" s="308"/>
      <c r="P92" s="308"/>
      <c r="Q92" s="308"/>
      <c r="R92" s="308"/>
      <c r="S92" s="308"/>
      <c r="T92" s="308"/>
      <c r="U92" s="308"/>
      <c r="V92" s="308"/>
      <c r="W92" s="308"/>
      <c r="X92" s="308"/>
      <c r="Y92" s="308"/>
      <c r="Z92" s="308"/>
      <c r="AA92" s="293"/>
      <c r="AB92" s="293"/>
      <c r="AC92" s="293"/>
      <c r="AD92" s="293"/>
      <c r="AE92" s="293"/>
      <c r="AF92" s="293"/>
      <c r="AG92" s="293"/>
      <c r="AH92" s="293"/>
    </row>
    <row r="93" spans="1:34" ht="15.75">
      <c r="A93" s="314">
        <v>42</v>
      </c>
      <c r="B93" s="314" t="s">
        <v>487</v>
      </c>
      <c r="C93" s="304">
        <v>1995</v>
      </c>
      <c r="D93" s="305">
        <v>1</v>
      </c>
      <c r="E93" s="306">
        <v>0</v>
      </c>
      <c r="F93" s="307" t="s">
        <v>434</v>
      </c>
      <c r="G93" s="308">
        <v>7</v>
      </c>
      <c r="H93" s="309">
        <f t="shared" ref="H93:H103" si="61">+C93+G93</f>
        <v>2002</v>
      </c>
      <c r="I93" s="308"/>
      <c r="J93" s="308"/>
      <c r="K93" s="310">
        <v>194</v>
      </c>
      <c r="L93" s="308"/>
      <c r="M93" s="310">
        <f t="shared" ref="M93:M103" si="62">K93-K93*E93</f>
        <v>194</v>
      </c>
      <c r="N93" s="310">
        <f t="shared" ref="N93:N103" si="63">M93/G93/12</f>
        <v>2.3095238095238098</v>
      </c>
      <c r="O93" s="310">
        <f t="shared" ref="O93:O103" si="64">IF(L93&gt;0,0,IF((OR((AA93&gt;AB93),(AC93&lt;AD93))),0,IF((AND((AC93&gt;=AD93),(AC93&lt;=AB93))),N93*((AC93-AD93)*12),IF((AND((AD93&lt;=AA93),(AB93&gt;=AA93))),((AB93-AA93)*12)*N93,IF(AC93&gt;AB93,12*N93,0)))))</f>
        <v>0</v>
      </c>
      <c r="P93" s="310">
        <f t="shared" ref="P93:P103" si="65">IF(L93=0,0,IF((AND((AE93&gt;=AD93),(AE93&lt;=AC93))),((AE93-AD93)*12)*N93,0))</f>
        <v>0</v>
      </c>
      <c r="Q93" s="310">
        <f t="shared" ref="Q93:Q103" si="66">IF(P93&gt;0,P93,O93)</f>
        <v>0</v>
      </c>
      <c r="R93" s="308">
        <v>1</v>
      </c>
      <c r="S93" s="310">
        <f t="shared" ref="S93:S103" si="67">R93*SUM(O93:P93)</f>
        <v>0</v>
      </c>
      <c r="T93" s="308"/>
      <c r="U93" s="310">
        <f t="shared" ref="U93:U103" si="68">IF(AA93&gt;AB93,0,IF(AC93&lt;AD93,M93,IF((AND((AC93&gt;=AD93),(AC93&lt;=AB93))),(M93-Q93),IF((AND((AD93&lt;=AA93),(AB93&gt;=AA93))),0,IF(AC93&gt;AB93,((AD93-AA93)*12)*N93,0)))))</f>
        <v>194</v>
      </c>
      <c r="V93" s="310">
        <f t="shared" ref="V93:V103" si="69">U93*R93</f>
        <v>194</v>
      </c>
      <c r="W93" s="308">
        <v>1</v>
      </c>
      <c r="X93" s="310">
        <f t="shared" ref="X93:X103" si="70">V93*W93</f>
        <v>194</v>
      </c>
      <c r="Y93" s="310">
        <f t="shared" ref="Y93:Y103" si="71">IF(L93&gt;0,0,X93+S93*W93)*W93</f>
        <v>194</v>
      </c>
      <c r="Z93" s="310">
        <f t="shared" ref="Z93:Z103" si="72">IF(L93&gt;0,(K93-X93)/2,IF(AA93&gt;=AD93,(((K93*R93)*W93)-Y93)/2,((((K93*R93)*W93)-X93)+(((K93*R93)*W93)-Y93))/2))</f>
        <v>0</v>
      </c>
      <c r="AA93" s="300">
        <f t="shared" ref="AA93:AA103" si="73">$C93+(($D93-1)/12)</f>
        <v>1995</v>
      </c>
      <c r="AB93" s="300">
        <f t="shared" ref="AB93:AB103" si="74">($M$5+1)-($M$2/12)</f>
        <v>2020</v>
      </c>
      <c r="AC93" s="300">
        <f t="shared" ref="AC93:AC103" si="75">$H93+(($D93-1)/12)</f>
        <v>2002</v>
      </c>
      <c r="AD93" s="301">
        <f t="shared" ref="AD93:AD103" si="76">$M$4+($M$3/12)</f>
        <v>2019</v>
      </c>
      <c r="AE93" s="301">
        <f t="shared" ref="AE93:AE103" si="77">$I93+(($J93-1)/12)</f>
        <v>-8.3333333333333329E-2</v>
      </c>
      <c r="AF93" s="301">
        <f t="shared" ref="AF93:AF103" si="78">$H93+(($D93-1)/12)</f>
        <v>2002</v>
      </c>
      <c r="AG93" s="301">
        <f t="shared" ref="AG93:AG103" si="79">$M$4+($M$3/12)</f>
        <v>2019</v>
      </c>
      <c r="AH93" s="301">
        <f t="shared" ref="AH93:AH103" si="80">$I93+(($J93-1)/12)</f>
        <v>-8.3333333333333329E-2</v>
      </c>
    </row>
    <row r="94" spans="1:34" ht="15.75">
      <c r="A94" s="314">
        <v>43</v>
      </c>
      <c r="B94" s="314" t="s">
        <v>488</v>
      </c>
      <c r="C94" s="304">
        <v>2006</v>
      </c>
      <c r="D94" s="305">
        <v>9</v>
      </c>
      <c r="E94" s="306">
        <v>0</v>
      </c>
      <c r="F94" s="307" t="s">
        <v>434</v>
      </c>
      <c r="G94" s="308">
        <v>7</v>
      </c>
      <c r="H94" s="309">
        <f t="shared" si="61"/>
        <v>2013</v>
      </c>
      <c r="I94" s="308"/>
      <c r="J94" s="308"/>
      <c r="K94" s="310">
        <v>725</v>
      </c>
      <c r="L94" s="308"/>
      <c r="M94" s="310">
        <f t="shared" si="62"/>
        <v>725</v>
      </c>
      <c r="N94" s="310">
        <f t="shared" si="63"/>
        <v>8.6309523809523814</v>
      </c>
      <c r="O94" s="310">
        <f t="shared" si="64"/>
        <v>0</v>
      </c>
      <c r="P94" s="310">
        <f t="shared" si="65"/>
        <v>0</v>
      </c>
      <c r="Q94" s="310">
        <f t="shared" si="66"/>
        <v>0</v>
      </c>
      <c r="R94" s="308">
        <v>1</v>
      </c>
      <c r="S94" s="310">
        <f t="shared" si="67"/>
        <v>0</v>
      </c>
      <c r="T94" s="308"/>
      <c r="U94" s="310">
        <f t="shared" si="68"/>
        <v>725</v>
      </c>
      <c r="V94" s="310">
        <f t="shared" si="69"/>
        <v>725</v>
      </c>
      <c r="W94" s="308">
        <v>1</v>
      </c>
      <c r="X94" s="310">
        <f t="shared" si="70"/>
        <v>725</v>
      </c>
      <c r="Y94" s="310">
        <f t="shared" si="71"/>
        <v>725</v>
      </c>
      <c r="Z94" s="310">
        <f t="shared" si="72"/>
        <v>0</v>
      </c>
      <c r="AA94" s="300">
        <f t="shared" si="73"/>
        <v>2006.6666666666667</v>
      </c>
      <c r="AB94" s="300">
        <f t="shared" si="74"/>
        <v>2020</v>
      </c>
      <c r="AC94" s="300">
        <f t="shared" si="75"/>
        <v>2013.6666666666667</v>
      </c>
      <c r="AD94" s="301">
        <f t="shared" si="76"/>
        <v>2019</v>
      </c>
      <c r="AE94" s="301">
        <f t="shared" si="77"/>
        <v>-8.3333333333333329E-2</v>
      </c>
      <c r="AF94" s="301">
        <f t="shared" si="78"/>
        <v>2013.6666666666667</v>
      </c>
      <c r="AG94" s="301">
        <f t="shared" si="79"/>
        <v>2019</v>
      </c>
      <c r="AH94" s="301">
        <f t="shared" si="80"/>
        <v>-8.3333333333333329E-2</v>
      </c>
    </row>
    <row r="95" spans="1:34" ht="15.75">
      <c r="A95" s="314">
        <v>44</v>
      </c>
      <c r="B95" s="314" t="s">
        <v>489</v>
      </c>
      <c r="C95" s="304">
        <v>2007</v>
      </c>
      <c r="D95" s="305">
        <v>1</v>
      </c>
      <c r="E95" s="306">
        <v>0</v>
      </c>
      <c r="F95" s="307" t="s">
        <v>434</v>
      </c>
      <c r="G95" s="308">
        <v>5</v>
      </c>
      <c r="H95" s="309">
        <f t="shared" si="61"/>
        <v>2012</v>
      </c>
      <c r="I95" s="308"/>
      <c r="J95" s="308"/>
      <c r="K95" s="310">
        <v>1298</v>
      </c>
      <c r="L95" s="308"/>
      <c r="M95" s="310">
        <f t="shared" si="62"/>
        <v>1298</v>
      </c>
      <c r="N95" s="310">
        <f t="shared" si="63"/>
        <v>21.633333333333336</v>
      </c>
      <c r="O95" s="310">
        <f t="shared" si="64"/>
        <v>0</v>
      </c>
      <c r="P95" s="310">
        <f t="shared" si="65"/>
        <v>0</v>
      </c>
      <c r="Q95" s="310">
        <f t="shared" si="66"/>
        <v>0</v>
      </c>
      <c r="R95" s="308">
        <v>1</v>
      </c>
      <c r="S95" s="310">
        <f t="shared" si="67"/>
        <v>0</v>
      </c>
      <c r="T95" s="308"/>
      <c r="U95" s="310">
        <f t="shared" si="68"/>
        <v>1298</v>
      </c>
      <c r="V95" s="310">
        <f t="shared" si="69"/>
        <v>1298</v>
      </c>
      <c r="W95" s="308">
        <v>1</v>
      </c>
      <c r="X95" s="310">
        <f t="shared" si="70"/>
        <v>1298</v>
      </c>
      <c r="Y95" s="310">
        <f t="shared" si="71"/>
        <v>1298</v>
      </c>
      <c r="Z95" s="310">
        <f t="shared" si="72"/>
        <v>0</v>
      </c>
      <c r="AA95" s="300">
        <f t="shared" si="73"/>
        <v>2007</v>
      </c>
      <c r="AB95" s="300">
        <f t="shared" si="74"/>
        <v>2020</v>
      </c>
      <c r="AC95" s="300">
        <f t="shared" si="75"/>
        <v>2012</v>
      </c>
      <c r="AD95" s="301">
        <f t="shared" si="76"/>
        <v>2019</v>
      </c>
      <c r="AE95" s="301">
        <f t="shared" si="77"/>
        <v>-8.3333333333333329E-2</v>
      </c>
      <c r="AF95" s="301">
        <f t="shared" si="78"/>
        <v>2012</v>
      </c>
      <c r="AG95" s="301">
        <f t="shared" si="79"/>
        <v>2019</v>
      </c>
      <c r="AH95" s="301">
        <f t="shared" si="80"/>
        <v>-8.3333333333333329E-2</v>
      </c>
    </row>
    <row r="96" spans="1:34" ht="15.75">
      <c r="A96" s="314">
        <v>45</v>
      </c>
      <c r="B96" s="314" t="s">
        <v>490</v>
      </c>
      <c r="C96" s="304">
        <v>2007</v>
      </c>
      <c r="D96" s="305">
        <v>1</v>
      </c>
      <c r="E96" s="306">
        <v>0</v>
      </c>
      <c r="F96" s="307" t="s">
        <v>434</v>
      </c>
      <c r="G96" s="308">
        <v>5</v>
      </c>
      <c r="H96" s="309">
        <f t="shared" si="61"/>
        <v>2012</v>
      </c>
      <c r="I96" s="308"/>
      <c r="J96" s="308"/>
      <c r="K96" s="310">
        <v>111</v>
      </c>
      <c r="L96" s="308"/>
      <c r="M96" s="310">
        <f t="shared" si="62"/>
        <v>111</v>
      </c>
      <c r="N96" s="310">
        <f t="shared" si="63"/>
        <v>1.8499999999999999</v>
      </c>
      <c r="O96" s="310">
        <f t="shared" si="64"/>
        <v>0</v>
      </c>
      <c r="P96" s="310">
        <f t="shared" si="65"/>
        <v>0</v>
      </c>
      <c r="Q96" s="310">
        <f t="shared" si="66"/>
        <v>0</v>
      </c>
      <c r="R96" s="308">
        <v>1</v>
      </c>
      <c r="S96" s="310">
        <f t="shared" si="67"/>
        <v>0</v>
      </c>
      <c r="T96" s="308"/>
      <c r="U96" s="310">
        <f t="shared" si="68"/>
        <v>111</v>
      </c>
      <c r="V96" s="310">
        <f t="shared" si="69"/>
        <v>111</v>
      </c>
      <c r="W96" s="308">
        <v>1</v>
      </c>
      <c r="X96" s="310">
        <f t="shared" si="70"/>
        <v>111</v>
      </c>
      <c r="Y96" s="310">
        <f t="shared" si="71"/>
        <v>111</v>
      </c>
      <c r="Z96" s="310">
        <f t="shared" si="72"/>
        <v>0</v>
      </c>
      <c r="AA96" s="300">
        <f t="shared" si="73"/>
        <v>2007</v>
      </c>
      <c r="AB96" s="300">
        <f t="shared" si="74"/>
        <v>2020</v>
      </c>
      <c r="AC96" s="300">
        <f t="shared" si="75"/>
        <v>2012</v>
      </c>
      <c r="AD96" s="301">
        <f t="shared" si="76"/>
        <v>2019</v>
      </c>
      <c r="AE96" s="301">
        <f t="shared" si="77"/>
        <v>-8.3333333333333329E-2</v>
      </c>
      <c r="AF96" s="301">
        <f t="shared" si="78"/>
        <v>2012</v>
      </c>
      <c r="AG96" s="301">
        <f t="shared" si="79"/>
        <v>2019</v>
      </c>
      <c r="AH96" s="301">
        <f t="shared" si="80"/>
        <v>-8.3333333333333329E-2</v>
      </c>
    </row>
    <row r="97" spans="1:34" ht="15.75">
      <c r="A97" s="314">
        <v>54</v>
      </c>
      <c r="B97" s="314" t="s">
        <v>491</v>
      </c>
      <c r="C97" s="304">
        <v>2009</v>
      </c>
      <c r="D97" s="305">
        <v>6</v>
      </c>
      <c r="E97" s="306">
        <v>0</v>
      </c>
      <c r="F97" s="307" t="s">
        <v>434</v>
      </c>
      <c r="G97" s="308">
        <v>5</v>
      </c>
      <c r="H97" s="309">
        <f t="shared" si="61"/>
        <v>2014</v>
      </c>
      <c r="I97" s="308"/>
      <c r="J97" s="308"/>
      <c r="K97" s="310">
        <v>3317</v>
      </c>
      <c r="L97" s="308"/>
      <c r="M97" s="310">
        <f t="shared" si="62"/>
        <v>3317</v>
      </c>
      <c r="N97" s="310">
        <f t="shared" si="63"/>
        <v>55.283333333333331</v>
      </c>
      <c r="O97" s="310">
        <f t="shared" si="64"/>
        <v>0</v>
      </c>
      <c r="P97" s="310">
        <f t="shared" si="65"/>
        <v>0</v>
      </c>
      <c r="Q97" s="310">
        <f t="shared" si="66"/>
        <v>0</v>
      </c>
      <c r="R97" s="308">
        <v>1</v>
      </c>
      <c r="S97" s="310">
        <f t="shared" si="67"/>
        <v>0</v>
      </c>
      <c r="T97" s="308"/>
      <c r="U97" s="310">
        <f t="shared" si="68"/>
        <v>3317</v>
      </c>
      <c r="V97" s="310">
        <f t="shared" si="69"/>
        <v>3317</v>
      </c>
      <c r="W97" s="308">
        <v>1</v>
      </c>
      <c r="X97" s="310">
        <f t="shared" si="70"/>
        <v>3317</v>
      </c>
      <c r="Y97" s="310">
        <f t="shared" si="71"/>
        <v>3317</v>
      </c>
      <c r="Z97" s="310">
        <f t="shared" si="72"/>
        <v>0</v>
      </c>
      <c r="AA97" s="300">
        <f t="shared" si="73"/>
        <v>2009.4166666666667</v>
      </c>
      <c r="AB97" s="300">
        <f t="shared" si="74"/>
        <v>2020</v>
      </c>
      <c r="AC97" s="300">
        <f t="shared" si="75"/>
        <v>2014.4166666666667</v>
      </c>
      <c r="AD97" s="301">
        <f t="shared" si="76"/>
        <v>2019</v>
      </c>
      <c r="AE97" s="301">
        <f t="shared" si="77"/>
        <v>-8.3333333333333329E-2</v>
      </c>
      <c r="AF97" s="301">
        <f t="shared" si="78"/>
        <v>2014.4166666666667</v>
      </c>
      <c r="AG97" s="301">
        <f t="shared" si="79"/>
        <v>2019</v>
      </c>
      <c r="AH97" s="301">
        <f t="shared" si="80"/>
        <v>-8.3333333333333329E-2</v>
      </c>
    </row>
    <row r="98" spans="1:34" ht="15.75">
      <c r="A98" s="314">
        <v>55</v>
      </c>
      <c r="B98" s="314" t="s">
        <v>492</v>
      </c>
      <c r="C98" s="304">
        <v>2009</v>
      </c>
      <c r="D98" s="305">
        <v>6</v>
      </c>
      <c r="E98" s="306">
        <v>0</v>
      </c>
      <c r="F98" s="307" t="s">
        <v>434</v>
      </c>
      <c r="G98" s="308">
        <v>5</v>
      </c>
      <c r="H98" s="309">
        <f t="shared" si="61"/>
        <v>2014</v>
      </c>
      <c r="I98" s="308"/>
      <c r="J98" s="308"/>
      <c r="K98" s="310">
        <v>646</v>
      </c>
      <c r="L98" s="308"/>
      <c r="M98" s="310">
        <f t="shared" si="62"/>
        <v>646</v>
      </c>
      <c r="N98" s="310">
        <f t="shared" si="63"/>
        <v>10.766666666666666</v>
      </c>
      <c r="O98" s="310">
        <f t="shared" si="64"/>
        <v>0</v>
      </c>
      <c r="P98" s="310">
        <f t="shared" si="65"/>
        <v>0</v>
      </c>
      <c r="Q98" s="310">
        <f t="shared" si="66"/>
        <v>0</v>
      </c>
      <c r="R98" s="308">
        <v>1</v>
      </c>
      <c r="S98" s="310">
        <f t="shared" si="67"/>
        <v>0</v>
      </c>
      <c r="T98" s="308"/>
      <c r="U98" s="310">
        <f t="shared" si="68"/>
        <v>646</v>
      </c>
      <c r="V98" s="310">
        <f t="shared" si="69"/>
        <v>646</v>
      </c>
      <c r="W98" s="308">
        <v>1</v>
      </c>
      <c r="X98" s="310">
        <f t="shared" si="70"/>
        <v>646</v>
      </c>
      <c r="Y98" s="310">
        <f t="shared" si="71"/>
        <v>646</v>
      </c>
      <c r="Z98" s="310">
        <f t="shared" si="72"/>
        <v>0</v>
      </c>
      <c r="AA98" s="300">
        <f t="shared" si="73"/>
        <v>2009.4166666666667</v>
      </c>
      <c r="AB98" s="300">
        <f t="shared" si="74"/>
        <v>2020</v>
      </c>
      <c r="AC98" s="300">
        <f t="shared" si="75"/>
        <v>2014.4166666666667</v>
      </c>
      <c r="AD98" s="301">
        <f t="shared" si="76"/>
        <v>2019</v>
      </c>
      <c r="AE98" s="301">
        <f t="shared" si="77"/>
        <v>-8.3333333333333329E-2</v>
      </c>
      <c r="AF98" s="301">
        <f t="shared" si="78"/>
        <v>2014.4166666666667</v>
      </c>
      <c r="AG98" s="301">
        <f t="shared" si="79"/>
        <v>2019</v>
      </c>
      <c r="AH98" s="301">
        <f t="shared" si="80"/>
        <v>-8.3333333333333329E-2</v>
      </c>
    </row>
    <row r="99" spans="1:34" ht="15.75">
      <c r="A99" s="314">
        <v>57</v>
      </c>
      <c r="B99" s="314" t="s">
        <v>493</v>
      </c>
      <c r="C99" s="304">
        <v>2010</v>
      </c>
      <c r="D99" s="305">
        <v>6</v>
      </c>
      <c r="E99" s="306">
        <v>0</v>
      </c>
      <c r="F99" s="307" t="s">
        <v>434</v>
      </c>
      <c r="G99" s="308">
        <v>5</v>
      </c>
      <c r="H99" s="309">
        <f t="shared" si="61"/>
        <v>2015</v>
      </c>
      <c r="I99" s="308"/>
      <c r="J99" s="308"/>
      <c r="K99" s="310">
        <v>200</v>
      </c>
      <c r="L99" s="308"/>
      <c r="M99" s="310">
        <f t="shared" si="62"/>
        <v>200</v>
      </c>
      <c r="N99" s="310">
        <f t="shared" si="63"/>
        <v>3.3333333333333335</v>
      </c>
      <c r="O99" s="310">
        <f t="shared" si="64"/>
        <v>0</v>
      </c>
      <c r="P99" s="310">
        <f t="shared" si="65"/>
        <v>0</v>
      </c>
      <c r="Q99" s="310">
        <f t="shared" si="66"/>
        <v>0</v>
      </c>
      <c r="R99" s="308">
        <v>1</v>
      </c>
      <c r="S99" s="310">
        <f t="shared" si="67"/>
        <v>0</v>
      </c>
      <c r="T99" s="308"/>
      <c r="U99" s="310">
        <f t="shared" si="68"/>
        <v>200</v>
      </c>
      <c r="V99" s="310">
        <f t="shared" si="69"/>
        <v>200</v>
      </c>
      <c r="W99" s="308">
        <v>1</v>
      </c>
      <c r="X99" s="310">
        <f t="shared" si="70"/>
        <v>200</v>
      </c>
      <c r="Y99" s="310">
        <f t="shared" si="71"/>
        <v>200</v>
      </c>
      <c r="Z99" s="310">
        <f t="shared" si="72"/>
        <v>0</v>
      </c>
      <c r="AA99" s="300">
        <f t="shared" si="73"/>
        <v>2010.4166666666667</v>
      </c>
      <c r="AB99" s="300">
        <f t="shared" si="74"/>
        <v>2020</v>
      </c>
      <c r="AC99" s="300">
        <f t="shared" si="75"/>
        <v>2015.4166666666667</v>
      </c>
      <c r="AD99" s="301">
        <f t="shared" si="76"/>
        <v>2019</v>
      </c>
      <c r="AE99" s="301">
        <f t="shared" si="77"/>
        <v>-8.3333333333333329E-2</v>
      </c>
      <c r="AF99" s="301">
        <f t="shared" si="78"/>
        <v>2015.4166666666667</v>
      </c>
      <c r="AG99" s="301">
        <f t="shared" si="79"/>
        <v>2019</v>
      </c>
      <c r="AH99" s="301">
        <f t="shared" si="80"/>
        <v>-8.3333333333333329E-2</v>
      </c>
    </row>
    <row r="100" spans="1:34" ht="15.75">
      <c r="A100" s="314">
        <v>58</v>
      </c>
      <c r="B100" s="314" t="s">
        <v>494</v>
      </c>
      <c r="C100" s="304">
        <v>2010</v>
      </c>
      <c r="D100" s="305">
        <v>6</v>
      </c>
      <c r="E100" s="306">
        <v>0</v>
      </c>
      <c r="F100" s="307" t="s">
        <v>434</v>
      </c>
      <c r="G100" s="308">
        <v>5</v>
      </c>
      <c r="H100" s="309">
        <f t="shared" si="61"/>
        <v>2015</v>
      </c>
      <c r="I100" s="308"/>
      <c r="J100" s="308"/>
      <c r="K100" s="310">
        <v>4557</v>
      </c>
      <c r="L100" s="308"/>
      <c r="M100" s="310">
        <f t="shared" si="62"/>
        <v>4557</v>
      </c>
      <c r="N100" s="310">
        <f t="shared" si="63"/>
        <v>75.95</v>
      </c>
      <c r="O100" s="310">
        <f t="shared" si="64"/>
        <v>0</v>
      </c>
      <c r="P100" s="310">
        <f t="shared" si="65"/>
        <v>0</v>
      </c>
      <c r="Q100" s="310">
        <f t="shared" si="66"/>
        <v>0</v>
      </c>
      <c r="R100" s="308">
        <v>1</v>
      </c>
      <c r="S100" s="310">
        <f t="shared" si="67"/>
        <v>0</v>
      </c>
      <c r="T100" s="308"/>
      <c r="U100" s="310">
        <f t="shared" si="68"/>
        <v>4557</v>
      </c>
      <c r="V100" s="310">
        <f t="shared" si="69"/>
        <v>4557</v>
      </c>
      <c r="W100" s="308">
        <v>1</v>
      </c>
      <c r="X100" s="310">
        <f t="shared" si="70"/>
        <v>4557</v>
      </c>
      <c r="Y100" s="310">
        <f t="shared" si="71"/>
        <v>4557</v>
      </c>
      <c r="Z100" s="310">
        <f t="shared" si="72"/>
        <v>0</v>
      </c>
      <c r="AA100" s="300">
        <f t="shared" si="73"/>
        <v>2010.4166666666667</v>
      </c>
      <c r="AB100" s="300">
        <f t="shared" si="74"/>
        <v>2020</v>
      </c>
      <c r="AC100" s="300">
        <f t="shared" si="75"/>
        <v>2015.4166666666667</v>
      </c>
      <c r="AD100" s="301">
        <f t="shared" si="76"/>
        <v>2019</v>
      </c>
      <c r="AE100" s="301">
        <f t="shared" si="77"/>
        <v>-8.3333333333333329E-2</v>
      </c>
      <c r="AF100" s="301">
        <f t="shared" si="78"/>
        <v>2015.4166666666667</v>
      </c>
      <c r="AG100" s="301">
        <f t="shared" si="79"/>
        <v>2019</v>
      </c>
      <c r="AH100" s="301">
        <f t="shared" si="80"/>
        <v>-8.3333333333333329E-2</v>
      </c>
    </row>
    <row r="101" spans="1:34" ht="15.75">
      <c r="A101" s="314">
        <v>61</v>
      </c>
      <c r="B101" s="314" t="s">
        <v>495</v>
      </c>
      <c r="C101" s="304">
        <v>2012</v>
      </c>
      <c r="D101" s="305">
        <v>3</v>
      </c>
      <c r="E101" s="306">
        <v>0</v>
      </c>
      <c r="F101" s="307" t="s">
        <v>434</v>
      </c>
      <c r="G101" s="308">
        <v>7</v>
      </c>
      <c r="H101" s="309">
        <f t="shared" si="61"/>
        <v>2019</v>
      </c>
      <c r="I101" s="308"/>
      <c r="J101" s="308"/>
      <c r="K101" s="310">
        <v>140</v>
      </c>
      <c r="L101" s="308"/>
      <c r="M101" s="310">
        <f t="shared" si="62"/>
        <v>140</v>
      </c>
      <c r="N101" s="310">
        <f t="shared" si="63"/>
        <v>1.6666666666666667</v>
      </c>
      <c r="O101" s="310">
        <f t="shared" si="64"/>
        <v>3.3333333333348492</v>
      </c>
      <c r="P101" s="310">
        <f t="shared" si="65"/>
        <v>0</v>
      </c>
      <c r="Q101" s="310">
        <f t="shared" si="66"/>
        <v>3.3333333333348492</v>
      </c>
      <c r="R101" s="308">
        <v>1</v>
      </c>
      <c r="S101" s="310">
        <f t="shared" si="67"/>
        <v>3.3333333333348492</v>
      </c>
      <c r="T101" s="308"/>
      <c r="U101" s="310">
        <f t="shared" si="68"/>
        <v>136.66666666666515</v>
      </c>
      <c r="V101" s="310">
        <f t="shared" si="69"/>
        <v>136.66666666666515</v>
      </c>
      <c r="W101" s="308">
        <v>1</v>
      </c>
      <c r="X101" s="310">
        <f t="shared" si="70"/>
        <v>136.66666666666515</v>
      </c>
      <c r="Y101" s="310">
        <f t="shared" si="71"/>
        <v>140</v>
      </c>
      <c r="Z101" s="310">
        <f t="shared" si="72"/>
        <v>1.6666666666674246</v>
      </c>
      <c r="AA101" s="300">
        <f t="shared" si="73"/>
        <v>2012.1666666666667</v>
      </c>
      <c r="AB101" s="300">
        <f t="shared" si="74"/>
        <v>2020</v>
      </c>
      <c r="AC101" s="300">
        <f t="shared" si="75"/>
        <v>2019.1666666666667</v>
      </c>
      <c r="AD101" s="301">
        <f t="shared" si="76"/>
        <v>2019</v>
      </c>
      <c r="AE101" s="301">
        <f t="shared" si="77"/>
        <v>-8.3333333333333329E-2</v>
      </c>
      <c r="AF101" s="301">
        <f t="shared" si="78"/>
        <v>2019.1666666666667</v>
      </c>
      <c r="AG101" s="301">
        <f t="shared" si="79"/>
        <v>2019</v>
      </c>
      <c r="AH101" s="301">
        <f t="shared" si="80"/>
        <v>-8.3333333333333329E-2</v>
      </c>
    </row>
    <row r="102" spans="1:34" ht="15.75">
      <c r="A102" s="314">
        <v>64</v>
      </c>
      <c r="B102" s="314" t="s">
        <v>496</v>
      </c>
      <c r="C102" s="304">
        <v>2013</v>
      </c>
      <c r="D102" s="305">
        <v>4</v>
      </c>
      <c r="E102" s="306">
        <v>0</v>
      </c>
      <c r="F102" s="307" t="s">
        <v>434</v>
      </c>
      <c r="G102" s="308">
        <v>5</v>
      </c>
      <c r="H102" s="309">
        <f t="shared" si="61"/>
        <v>2018</v>
      </c>
      <c r="I102" s="308"/>
      <c r="J102" s="308"/>
      <c r="K102" s="310">
        <v>1023</v>
      </c>
      <c r="L102" s="308"/>
      <c r="M102" s="310">
        <f t="shared" si="62"/>
        <v>1023</v>
      </c>
      <c r="N102" s="310">
        <f t="shared" si="63"/>
        <v>17.05</v>
      </c>
      <c r="O102" s="310">
        <f t="shared" si="64"/>
        <v>0</v>
      </c>
      <c r="P102" s="310">
        <f t="shared" si="65"/>
        <v>0</v>
      </c>
      <c r="Q102" s="310">
        <f t="shared" si="66"/>
        <v>0</v>
      </c>
      <c r="R102" s="308">
        <v>1</v>
      </c>
      <c r="S102" s="310">
        <f t="shared" si="67"/>
        <v>0</v>
      </c>
      <c r="T102" s="308"/>
      <c r="U102" s="310">
        <f t="shared" si="68"/>
        <v>1023</v>
      </c>
      <c r="V102" s="310">
        <f t="shared" si="69"/>
        <v>1023</v>
      </c>
      <c r="W102" s="308">
        <v>1</v>
      </c>
      <c r="X102" s="310">
        <f t="shared" si="70"/>
        <v>1023</v>
      </c>
      <c r="Y102" s="310">
        <f t="shared" si="71"/>
        <v>1023</v>
      </c>
      <c r="Z102" s="310">
        <f t="shared" si="72"/>
        <v>0</v>
      </c>
      <c r="AA102" s="300">
        <f t="shared" si="73"/>
        <v>2013.25</v>
      </c>
      <c r="AB102" s="300">
        <f t="shared" si="74"/>
        <v>2020</v>
      </c>
      <c r="AC102" s="300">
        <f t="shared" si="75"/>
        <v>2018.25</v>
      </c>
      <c r="AD102" s="301">
        <f t="shared" si="76"/>
        <v>2019</v>
      </c>
      <c r="AE102" s="301">
        <f t="shared" si="77"/>
        <v>-8.3333333333333329E-2</v>
      </c>
      <c r="AF102" s="301">
        <f t="shared" si="78"/>
        <v>2018.25</v>
      </c>
      <c r="AG102" s="301">
        <f t="shared" si="79"/>
        <v>2019</v>
      </c>
      <c r="AH102" s="301">
        <f t="shared" si="80"/>
        <v>-8.3333333333333329E-2</v>
      </c>
    </row>
    <row r="103" spans="1:34" ht="15.75">
      <c r="A103" s="314">
        <v>73</v>
      </c>
      <c r="B103" s="314" t="s">
        <v>496</v>
      </c>
      <c r="C103" s="304">
        <v>2014</v>
      </c>
      <c r="D103" s="305">
        <v>7</v>
      </c>
      <c r="E103" s="306">
        <v>0</v>
      </c>
      <c r="F103" s="307" t="s">
        <v>434</v>
      </c>
      <c r="G103" s="308">
        <v>5</v>
      </c>
      <c r="H103" s="309">
        <f t="shared" si="61"/>
        <v>2019</v>
      </c>
      <c r="I103" s="308"/>
      <c r="J103" s="308"/>
      <c r="K103" s="310">
        <v>888</v>
      </c>
      <c r="L103" s="308"/>
      <c r="M103" s="310">
        <f t="shared" si="62"/>
        <v>888</v>
      </c>
      <c r="N103" s="310">
        <f t="shared" si="63"/>
        <v>14.799999999999999</v>
      </c>
      <c r="O103" s="310">
        <f t="shared" si="64"/>
        <v>88.8</v>
      </c>
      <c r="P103" s="310">
        <f t="shared" si="65"/>
        <v>0</v>
      </c>
      <c r="Q103" s="310">
        <f t="shared" si="66"/>
        <v>88.8</v>
      </c>
      <c r="R103" s="308">
        <v>1</v>
      </c>
      <c r="S103" s="310">
        <f t="shared" si="67"/>
        <v>88.8</v>
      </c>
      <c r="T103" s="308"/>
      <c r="U103" s="310">
        <f t="shared" si="68"/>
        <v>799.2</v>
      </c>
      <c r="V103" s="310">
        <f t="shared" si="69"/>
        <v>799.2</v>
      </c>
      <c r="W103" s="308">
        <v>1</v>
      </c>
      <c r="X103" s="310">
        <f t="shared" si="70"/>
        <v>799.2</v>
      </c>
      <c r="Y103" s="310">
        <f t="shared" si="71"/>
        <v>888</v>
      </c>
      <c r="Z103" s="310">
        <f t="shared" si="72"/>
        <v>44.399999999999977</v>
      </c>
      <c r="AA103" s="310">
        <f t="shared" si="73"/>
        <v>2014.5</v>
      </c>
      <c r="AB103" s="310">
        <f t="shared" si="74"/>
        <v>2020</v>
      </c>
      <c r="AC103" s="310">
        <f t="shared" si="75"/>
        <v>2019.5</v>
      </c>
      <c r="AD103" s="311">
        <f t="shared" si="76"/>
        <v>2019</v>
      </c>
      <c r="AE103" s="311">
        <f t="shared" si="77"/>
        <v>-8.3333333333333329E-2</v>
      </c>
      <c r="AF103" s="311">
        <f t="shared" si="78"/>
        <v>2019.5</v>
      </c>
      <c r="AG103" s="311">
        <f t="shared" si="79"/>
        <v>2019</v>
      </c>
      <c r="AH103" s="311">
        <f t="shared" si="80"/>
        <v>-8.3333333333333329E-2</v>
      </c>
    </row>
    <row r="104" spans="1:34" ht="15.75">
      <c r="A104" s="318"/>
      <c r="B104" s="318"/>
      <c r="C104" s="318"/>
      <c r="D104" s="318"/>
      <c r="E104" s="318"/>
      <c r="F104" s="318"/>
      <c r="G104" s="318"/>
      <c r="H104" s="318"/>
      <c r="I104" s="318"/>
      <c r="J104" s="318"/>
      <c r="K104" s="319">
        <f>SUM(K93:K103)</f>
        <v>13099</v>
      </c>
      <c r="L104" s="320"/>
      <c r="M104" s="319">
        <f t="shared" ref="M104:Z104" si="81">SUM(M93:M103)</f>
        <v>13099</v>
      </c>
      <c r="N104" s="319">
        <f t="shared" si="81"/>
        <v>213.27380952380955</v>
      </c>
      <c r="O104" s="319">
        <f t="shared" si="81"/>
        <v>92.133333333334846</v>
      </c>
      <c r="P104" s="319">
        <f t="shared" si="81"/>
        <v>0</v>
      </c>
      <c r="Q104" s="319">
        <f t="shared" si="81"/>
        <v>92.133333333334846</v>
      </c>
      <c r="R104" s="319">
        <f t="shared" si="81"/>
        <v>11</v>
      </c>
      <c r="S104" s="319">
        <f t="shared" si="81"/>
        <v>92.133333333334846</v>
      </c>
      <c r="T104" s="319">
        <f t="shared" si="81"/>
        <v>0</v>
      </c>
      <c r="U104" s="319">
        <f t="shared" si="81"/>
        <v>13006.866666666665</v>
      </c>
      <c r="V104" s="319">
        <f t="shared" si="81"/>
        <v>13006.866666666665</v>
      </c>
      <c r="W104" s="319">
        <f t="shared" si="81"/>
        <v>11</v>
      </c>
      <c r="X104" s="319">
        <f t="shared" si="81"/>
        <v>13006.866666666665</v>
      </c>
      <c r="Y104" s="319">
        <f t="shared" si="81"/>
        <v>13099</v>
      </c>
      <c r="Z104" s="319">
        <f t="shared" si="81"/>
        <v>46.066666666667402</v>
      </c>
      <c r="AA104" s="290"/>
      <c r="AB104" s="290"/>
      <c r="AC104" s="290"/>
      <c r="AD104" s="290"/>
      <c r="AE104" s="290"/>
      <c r="AF104" s="290"/>
      <c r="AG104" s="290"/>
      <c r="AH104" s="290"/>
    </row>
    <row r="105" spans="1:34" ht="15.75">
      <c r="A105" s="310" t="s">
        <v>103</v>
      </c>
      <c r="B105" s="310" t="s">
        <v>497</v>
      </c>
      <c r="C105" s="310"/>
      <c r="D105" s="310"/>
      <c r="E105" s="310"/>
      <c r="F105" s="310"/>
      <c r="G105" s="310"/>
      <c r="H105" s="310"/>
      <c r="I105" s="310"/>
      <c r="J105" s="310"/>
      <c r="K105" s="310">
        <f>+K72+K89+K104</f>
        <v>1517960.1099999999</v>
      </c>
      <c r="L105" s="310"/>
      <c r="M105" s="310">
        <f t="shared" ref="M105:Z105" si="82">+M72+M89+M104</f>
        <v>1517960.1099999999</v>
      </c>
      <c r="N105" s="310">
        <f t="shared" si="82"/>
        <v>19130.54476785714</v>
      </c>
      <c r="O105" s="310">
        <f t="shared" si="82"/>
        <v>170193.72228571435</v>
      </c>
      <c r="P105" s="310">
        <f t="shared" si="82"/>
        <v>0</v>
      </c>
      <c r="Q105" s="310">
        <f t="shared" si="82"/>
        <v>170193.72228571435</v>
      </c>
      <c r="R105" s="310">
        <f t="shared" si="82"/>
        <v>85</v>
      </c>
      <c r="S105" s="310">
        <f t="shared" si="82"/>
        <v>170193.72228571435</v>
      </c>
      <c r="T105" s="310">
        <f t="shared" si="82"/>
        <v>0</v>
      </c>
      <c r="U105" s="310">
        <f t="shared" si="82"/>
        <v>698069.42409524135</v>
      </c>
      <c r="V105" s="310">
        <f t="shared" si="82"/>
        <v>698069.42409524135</v>
      </c>
      <c r="W105" s="310">
        <f t="shared" si="82"/>
        <v>85</v>
      </c>
      <c r="X105" s="310">
        <f t="shared" si="82"/>
        <v>698069.42409524135</v>
      </c>
      <c r="Y105" s="310">
        <f t="shared" si="82"/>
        <v>868263.1463809557</v>
      </c>
      <c r="Z105" s="310">
        <f t="shared" si="82"/>
        <v>659365.54511904425</v>
      </c>
      <c r="AA105" s="303"/>
      <c r="AB105" s="290"/>
      <c r="AC105" s="290"/>
      <c r="AD105" s="290"/>
      <c r="AE105" s="290"/>
      <c r="AF105" s="290"/>
      <c r="AG105" s="290"/>
      <c r="AH105" s="290"/>
    </row>
    <row r="106" spans="1:34" ht="15.75">
      <c r="A106" s="310"/>
      <c r="B106" s="310"/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10"/>
      <c r="P106" s="310"/>
      <c r="Q106" s="310"/>
      <c r="R106" s="310"/>
      <c r="S106" s="310"/>
      <c r="T106" s="310"/>
      <c r="U106" s="310"/>
      <c r="V106" s="310"/>
      <c r="W106" s="310"/>
      <c r="X106" s="310"/>
      <c r="Y106" s="310"/>
      <c r="Z106" s="310"/>
      <c r="AA106" s="303"/>
      <c r="AB106" s="290"/>
      <c r="AC106" s="290"/>
      <c r="AD106" s="290"/>
      <c r="AE106" s="290"/>
      <c r="AF106" s="290"/>
      <c r="AG106" s="290"/>
      <c r="AH106" s="290"/>
    </row>
    <row r="107" spans="1:34" ht="15.75">
      <c r="A107" s="314"/>
      <c r="B107" s="314" t="s">
        <v>498</v>
      </c>
      <c r="C107" s="314"/>
      <c r="D107" s="314"/>
      <c r="E107" s="314"/>
      <c r="F107" s="314"/>
      <c r="G107" s="314"/>
      <c r="H107" s="314"/>
      <c r="I107" s="314"/>
      <c r="J107" s="314"/>
      <c r="K107" s="314"/>
      <c r="L107" s="314"/>
      <c r="M107" s="314"/>
      <c r="N107" s="314"/>
      <c r="O107" s="314"/>
      <c r="P107" s="314"/>
      <c r="Q107" s="314"/>
      <c r="R107" s="314"/>
      <c r="S107" s="314"/>
      <c r="T107" s="314"/>
      <c r="U107" s="314"/>
      <c r="V107" s="314"/>
      <c r="W107" s="314"/>
      <c r="X107" s="314"/>
      <c r="Y107" s="314"/>
      <c r="Z107" s="314"/>
      <c r="AA107" s="302"/>
      <c r="AB107" s="302"/>
      <c r="AC107" s="302"/>
      <c r="AD107" s="302"/>
      <c r="AE107" s="302"/>
      <c r="AF107" s="302"/>
      <c r="AG107" s="302"/>
      <c r="AH107" s="302"/>
    </row>
    <row r="108" spans="1:34" ht="15.75">
      <c r="A108" s="314">
        <v>56</v>
      </c>
      <c r="B108" s="314" t="s">
        <v>499</v>
      </c>
      <c r="C108" s="304">
        <v>2009</v>
      </c>
      <c r="D108" s="305">
        <v>7</v>
      </c>
      <c r="E108" s="306">
        <v>0</v>
      </c>
      <c r="F108" s="307" t="s">
        <v>434</v>
      </c>
      <c r="G108" s="308">
        <v>5</v>
      </c>
      <c r="H108" s="309">
        <f>+C108+G108</f>
        <v>2014</v>
      </c>
      <c r="I108" s="308"/>
      <c r="J108" s="308"/>
      <c r="K108" s="310">
        <v>7154</v>
      </c>
      <c r="L108" s="308"/>
      <c r="M108" s="310">
        <f>K108-K108*E108</f>
        <v>7154</v>
      </c>
      <c r="N108" s="310">
        <f>M108/G108/12</f>
        <v>119.23333333333333</v>
      </c>
      <c r="O108" s="310">
        <f>IF(L108&gt;0,0,IF((OR((AA108&gt;AB108),(AC108&lt;AD108))),0,IF((AND((AC108&gt;=AD108),(AC108&lt;=AB108))),N108*((AC108-AD108)*12),IF((AND((AD108&lt;=AA108),(AB108&gt;=AA108))),((AB108-AA108)*12)*N108,IF(AC108&gt;AB108,12*N108,0)))))</f>
        <v>0</v>
      </c>
      <c r="P108" s="310">
        <f>IF(L108=0,0,IF((AND((AE108&gt;=AD108),(AE108&lt;=AC108))),((AE108-AD108)*12)*N108,0))</f>
        <v>0</v>
      </c>
      <c r="Q108" s="310">
        <f>IF(P108&gt;0,P108,O108)</f>
        <v>0</v>
      </c>
      <c r="R108" s="308">
        <v>1</v>
      </c>
      <c r="S108" s="310">
        <f>R108*SUM(O108:P108)</f>
        <v>0</v>
      </c>
      <c r="T108" s="308"/>
      <c r="U108" s="310">
        <f>IF(AA108&gt;AB108,0,IF(AC108&lt;AD108,M108,IF((AND((AC108&gt;=AD108),(AC108&lt;=AB108))),(M108-Q108),IF((AND((AD108&lt;=AA108),(AB108&gt;=AA108))),0,IF(AC108&gt;AB108,((AD108-AA108)*12)*N108,0)))))</f>
        <v>7154</v>
      </c>
      <c r="V108" s="310">
        <f>U108*R108</f>
        <v>7154</v>
      </c>
      <c r="W108" s="308">
        <v>1</v>
      </c>
      <c r="X108" s="310">
        <f>V108*W108</f>
        <v>7154</v>
      </c>
      <c r="Y108" s="310">
        <f>IF(L108&gt;0,0,X108+S108*W108)*W108</f>
        <v>7154</v>
      </c>
      <c r="Z108" s="310">
        <f>IF(L108&gt;0,(K108-X108)/2,IF(AA108&gt;=AD108,(((K108*R108)*W108)-Y108)/2,((((K108*R108)*W108)-X108)+(((K108*R108)*W108)-Y108))/2))</f>
        <v>0</v>
      </c>
      <c r="AA108" s="310">
        <f>$C108+(($D108-1)/12)</f>
        <v>2009.5</v>
      </c>
      <c r="AB108" s="310">
        <f>($M$5+1)-($M$2/12)</f>
        <v>2020</v>
      </c>
      <c r="AC108" s="310">
        <f>$H108+(($D108-1)/12)</f>
        <v>2014.5</v>
      </c>
      <c r="AD108" s="311">
        <f>$M$4+($M$3/12)</f>
        <v>2019</v>
      </c>
      <c r="AE108" s="311">
        <f>$I108+(($J108-1)/12)</f>
        <v>-8.3333333333333329E-2</v>
      </c>
      <c r="AF108" s="311">
        <f>$H108+(($D108-1)/12)</f>
        <v>2014.5</v>
      </c>
      <c r="AG108" s="311">
        <f>$M$4+($M$3/12)</f>
        <v>2019</v>
      </c>
      <c r="AH108" s="311">
        <f>$I108+(($J108-1)/12)</f>
        <v>-8.3333333333333329E-2</v>
      </c>
    </row>
    <row r="109" spans="1:34" ht="15.75">
      <c r="A109" s="314">
        <v>56</v>
      </c>
      <c r="B109" s="314" t="s">
        <v>508</v>
      </c>
      <c r="C109" s="304">
        <v>2019</v>
      </c>
      <c r="D109" s="305">
        <v>1</v>
      </c>
      <c r="E109" s="306">
        <v>0</v>
      </c>
      <c r="F109" s="307" t="s">
        <v>434</v>
      </c>
      <c r="G109" s="308">
        <v>4</v>
      </c>
      <c r="H109" s="309">
        <f>+C109+G109</f>
        <v>2023</v>
      </c>
      <c r="I109" s="308"/>
      <c r="J109" s="308"/>
      <c r="K109" s="310">
        <f>10677-7154</f>
        <v>3523</v>
      </c>
      <c r="L109" s="308"/>
      <c r="M109" s="310">
        <f>K109-K109*E109</f>
        <v>3523</v>
      </c>
      <c r="N109" s="310">
        <f>M109/G109/12</f>
        <v>73.395833333333329</v>
      </c>
      <c r="O109" s="310">
        <f>IF(L109&gt;0,0,IF((OR((AA109&gt;AB109),(AC109&lt;AD109))),0,IF((AND((AC109&gt;=AD109),(AC109&lt;=AB109))),N109*((AC109-AD109)*12),IF((AND((AD109&lt;=AA109),(AB109&gt;=AA109))),((AB109-AA109)*12)*N109,IF(AC109&gt;AB109,12*N109,0)))))</f>
        <v>880.75</v>
      </c>
      <c r="P109" s="310">
        <f>IF(L109=0,0,IF((AND((AE109&gt;=AD109),(AE109&lt;=AC109))),((AE109-AD109)*12)*N109,0))</f>
        <v>0</v>
      </c>
      <c r="Q109" s="310">
        <f>IF(P109&gt;0,P109,O109)</f>
        <v>880.75</v>
      </c>
      <c r="R109" s="308">
        <v>1</v>
      </c>
      <c r="S109" s="310">
        <f>R109*SUM(O109:P109)</f>
        <v>880.75</v>
      </c>
      <c r="T109" s="308"/>
      <c r="U109" s="310">
        <f>IF(AA109&gt;AB109,0,IF(AC109&lt;AD109,M109,IF((AND((AC109&gt;=AD109),(AC109&lt;=AB109))),(M109-Q109),IF((AND((AD109&lt;=AA109),(AB109&gt;=AA109))),0,IF(AC109&gt;AB109,((AD109-AA109)*12)*N109,0)))))</f>
        <v>0</v>
      </c>
      <c r="V109" s="310">
        <f>U109*R109</f>
        <v>0</v>
      </c>
      <c r="W109" s="308">
        <v>1</v>
      </c>
      <c r="X109" s="310">
        <f>V109*W109</f>
        <v>0</v>
      </c>
      <c r="Y109" s="310">
        <f>IF(L109&gt;0,0,X109+S109*W109)*W109</f>
        <v>880.75</v>
      </c>
      <c r="Z109" s="310">
        <f>IF(L109&gt;0,(K109-X109)/2,IF(AA109&gt;=AD109,(((K109*R109)*W109)-Y109)/2,((((K109*R109)*W109)-X109)+(((K109*R109)*W109)-Y109))/2))</f>
        <v>1321.125</v>
      </c>
      <c r="AA109" s="310">
        <f>$C109+(($D109-1)/12)</f>
        <v>2019</v>
      </c>
      <c r="AB109" s="310">
        <f>($M$5+1)-($M$2/12)</f>
        <v>2020</v>
      </c>
      <c r="AC109" s="310">
        <f>$H109+(($D109-1)/12)</f>
        <v>2023</v>
      </c>
      <c r="AD109" s="311">
        <f>$M$4+($M$3/12)</f>
        <v>2019</v>
      </c>
      <c r="AE109" s="311">
        <f>$I109+(($J109-1)/12)</f>
        <v>-8.3333333333333329E-2</v>
      </c>
      <c r="AF109" s="311">
        <f>$H109+(($D109-1)/12)</f>
        <v>2023</v>
      </c>
      <c r="AG109" s="311">
        <f>$M$4+($M$3/12)</f>
        <v>2019</v>
      </c>
      <c r="AH109" s="311">
        <f>$I109+(($J109-1)/12)</f>
        <v>-8.3333333333333329E-2</v>
      </c>
    </row>
    <row r="110" spans="1:34" ht="15.75">
      <c r="A110" s="314">
        <v>5</v>
      </c>
      <c r="B110" s="314" t="s">
        <v>505</v>
      </c>
      <c r="C110" s="304">
        <v>2004</v>
      </c>
      <c r="D110" s="305">
        <v>12</v>
      </c>
      <c r="E110" s="306">
        <v>0</v>
      </c>
      <c r="F110" s="307" t="s">
        <v>434</v>
      </c>
      <c r="G110" s="308">
        <v>7</v>
      </c>
      <c r="H110" s="309">
        <f>+C110+G110</f>
        <v>2011</v>
      </c>
      <c r="I110" s="308"/>
      <c r="J110" s="308"/>
      <c r="K110" s="310">
        <v>27027</v>
      </c>
      <c r="L110" s="308"/>
      <c r="M110" s="310">
        <f>K110-K110*E110</f>
        <v>27027</v>
      </c>
      <c r="N110" s="310">
        <f>M110/G110/12</f>
        <v>321.75</v>
      </c>
      <c r="O110" s="310">
        <f>IF(L110&gt;0,0,IF((OR((AA110&gt;AB110),(AC110&lt;AD110))),0,IF((AND((AC110&gt;=AD110),(AC110&lt;=AB110))),N110*((AC110-AD110)*12),IF((AND((AD110&lt;=AA110),(AB110&gt;=AA110))),((AB110-AA110)*12)*N110,IF(AC110&gt;AB110,12*N110,0)))))</f>
        <v>0</v>
      </c>
      <c r="P110" s="310">
        <f>IF(L110=0,0,IF((AND((AE110&gt;=AD110),(AE110&lt;=AC110))),((AE110-AD110)*12)*N110,0))</f>
        <v>0</v>
      </c>
      <c r="Q110" s="310">
        <f>IF(P110&gt;0,P110,O110)</f>
        <v>0</v>
      </c>
      <c r="R110" s="308">
        <v>1</v>
      </c>
      <c r="S110" s="310">
        <f>R110*SUM(O110:P110)</f>
        <v>0</v>
      </c>
      <c r="T110" s="308"/>
      <c r="U110" s="310">
        <f>IF(AA110&gt;AB110,0,IF(AC110&lt;AD110,M110,IF((AND((AC110&gt;=AD110),(AC110&lt;=AB110))),(M110-Q110),IF((AND((AD110&lt;=AA110),(AB110&gt;=AA110))),0,IF(AC110&gt;AB110,((AD110-AA110)*12)*N110,0)))))</f>
        <v>27027</v>
      </c>
      <c r="V110" s="310">
        <f>U110*R110</f>
        <v>27027</v>
      </c>
      <c r="W110" s="308">
        <v>1</v>
      </c>
      <c r="X110" s="310">
        <f>V110*W110</f>
        <v>27027</v>
      </c>
      <c r="Y110" s="310">
        <f>IF(L110&gt;0,0,X110+S110*W110)*W110</f>
        <v>27027</v>
      </c>
      <c r="Z110" s="310">
        <f>IF(L110&gt;0,(K110-X110)/2,IF(AA110&gt;=AD110,(((K110*R110)*W110)-Y110)/2,((((K110*R110)*W110)-X110)+(((K110*R110)*W110)-Y110))/2))</f>
        <v>0</v>
      </c>
      <c r="AA110" s="310">
        <f>$C110+(($D110-1)/12)</f>
        <v>2004.9166666666667</v>
      </c>
      <c r="AB110" s="310">
        <f>($M$5+1)-($M$2/12)</f>
        <v>2020</v>
      </c>
      <c r="AC110" s="310">
        <f>$H110+(($D110-1)/12)</f>
        <v>2011.9166666666667</v>
      </c>
      <c r="AD110" s="311">
        <f>$M$4+($M$3/12)</f>
        <v>2019</v>
      </c>
      <c r="AE110" s="311">
        <f>$I110+(($J110-1)/12)</f>
        <v>-8.3333333333333329E-2</v>
      </c>
      <c r="AF110" s="311">
        <f>$H110+(($D110-1)/12)</f>
        <v>2011.9166666666667</v>
      </c>
      <c r="AG110" s="311">
        <f>$M$4+($M$3/12)</f>
        <v>2019</v>
      </c>
      <c r="AH110" s="311">
        <f>$I110+(($J110-1)/12)</f>
        <v>-8.3333333333333329E-2</v>
      </c>
    </row>
    <row r="111" spans="1:34" ht="15.75">
      <c r="A111" s="314">
        <v>5</v>
      </c>
      <c r="B111" s="314" t="s">
        <v>509</v>
      </c>
      <c r="C111" s="304">
        <v>2019</v>
      </c>
      <c r="D111" s="305">
        <v>1</v>
      </c>
      <c r="E111" s="306">
        <v>0</v>
      </c>
      <c r="F111" s="307" t="s">
        <v>434</v>
      </c>
      <c r="G111" s="308">
        <v>4</v>
      </c>
      <c r="H111" s="309">
        <f>+C111+G111</f>
        <v>2023</v>
      </c>
      <c r="I111" s="308"/>
      <c r="J111" s="308"/>
      <c r="K111" s="310">
        <f>(135133*0.25)-27027</f>
        <v>6756.25</v>
      </c>
      <c r="L111" s="308"/>
      <c r="M111" s="310">
        <f>K111-K111*E111</f>
        <v>6756.25</v>
      </c>
      <c r="N111" s="310">
        <f>M111/G111/12</f>
        <v>140.75520833333334</v>
      </c>
      <c r="O111" s="310">
        <f>IF(L111&gt;0,0,IF((OR((AA111&gt;AB111),(AC111&lt;AD111))),0,IF((AND((AC111&gt;=AD111),(AC111&lt;=AB111))),N111*((AC111-AD111)*12),IF((AND((AD111&lt;=AA111),(AB111&gt;=AA111))),((AB111-AA111)*12)*N111,IF(AC111&gt;AB111,12*N111,0)))))</f>
        <v>1689.0625</v>
      </c>
      <c r="P111" s="310">
        <f>IF(L111=0,0,IF((AND((AE111&gt;=AD111),(AE111&lt;=AC111))),((AE111-AD111)*12)*N111,0))</f>
        <v>0</v>
      </c>
      <c r="Q111" s="310">
        <f>IF(P111&gt;0,P111,O111)</f>
        <v>1689.0625</v>
      </c>
      <c r="R111" s="308">
        <v>1</v>
      </c>
      <c r="S111" s="310">
        <f>R111*SUM(O111:P111)</f>
        <v>1689.0625</v>
      </c>
      <c r="T111" s="308"/>
      <c r="U111" s="310">
        <f>IF(AA111&gt;AB111,0,IF(AC111&lt;AD111,M111,IF((AND((AC111&gt;=AD111),(AC111&lt;=AB111))),(M111-Q111),IF((AND((AD111&lt;=AA111),(AB111&gt;=AA111))),0,IF(AC111&gt;AB111,((AD111-AA111)*12)*N111,0)))))</f>
        <v>0</v>
      </c>
      <c r="V111" s="310">
        <f>U111*R111</f>
        <v>0</v>
      </c>
      <c r="W111" s="308">
        <v>1</v>
      </c>
      <c r="X111" s="310">
        <f>V111*W111</f>
        <v>0</v>
      </c>
      <c r="Y111" s="310">
        <f>IF(L111&gt;0,0,X111+S111*W111)*W111</f>
        <v>1689.0625</v>
      </c>
      <c r="Z111" s="310">
        <f>IF(L111&gt;0,(K111-X111)/2,IF(AA111&gt;=AD111,(((K111*R111)*W111)-Y111)/2,((((K111*R111)*W111)-X111)+(((K111*R111)*W111)-Y111))/2))</f>
        <v>2533.59375</v>
      </c>
      <c r="AA111" s="310">
        <f>$C111+(($D111-1)/12)</f>
        <v>2019</v>
      </c>
      <c r="AB111" s="310">
        <f>($M$5+1)-($M$2/12)</f>
        <v>2020</v>
      </c>
      <c r="AC111" s="310">
        <f>$H111+(($D111-1)/12)</f>
        <v>2023</v>
      </c>
      <c r="AD111" s="311">
        <f>$M$4+($M$3/12)</f>
        <v>2019</v>
      </c>
      <c r="AE111" s="311">
        <f>$I111+(($J111-1)/12)</f>
        <v>-8.3333333333333329E-2</v>
      </c>
      <c r="AF111" s="311">
        <f>$H111+(($D111-1)/12)</f>
        <v>2023</v>
      </c>
      <c r="AG111" s="311">
        <f>$M$4+($M$3/12)</f>
        <v>2019</v>
      </c>
      <c r="AH111" s="311">
        <f>$I111+(($J111-1)/12)</f>
        <v>-8.3333333333333329E-2</v>
      </c>
    </row>
    <row r="112" spans="1:34" ht="15.75">
      <c r="A112" s="314">
        <v>65</v>
      </c>
      <c r="B112" s="314" t="s">
        <v>500</v>
      </c>
      <c r="C112" s="304">
        <v>2010</v>
      </c>
      <c r="D112" s="305">
        <v>9</v>
      </c>
      <c r="E112" s="306">
        <v>0</v>
      </c>
      <c r="F112" s="307" t="s">
        <v>434</v>
      </c>
      <c r="G112" s="308">
        <v>5</v>
      </c>
      <c r="H112" s="309">
        <f t="shared" ref="H112:H124" si="83">+C112+G112</f>
        <v>2015</v>
      </c>
      <c r="I112" s="308"/>
      <c r="J112" s="308"/>
      <c r="K112" s="310">
        <v>8705</v>
      </c>
      <c r="L112" s="308"/>
      <c r="M112" s="310">
        <f t="shared" ref="M112:M124" si="84">K112-K112*E112</f>
        <v>8705</v>
      </c>
      <c r="N112" s="310">
        <f t="shared" ref="N112:N124" si="85">M112/G112/12</f>
        <v>145.08333333333334</v>
      </c>
      <c r="O112" s="310">
        <f t="shared" ref="O112:O124" si="86">IF(L112&gt;0,0,IF((OR((AA112&gt;AB112),(AC112&lt;AD112))),0,IF((AND((AC112&gt;=AD112),(AC112&lt;=AB112))),N112*((AC112-AD112)*12),IF((AND((AD112&lt;=AA112),(AB112&gt;=AA112))),((AB112-AA112)*12)*N112,IF(AC112&gt;AB112,12*N112,0)))))</f>
        <v>0</v>
      </c>
      <c r="P112" s="310">
        <f t="shared" ref="P112:P124" si="87">IF(L112=0,0,IF((AND((AE112&gt;=AD112),(AE112&lt;=AC112))),((AE112-AD112)*12)*N112,0))</f>
        <v>0</v>
      </c>
      <c r="Q112" s="310">
        <f t="shared" ref="Q112:Q124" si="88">IF(P112&gt;0,P112,O112)</f>
        <v>0</v>
      </c>
      <c r="R112" s="308">
        <v>1</v>
      </c>
      <c r="S112" s="310">
        <f t="shared" ref="S112:S124" si="89">R112*SUM(O112:P112)</f>
        <v>0</v>
      </c>
      <c r="T112" s="308"/>
      <c r="U112" s="310">
        <f t="shared" ref="U112:U124" si="90">IF(AA112&gt;AB112,0,IF(AC112&lt;AD112,M112,IF((AND((AC112&gt;=AD112),(AC112&lt;=AB112))),(M112-Q112),IF((AND((AD112&lt;=AA112),(AB112&gt;=AA112))),0,IF(AC112&gt;AB112,((AD112-AA112)*12)*N112,0)))))</f>
        <v>8705</v>
      </c>
      <c r="V112" s="310">
        <f t="shared" ref="V112:V124" si="91">U112*R112</f>
        <v>8705</v>
      </c>
      <c r="W112" s="308">
        <v>1</v>
      </c>
      <c r="X112" s="310">
        <f t="shared" ref="X112:X124" si="92">V112*W112</f>
        <v>8705</v>
      </c>
      <c r="Y112" s="310">
        <f t="shared" ref="Y112:Y124" si="93">IF(L112&gt;0,0,X112+S112*W112)*W112</f>
        <v>8705</v>
      </c>
      <c r="Z112" s="310">
        <f t="shared" ref="Z112:Z121" si="94">IF(L112&gt;0,(K112-X112)/2,IF(AA112&gt;=AD112,(((K112*R112)*W112)-Y112)/2,((((K112*R112)*W112)-X112)+(((K112*R112)*W112)-Y112))/2))</f>
        <v>0</v>
      </c>
      <c r="AA112" s="310">
        <f t="shared" ref="AA112:AA124" si="95">$C112+(($D112-1)/12)</f>
        <v>2010.6666666666667</v>
      </c>
      <c r="AB112" s="310">
        <f t="shared" ref="AB112:AB124" si="96">($M$5+1)-($M$2/12)</f>
        <v>2020</v>
      </c>
      <c r="AC112" s="310">
        <f t="shared" ref="AC112:AC124" si="97">$H112+(($D112-1)/12)</f>
        <v>2015.6666666666667</v>
      </c>
      <c r="AD112" s="311">
        <f t="shared" ref="AD112:AD124" si="98">$M$4+($M$3/12)</f>
        <v>2019</v>
      </c>
      <c r="AE112" s="311">
        <f t="shared" ref="AE112:AE124" si="99">$I112+(($J112-1)/12)</f>
        <v>-8.3333333333333329E-2</v>
      </c>
      <c r="AF112" s="311">
        <f t="shared" ref="AF112:AF124" si="100">$H112+(($D112-1)/12)</f>
        <v>2015.6666666666667</v>
      </c>
      <c r="AG112" s="311">
        <f t="shared" ref="AG112:AG124" si="101">$M$4+($M$3/12)</f>
        <v>2019</v>
      </c>
      <c r="AH112" s="311">
        <f t="shared" ref="AH112:AH124" si="102">$I112+(($J112-1)/12)</f>
        <v>-8.3333333333333329E-2</v>
      </c>
    </row>
    <row r="113" spans="1:34" ht="15.75">
      <c r="A113" s="314">
        <v>65</v>
      </c>
      <c r="B113" s="314" t="s">
        <v>511</v>
      </c>
      <c r="C113" s="304">
        <v>2019</v>
      </c>
      <c r="D113" s="305">
        <v>1</v>
      </c>
      <c r="E113" s="306">
        <v>0</v>
      </c>
      <c r="F113" s="307" t="s">
        <v>434</v>
      </c>
      <c r="G113" s="308">
        <v>4</v>
      </c>
      <c r="H113" s="309">
        <f t="shared" si="83"/>
        <v>2023</v>
      </c>
      <c r="I113" s="308"/>
      <c r="J113" s="308"/>
      <c r="K113" s="310">
        <f>12992-8705</f>
        <v>4287</v>
      </c>
      <c r="L113" s="308"/>
      <c r="M113" s="310">
        <f t="shared" si="84"/>
        <v>4287</v>
      </c>
      <c r="N113" s="310">
        <f t="shared" si="85"/>
        <v>89.3125</v>
      </c>
      <c r="O113" s="310">
        <f t="shared" si="86"/>
        <v>1071.75</v>
      </c>
      <c r="P113" s="310">
        <f t="shared" si="87"/>
        <v>0</v>
      </c>
      <c r="Q113" s="310">
        <f t="shared" si="88"/>
        <v>1071.75</v>
      </c>
      <c r="R113" s="308">
        <v>1</v>
      </c>
      <c r="S113" s="310">
        <f t="shared" si="89"/>
        <v>1071.75</v>
      </c>
      <c r="T113" s="308"/>
      <c r="U113" s="310">
        <f t="shared" si="90"/>
        <v>0</v>
      </c>
      <c r="V113" s="310">
        <f t="shared" si="91"/>
        <v>0</v>
      </c>
      <c r="W113" s="308">
        <v>1</v>
      </c>
      <c r="X113" s="310">
        <f t="shared" si="92"/>
        <v>0</v>
      </c>
      <c r="Y113" s="310">
        <f t="shared" si="93"/>
        <v>1071.75</v>
      </c>
      <c r="Z113" s="310">
        <f t="shared" si="94"/>
        <v>1607.625</v>
      </c>
      <c r="AA113" s="310">
        <f t="shared" si="95"/>
        <v>2019</v>
      </c>
      <c r="AB113" s="310">
        <f t="shared" si="96"/>
        <v>2020</v>
      </c>
      <c r="AC113" s="310">
        <f t="shared" si="97"/>
        <v>2023</v>
      </c>
      <c r="AD113" s="311">
        <f t="shared" si="98"/>
        <v>2019</v>
      </c>
      <c r="AE113" s="311">
        <f t="shared" si="99"/>
        <v>-8.3333333333333329E-2</v>
      </c>
      <c r="AF113" s="311">
        <f t="shared" si="100"/>
        <v>2023</v>
      </c>
      <c r="AG113" s="311">
        <f t="shared" si="101"/>
        <v>2019</v>
      </c>
      <c r="AH113" s="311">
        <f t="shared" si="102"/>
        <v>-8.3333333333333329E-2</v>
      </c>
    </row>
    <row r="114" spans="1:34" ht="15.75">
      <c r="A114" s="314">
        <v>66</v>
      </c>
      <c r="B114" s="314" t="s">
        <v>501</v>
      </c>
      <c r="C114" s="304">
        <v>2009</v>
      </c>
      <c r="D114" s="305">
        <v>1</v>
      </c>
      <c r="E114" s="306">
        <v>0</v>
      </c>
      <c r="F114" s="307" t="s">
        <v>434</v>
      </c>
      <c r="G114" s="308">
        <v>5</v>
      </c>
      <c r="H114" s="309">
        <f t="shared" si="83"/>
        <v>2014</v>
      </c>
      <c r="I114" s="308"/>
      <c r="J114" s="308"/>
      <c r="K114" s="310">
        <v>1809</v>
      </c>
      <c r="L114" s="308"/>
      <c r="M114" s="310">
        <f t="shared" si="84"/>
        <v>1809</v>
      </c>
      <c r="N114" s="310">
        <f t="shared" si="85"/>
        <v>30.150000000000002</v>
      </c>
      <c r="O114" s="310">
        <f t="shared" si="86"/>
        <v>0</v>
      </c>
      <c r="P114" s="310">
        <f t="shared" si="87"/>
        <v>0</v>
      </c>
      <c r="Q114" s="310">
        <f t="shared" si="88"/>
        <v>0</v>
      </c>
      <c r="R114" s="308">
        <v>1</v>
      </c>
      <c r="S114" s="310">
        <f t="shared" si="89"/>
        <v>0</v>
      </c>
      <c r="T114" s="308"/>
      <c r="U114" s="310">
        <f t="shared" si="90"/>
        <v>1809</v>
      </c>
      <c r="V114" s="310">
        <f t="shared" si="91"/>
        <v>1809</v>
      </c>
      <c r="W114" s="308">
        <v>1</v>
      </c>
      <c r="X114" s="310">
        <f t="shared" si="92"/>
        <v>1809</v>
      </c>
      <c r="Y114" s="310">
        <f t="shared" si="93"/>
        <v>1809</v>
      </c>
      <c r="Z114" s="310">
        <f t="shared" si="94"/>
        <v>0</v>
      </c>
      <c r="AA114" s="310">
        <f t="shared" si="95"/>
        <v>2009</v>
      </c>
      <c r="AB114" s="310">
        <f t="shared" si="96"/>
        <v>2020</v>
      </c>
      <c r="AC114" s="310">
        <f t="shared" si="97"/>
        <v>2014</v>
      </c>
      <c r="AD114" s="311">
        <f t="shared" si="98"/>
        <v>2019</v>
      </c>
      <c r="AE114" s="311">
        <f t="shared" si="99"/>
        <v>-8.3333333333333329E-2</v>
      </c>
      <c r="AF114" s="311">
        <f t="shared" si="100"/>
        <v>2014</v>
      </c>
      <c r="AG114" s="311">
        <f t="shared" si="101"/>
        <v>2019</v>
      </c>
      <c r="AH114" s="311">
        <f t="shared" si="102"/>
        <v>-8.3333333333333329E-2</v>
      </c>
    </row>
    <row r="115" spans="1:34" ht="15.75">
      <c r="A115" s="314">
        <v>66</v>
      </c>
      <c r="B115" s="314" t="s">
        <v>510</v>
      </c>
      <c r="C115" s="304">
        <v>2019</v>
      </c>
      <c r="D115" s="305">
        <v>1</v>
      </c>
      <c r="E115" s="306">
        <v>0</v>
      </c>
      <c r="F115" s="307" t="s">
        <v>434</v>
      </c>
      <c r="G115" s="308">
        <v>4</v>
      </c>
      <c r="H115" s="309">
        <f t="shared" si="83"/>
        <v>2023</v>
      </c>
      <c r="I115" s="308"/>
      <c r="J115" s="308"/>
      <c r="K115" s="310">
        <f>2700-1809</f>
        <v>891</v>
      </c>
      <c r="L115" s="308"/>
      <c r="M115" s="310">
        <f t="shared" si="84"/>
        <v>891</v>
      </c>
      <c r="N115" s="310">
        <f t="shared" si="85"/>
        <v>18.5625</v>
      </c>
      <c r="O115" s="310">
        <f t="shared" si="86"/>
        <v>222.75</v>
      </c>
      <c r="P115" s="310">
        <f t="shared" si="87"/>
        <v>0</v>
      </c>
      <c r="Q115" s="310">
        <f t="shared" si="88"/>
        <v>222.75</v>
      </c>
      <c r="R115" s="308">
        <v>1</v>
      </c>
      <c r="S115" s="310">
        <f t="shared" si="89"/>
        <v>222.75</v>
      </c>
      <c r="T115" s="308"/>
      <c r="U115" s="310">
        <f t="shared" si="90"/>
        <v>0</v>
      </c>
      <c r="V115" s="310">
        <f t="shared" si="91"/>
        <v>0</v>
      </c>
      <c r="W115" s="308">
        <v>1</v>
      </c>
      <c r="X115" s="310">
        <f t="shared" si="92"/>
        <v>0</v>
      </c>
      <c r="Y115" s="310">
        <f t="shared" si="93"/>
        <v>222.75</v>
      </c>
      <c r="Z115" s="310">
        <f t="shared" si="94"/>
        <v>334.125</v>
      </c>
      <c r="AA115" s="310">
        <f t="shared" si="95"/>
        <v>2019</v>
      </c>
      <c r="AB115" s="310">
        <f t="shared" si="96"/>
        <v>2020</v>
      </c>
      <c r="AC115" s="310">
        <f t="shared" si="97"/>
        <v>2023</v>
      </c>
      <c r="AD115" s="311">
        <f t="shared" si="98"/>
        <v>2019</v>
      </c>
      <c r="AE115" s="311">
        <f t="shared" si="99"/>
        <v>-8.3333333333333329E-2</v>
      </c>
      <c r="AF115" s="311">
        <f t="shared" si="100"/>
        <v>2023</v>
      </c>
      <c r="AG115" s="311">
        <f t="shared" si="101"/>
        <v>2019</v>
      </c>
      <c r="AH115" s="311">
        <f t="shared" si="102"/>
        <v>-8.3333333333333329E-2</v>
      </c>
    </row>
    <row r="116" spans="1:34" ht="15.75">
      <c r="A116" s="314">
        <v>67</v>
      </c>
      <c r="B116" s="314" t="s">
        <v>501</v>
      </c>
      <c r="C116" s="304">
        <v>2012</v>
      </c>
      <c r="D116" s="305">
        <v>6</v>
      </c>
      <c r="E116" s="306">
        <v>0</v>
      </c>
      <c r="F116" s="307" t="s">
        <v>434</v>
      </c>
      <c r="G116" s="308">
        <v>5</v>
      </c>
      <c r="H116" s="309">
        <f t="shared" si="83"/>
        <v>2017</v>
      </c>
      <c r="I116" s="308"/>
      <c r="J116" s="308"/>
      <c r="K116" s="310">
        <v>606</v>
      </c>
      <c r="L116" s="308"/>
      <c r="M116" s="310">
        <f t="shared" si="84"/>
        <v>606</v>
      </c>
      <c r="N116" s="310">
        <f t="shared" si="85"/>
        <v>10.1</v>
      </c>
      <c r="O116" s="310">
        <f t="shared" si="86"/>
        <v>0</v>
      </c>
      <c r="P116" s="310">
        <f t="shared" si="87"/>
        <v>0</v>
      </c>
      <c r="Q116" s="310">
        <f t="shared" si="88"/>
        <v>0</v>
      </c>
      <c r="R116" s="308">
        <v>1</v>
      </c>
      <c r="S116" s="310">
        <f t="shared" si="89"/>
        <v>0</v>
      </c>
      <c r="T116" s="308"/>
      <c r="U116" s="310">
        <f t="shared" si="90"/>
        <v>606</v>
      </c>
      <c r="V116" s="310">
        <f t="shared" si="91"/>
        <v>606</v>
      </c>
      <c r="W116" s="308">
        <v>1</v>
      </c>
      <c r="X116" s="310">
        <f t="shared" si="92"/>
        <v>606</v>
      </c>
      <c r="Y116" s="310">
        <f t="shared" si="93"/>
        <v>606</v>
      </c>
      <c r="Z116" s="310">
        <f t="shared" si="94"/>
        <v>0</v>
      </c>
      <c r="AA116" s="310">
        <f t="shared" si="95"/>
        <v>2012.4166666666667</v>
      </c>
      <c r="AB116" s="310">
        <f t="shared" si="96"/>
        <v>2020</v>
      </c>
      <c r="AC116" s="310">
        <f t="shared" si="97"/>
        <v>2017.4166666666667</v>
      </c>
      <c r="AD116" s="311">
        <f t="shared" si="98"/>
        <v>2019</v>
      </c>
      <c r="AE116" s="311">
        <f t="shared" si="99"/>
        <v>-8.3333333333333329E-2</v>
      </c>
      <c r="AF116" s="311">
        <f t="shared" si="100"/>
        <v>2017.4166666666667</v>
      </c>
      <c r="AG116" s="311">
        <f t="shared" si="101"/>
        <v>2019</v>
      </c>
      <c r="AH116" s="311">
        <f t="shared" si="102"/>
        <v>-8.3333333333333329E-2</v>
      </c>
    </row>
    <row r="117" spans="1:34" ht="15.75">
      <c r="A117" s="314">
        <v>67</v>
      </c>
      <c r="B117" s="314" t="s">
        <v>510</v>
      </c>
      <c r="C117" s="304">
        <v>2019</v>
      </c>
      <c r="D117" s="305">
        <v>1</v>
      </c>
      <c r="E117" s="306">
        <v>0</v>
      </c>
      <c r="F117" s="307" t="s">
        <v>434</v>
      </c>
      <c r="G117" s="308">
        <v>4</v>
      </c>
      <c r="H117" s="309">
        <f t="shared" si="83"/>
        <v>2023</v>
      </c>
      <c r="I117" s="308"/>
      <c r="J117" s="308"/>
      <c r="K117" s="310">
        <f>900-603</f>
        <v>297</v>
      </c>
      <c r="L117" s="308"/>
      <c r="M117" s="310">
        <f t="shared" si="84"/>
        <v>297</v>
      </c>
      <c r="N117" s="310">
        <f t="shared" si="85"/>
        <v>6.1875</v>
      </c>
      <c r="O117" s="310">
        <f t="shared" si="86"/>
        <v>74.25</v>
      </c>
      <c r="P117" s="310">
        <f t="shared" si="87"/>
        <v>0</v>
      </c>
      <c r="Q117" s="310">
        <f t="shared" si="88"/>
        <v>74.25</v>
      </c>
      <c r="R117" s="308">
        <v>1</v>
      </c>
      <c r="S117" s="310">
        <f t="shared" si="89"/>
        <v>74.25</v>
      </c>
      <c r="T117" s="308"/>
      <c r="U117" s="310">
        <f t="shared" si="90"/>
        <v>0</v>
      </c>
      <c r="V117" s="310">
        <f t="shared" si="91"/>
        <v>0</v>
      </c>
      <c r="W117" s="308">
        <v>1</v>
      </c>
      <c r="X117" s="310">
        <f t="shared" si="92"/>
        <v>0</v>
      </c>
      <c r="Y117" s="310">
        <f t="shared" si="93"/>
        <v>74.25</v>
      </c>
      <c r="Z117" s="310">
        <f t="shared" si="94"/>
        <v>111.375</v>
      </c>
      <c r="AA117" s="310">
        <f t="shared" si="95"/>
        <v>2019</v>
      </c>
      <c r="AB117" s="310">
        <f t="shared" si="96"/>
        <v>2020</v>
      </c>
      <c r="AC117" s="310">
        <f t="shared" si="97"/>
        <v>2023</v>
      </c>
      <c r="AD117" s="311">
        <f t="shared" si="98"/>
        <v>2019</v>
      </c>
      <c r="AE117" s="311">
        <f t="shared" si="99"/>
        <v>-8.3333333333333329E-2</v>
      </c>
      <c r="AF117" s="311">
        <f t="shared" si="100"/>
        <v>2023</v>
      </c>
      <c r="AG117" s="311">
        <f t="shared" si="101"/>
        <v>2019</v>
      </c>
      <c r="AH117" s="311">
        <f t="shared" si="102"/>
        <v>-8.3333333333333329E-2</v>
      </c>
    </row>
    <row r="118" spans="1:34" ht="15.75">
      <c r="A118" s="314">
        <v>68</v>
      </c>
      <c r="B118" s="314" t="s">
        <v>502</v>
      </c>
      <c r="C118" s="304">
        <v>2012</v>
      </c>
      <c r="D118" s="305">
        <v>6</v>
      </c>
      <c r="E118" s="306">
        <v>0</v>
      </c>
      <c r="F118" s="307" t="s">
        <v>434</v>
      </c>
      <c r="G118" s="308">
        <v>5</v>
      </c>
      <c r="H118" s="309">
        <f t="shared" si="83"/>
        <v>2017</v>
      </c>
      <c r="I118" s="308"/>
      <c r="J118" s="308"/>
      <c r="K118" s="310">
        <v>3034</v>
      </c>
      <c r="L118" s="308"/>
      <c r="M118" s="310">
        <f t="shared" si="84"/>
        <v>3034</v>
      </c>
      <c r="N118" s="310">
        <f t="shared" si="85"/>
        <v>50.566666666666663</v>
      </c>
      <c r="O118" s="310">
        <f t="shared" si="86"/>
        <v>0</v>
      </c>
      <c r="P118" s="310">
        <f t="shared" si="87"/>
        <v>0</v>
      </c>
      <c r="Q118" s="310">
        <f t="shared" si="88"/>
        <v>0</v>
      </c>
      <c r="R118" s="308">
        <v>1</v>
      </c>
      <c r="S118" s="310">
        <f t="shared" si="89"/>
        <v>0</v>
      </c>
      <c r="T118" s="308"/>
      <c r="U118" s="310">
        <f t="shared" si="90"/>
        <v>3034</v>
      </c>
      <c r="V118" s="310">
        <f t="shared" si="91"/>
        <v>3034</v>
      </c>
      <c r="W118" s="308">
        <v>1</v>
      </c>
      <c r="X118" s="310">
        <f t="shared" si="92"/>
        <v>3034</v>
      </c>
      <c r="Y118" s="310">
        <f t="shared" si="93"/>
        <v>3034</v>
      </c>
      <c r="Z118" s="310">
        <f t="shared" si="94"/>
        <v>0</v>
      </c>
      <c r="AA118" s="310">
        <f t="shared" si="95"/>
        <v>2012.4166666666667</v>
      </c>
      <c r="AB118" s="310">
        <f t="shared" si="96"/>
        <v>2020</v>
      </c>
      <c r="AC118" s="310">
        <f t="shared" si="97"/>
        <v>2017.4166666666667</v>
      </c>
      <c r="AD118" s="311">
        <f t="shared" si="98"/>
        <v>2019</v>
      </c>
      <c r="AE118" s="311">
        <f t="shared" si="99"/>
        <v>-8.3333333333333329E-2</v>
      </c>
      <c r="AF118" s="311">
        <f t="shared" si="100"/>
        <v>2017.4166666666667</v>
      </c>
      <c r="AG118" s="311">
        <f t="shared" si="101"/>
        <v>2019</v>
      </c>
      <c r="AH118" s="311">
        <f t="shared" si="102"/>
        <v>-8.3333333333333329E-2</v>
      </c>
    </row>
    <row r="119" spans="1:34" ht="15.75">
      <c r="A119" s="314">
        <v>68</v>
      </c>
      <c r="B119" s="314" t="s">
        <v>512</v>
      </c>
      <c r="C119" s="304">
        <v>2019</v>
      </c>
      <c r="D119" s="305">
        <v>1</v>
      </c>
      <c r="E119" s="306">
        <v>0</v>
      </c>
      <c r="F119" s="307" t="s">
        <v>434</v>
      </c>
      <c r="G119" s="308">
        <v>4</v>
      </c>
      <c r="H119" s="309">
        <f t="shared" si="83"/>
        <v>2023</v>
      </c>
      <c r="I119" s="308"/>
      <c r="J119" s="308"/>
      <c r="K119" s="310">
        <f>4529-3034</f>
        <v>1495</v>
      </c>
      <c r="L119" s="308"/>
      <c r="M119" s="310">
        <f t="shared" si="84"/>
        <v>1495</v>
      </c>
      <c r="N119" s="310">
        <f t="shared" si="85"/>
        <v>31.145833333333332</v>
      </c>
      <c r="O119" s="310">
        <f t="shared" si="86"/>
        <v>373.75</v>
      </c>
      <c r="P119" s="310">
        <f t="shared" si="87"/>
        <v>0</v>
      </c>
      <c r="Q119" s="310">
        <f t="shared" si="88"/>
        <v>373.75</v>
      </c>
      <c r="R119" s="308">
        <v>1</v>
      </c>
      <c r="S119" s="310">
        <f t="shared" si="89"/>
        <v>373.75</v>
      </c>
      <c r="T119" s="308"/>
      <c r="U119" s="310">
        <f t="shared" si="90"/>
        <v>0</v>
      </c>
      <c r="V119" s="310">
        <f t="shared" si="91"/>
        <v>0</v>
      </c>
      <c r="W119" s="308">
        <v>1</v>
      </c>
      <c r="X119" s="310">
        <f t="shared" si="92"/>
        <v>0</v>
      </c>
      <c r="Y119" s="310">
        <f t="shared" si="93"/>
        <v>373.75</v>
      </c>
      <c r="Z119" s="310">
        <f t="shared" si="94"/>
        <v>560.625</v>
      </c>
      <c r="AA119" s="310">
        <f t="shared" si="95"/>
        <v>2019</v>
      </c>
      <c r="AB119" s="310">
        <f t="shared" si="96"/>
        <v>2020</v>
      </c>
      <c r="AC119" s="310">
        <f t="shared" si="97"/>
        <v>2023</v>
      </c>
      <c r="AD119" s="311">
        <f t="shared" si="98"/>
        <v>2019</v>
      </c>
      <c r="AE119" s="311">
        <f t="shared" si="99"/>
        <v>-8.3333333333333329E-2</v>
      </c>
      <c r="AF119" s="311">
        <f t="shared" si="100"/>
        <v>2023</v>
      </c>
      <c r="AG119" s="311">
        <f t="shared" si="101"/>
        <v>2019</v>
      </c>
      <c r="AH119" s="311">
        <f t="shared" si="102"/>
        <v>-8.3333333333333329E-2</v>
      </c>
    </row>
    <row r="120" spans="1:34" ht="15.75">
      <c r="A120" s="314">
        <v>71</v>
      </c>
      <c r="B120" s="314" t="s">
        <v>461</v>
      </c>
      <c r="C120" s="304">
        <v>2014</v>
      </c>
      <c r="D120" s="305">
        <v>10</v>
      </c>
      <c r="E120" s="306">
        <v>0</v>
      </c>
      <c r="F120" s="307" t="s">
        <v>434</v>
      </c>
      <c r="G120" s="308">
        <v>10</v>
      </c>
      <c r="H120" s="309">
        <f t="shared" si="83"/>
        <v>2024</v>
      </c>
      <c r="I120" s="308"/>
      <c r="J120" s="308"/>
      <c r="K120" s="310">
        <v>8365.86</v>
      </c>
      <c r="L120" s="308"/>
      <c r="M120" s="310">
        <f t="shared" si="84"/>
        <v>8365.86</v>
      </c>
      <c r="N120" s="310">
        <f t="shared" si="85"/>
        <v>69.715500000000006</v>
      </c>
      <c r="O120" s="310">
        <f t="shared" si="86"/>
        <v>836.58600000000001</v>
      </c>
      <c r="P120" s="310">
        <f t="shared" si="87"/>
        <v>0</v>
      </c>
      <c r="Q120" s="310">
        <f t="shared" si="88"/>
        <v>836.58600000000001</v>
      </c>
      <c r="R120" s="308">
        <v>1</v>
      </c>
      <c r="S120" s="310">
        <f t="shared" si="89"/>
        <v>836.58600000000001</v>
      </c>
      <c r="T120" s="308"/>
      <c r="U120" s="310">
        <f t="shared" si="90"/>
        <v>3555.4905000000003</v>
      </c>
      <c r="V120" s="310">
        <f t="shared" si="91"/>
        <v>3555.4905000000003</v>
      </c>
      <c r="W120" s="308">
        <v>1</v>
      </c>
      <c r="X120" s="310">
        <f t="shared" si="92"/>
        <v>3555.4905000000003</v>
      </c>
      <c r="Y120" s="310">
        <f t="shared" si="93"/>
        <v>4392.0765000000001</v>
      </c>
      <c r="Z120" s="310">
        <f t="shared" si="94"/>
        <v>4392.076500000001</v>
      </c>
      <c r="AA120" s="300">
        <f t="shared" si="95"/>
        <v>2014.75</v>
      </c>
      <c r="AB120" s="300">
        <f t="shared" si="96"/>
        <v>2020</v>
      </c>
      <c r="AC120" s="300">
        <f t="shared" si="97"/>
        <v>2024.75</v>
      </c>
      <c r="AD120" s="301">
        <f t="shared" si="98"/>
        <v>2019</v>
      </c>
      <c r="AE120" s="301">
        <f t="shared" si="99"/>
        <v>-8.3333333333333329E-2</v>
      </c>
      <c r="AF120" s="301">
        <f t="shared" si="100"/>
        <v>2024.75</v>
      </c>
      <c r="AG120" s="301">
        <f t="shared" si="101"/>
        <v>2019</v>
      </c>
      <c r="AH120" s="301">
        <f t="shared" si="102"/>
        <v>-8.3333333333333329E-2</v>
      </c>
    </row>
    <row r="121" spans="1:34" ht="15.75">
      <c r="A121" s="314">
        <v>74</v>
      </c>
      <c r="B121" s="314" t="s">
        <v>464</v>
      </c>
      <c r="C121" s="304">
        <v>2015</v>
      </c>
      <c r="D121" s="305">
        <v>12</v>
      </c>
      <c r="E121" s="306">
        <v>0</v>
      </c>
      <c r="F121" s="307" t="s">
        <v>434</v>
      </c>
      <c r="G121" s="308">
        <v>10</v>
      </c>
      <c r="H121" s="309">
        <f t="shared" si="83"/>
        <v>2025</v>
      </c>
      <c r="I121" s="308"/>
      <c r="J121" s="308"/>
      <c r="K121" s="310">
        <v>7343</v>
      </c>
      <c r="L121" s="308"/>
      <c r="M121" s="310">
        <f t="shared" si="84"/>
        <v>7343</v>
      </c>
      <c r="N121" s="310">
        <f t="shared" si="85"/>
        <v>61.191666666666663</v>
      </c>
      <c r="O121" s="310">
        <f t="shared" si="86"/>
        <v>734.3</v>
      </c>
      <c r="P121" s="310">
        <f t="shared" si="87"/>
        <v>0</v>
      </c>
      <c r="Q121" s="310">
        <f t="shared" si="88"/>
        <v>734.3</v>
      </c>
      <c r="R121" s="308">
        <v>1</v>
      </c>
      <c r="S121" s="310">
        <f t="shared" si="89"/>
        <v>734.3</v>
      </c>
      <c r="T121" s="308"/>
      <c r="U121" s="310">
        <f t="shared" si="90"/>
        <v>2264.0916666666108</v>
      </c>
      <c r="V121" s="310">
        <f t="shared" si="91"/>
        <v>2264.0916666666108</v>
      </c>
      <c r="W121" s="308">
        <v>1</v>
      </c>
      <c r="X121" s="310">
        <f t="shared" si="92"/>
        <v>2264.0916666666108</v>
      </c>
      <c r="Y121" s="310">
        <f t="shared" si="93"/>
        <v>2998.3916666666109</v>
      </c>
      <c r="Z121" s="310">
        <f t="shared" si="94"/>
        <v>4711.7583333333896</v>
      </c>
      <c r="AA121" s="300">
        <f t="shared" si="95"/>
        <v>2015.9166666666667</v>
      </c>
      <c r="AB121" s="300">
        <f t="shared" si="96"/>
        <v>2020</v>
      </c>
      <c r="AC121" s="300">
        <f t="shared" si="97"/>
        <v>2025.9166666666667</v>
      </c>
      <c r="AD121" s="301">
        <f t="shared" si="98"/>
        <v>2019</v>
      </c>
      <c r="AE121" s="301">
        <f t="shared" si="99"/>
        <v>-8.3333333333333329E-2</v>
      </c>
      <c r="AF121" s="301">
        <f t="shared" si="100"/>
        <v>2025.9166666666667</v>
      </c>
      <c r="AG121" s="301">
        <f t="shared" si="101"/>
        <v>2019</v>
      </c>
      <c r="AH121" s="301">
        <f t="shared" si="102"/>
        <v>-8.3333333333333329E-2</v>
      </c>
    </row>
    <row r="122" spans="1:34" ht="15.75">
      <c r="A122" s="314">
        <v>86</v>
      </c>
      <c r="B122" s="314" t="s">
        <v>472</v>
      </c>
      <c r="C122" s="304">
        <v>2019</v>
      </c>
      <c r="D122" s="305">
        <v>7</v>
      </c>
      <c r="E122" s="306">
        <v>0</v>
      </c>
      <c r="F122" s="307" t="s">
        <v>434</v>
      </c>
      <c r="G122" s="308">
        <v>10</v>
      </c>
      <c r="H122" s="309">
        <f t="shared" si="83"/>
        <v>2029</v>
      </c>
      <c r="I122" s="308"/>
      <c r="J122" s="308"/>
      <c r="K122" s="310">
        <v>2530</v>
      </c>
      <c r="L122" s="308"/>
      <c r="M122" s="310">
        <f t="shared" si="84"/>
        <v>2530</v>
      </c>
      <c r="N122" s="310">
        <f t="shared" si="85"/>
        <v>21.083333333333332</v>
      </c>
      <c r="O122" s="310">
        <f t="shared" si="86"/>
        <v>126.5</v>
      </c>
      <c r="P122" s="310">
        <f t="shared" si="87"/>
        <v>0</v>
      </c>
      <c r="Q122" s="310">
        <f t="shared" si="88"/>
        <v>126.5</v>
      </c>
      <c r="R122" s="308">
        <v>1</v>
      </c>
      <c r="S122" s="310">
        <f t="shared" si="89"/>
        <v>126.5</v>
      </c>
      <c r="T122" s="308"/>
      <c r="U122" s="310">
        <f t="shared" si="90"/>
        <v>0</v>
      </c>
      <c r="V122" s="310">
        <f t="shared" si="91"/>
        <v>0</v>
      </c>
      <c r="W122" s="308">
        <v>1</v>
      </c>
      <c r="X122" s="310">
        <f t="shared" si="92"/>
        <v>0</v>
      </c>
      <c r="Y122" s="310">
        <f t="shared" si="93"/>
        <v>126.5</v>
      </c>
      <c r="Z122" s="310">
        <f>+M122-Y122</f>
        <v>2403.5</v>
      </c>
      <c r="AA122" s="300">
        <f t="shared" si="95"/>
        <v>2019.5</v>
      </c>
      <c r="AB122" s="300">
        <f t="shared" si="96"/>
        <v>2020</v>
      </c>
      <c r="AC122" s="300">
        <f t="shared" si="97"/>
        <v>2029.5</v>
      </c>
      <c r="AD122" s="301">
        <f t="shared" si="98"/>
        <v>2019</v>
      </c>
      <c r="AE122" s="301">
        <f t="shared" si="99"/>
        <v>-8.3333333333333329E-2</v>
      </c>
      <c r="AF122" s="301">
        <f t="shared" si="100"/>
        <v>2029.5</v>
      </c>
      <c r="AG122" s="301">
        <f t="shared" si="101"/>
        <v>2019</v>
      </c>
      <c r="AH122" s="301">
        <f t="shared" si="102"/>
        <v>-8.3333333333333329E-2</v>
      </c>
    </row>
    <row r="123" spans="1:34" ht="15.75">
      <c r="A123" s="314">
        <v>88</v>
      </c>
      <c r="B123" s="314" t="s">
        <v>473</v>
      </c>
      <c r="C123" s="304">
        <v>2019</v>
      </c>
      <c r="D123" s="305">
        <v>10</v>
      </c>
      <c r="E123" s="306">
        <v>0</v>
      </c>
      <c r="F123" s="307" t="s">
        <v>434</v>
      </c>
      <c r="G123" s="308">
        <v>10</v>
      </c>
      <c r="H123" s="309">
        <f t="shared" si="83"/>
        <v>2029</v>
      </c>
      <c r="I123" s="308"/>
      <c r="J123" s="308"/>
      <c r="K123" s="310">
        <v>8256</v>
      </c>
      <c r="L123" s="308"/>
      <c r="M123" s="310">
        <f t="shared" si="84"/>
        <v>8256</v>
      </c>
      <c r="N123" s="310">
        <f t="shared" si="85"/>
        <v>68.8</v>
      </c>
      <c r="O123" s="310">
        <f t="shared" si="86"/>
        <v>206.39999999999998</v>
      </c>
      <c r="P123" s="310">
        <f t="shared" si="87"/>
        <v>0</v>
      </c>
      <c r="Q123" s="310">
        <f t="shared" si="88"/>
        <v>206.39999999999998</v>
      </c>
      <c r="R123" s="308">
        <v>1</v>
      </c>
      <c r="S123" s="310">
        <f t="shared" si="89"/>
        <v>206.39999999999998</v>
      </c>
      <c r="T123" s="308"/>
      <c r="U123" s="310">
        <f t="shared" si="90"/>
        <v>0</v>
      </c>
      <c r="V123" s="310">
        <f t="shared" si="91"/>
        <v>0</v>
      </c>
      <c r="W123" s="308">
        <v>1</v>
      </c>
      <c r="X123" s="310">
        <f t="shared" si="92"/>
        <v>0</v>
      </c>
      <c r="Y123" s="310">
        <f t="shared" si="93"/>
        <v>206.39999999999998</v>
      </c>
      <c r="Z123" s="310">
        <f>+M123-Y123</f>
        <v>8049.6</v>
      </c>
      <c r="AA123" s="300">
        <f t="shared" si="95"/>
        <v>2019.75</v>
      </c>
      <c r="AB123" s="300">
        <f t="shared" si="96"/>
        <v>2020</v>
      </c>
      <c r="AC123" s="300">
        <f t="shared" si="97"/>
        <v>2029.75</v>
      </c>
      <c r="AD123" s="301">
        <f t="shared" si="98"/>
        <v>2019</v>
      </c>
      <c r="AE123" s="301">
        <f t="shared" si="99"/>
        <v>-8.3333333333333329E-2</v>
      </c>
      <c r="AF123" s="301">
        <f t="shared" si="100"/>
        <v>2029.75</v>
      </c>
      <c r="AG123" s="301">
        <f t="shared" si="101"/>
        <v>2019</v>
      </c>
      <c r="AH123" s="301">
        <f t="shared" si="102"/>
        <v>-8.3333333333333329E-2</v>
      </c>
    </row>
    <row r="124" spans="1:34" ht="15.75">
      <c r="A124" s="314"/>
      <c r="B124" s="314" t="s">
        <v>503</v>
      </c>
      <c r="C124" s="304">
        <v>2012</v>
      </c>
      <c r="D124" s="305">
        <v>6</v>
      </c>
      <c r="E124" s="306">
        <v>0</v>
      </c>
      <c r="F124" s="307" t="s">
        <v>434</v>
      </c>
      <c r="G124" s="308">
        <v>10</v>
      </c>
      <c r="H124" s="309">
        <f t="shared" si="83"/>
        <v>2022</v>
      </c>
      <c r="I124" s="308"/>
      <c r="J124" s="308"/>
      <c r="K124" s="313">
        <v>1575</v>
      </c>
      <c r="L124" s="312"/>
      <c r="M124" s="313">
        <f t="shared" si="84"/>
        <v>1575</v>
      </c>
      <c r="N124" s="313">
        <f t="shared" si="85"/>
        <v>13.125</v>
      </c>
      <c r="O124" s="313">
        <f t="shared" si="86"/>
        <v>157.5</v>
      </c>
      <c r="P124" s="313">
        <f t="shared" si="87"/>
        <v>0</v>
      </c>
      <c r="Q124" s="313">
        <f t="shared" si="88"/>
        <v>157.5</v>
      </c>
      <c r="R124" s="312">
        <v>1</v>
      </c>
      <c r="S124" s="313">
        <f t="shared" si="89"/>
        <v>157.5</v>
      </c>
      <c r="T124" s="312"/>
      <c r="U124" s="313">
        <f t="shared" si="90"/>
        <v>1036.8749999999882</v>
      </c>
      <c r="V124" s="313">
        <f t="shared" si="91"/>
        <v>1036.8749999999882</v>
      </c>
      <c r="W124" s="312">
        <v>1</v>
      </c>
      <c r="X124" s="313">
        <f t="shared" si="92"/>
        <v>1036.8749999999882</v>
      </c>
      <c r="Y124" s="313">
        <f t="shared" si="93"/>
        <v>1194.3749999999882</v>
      </c>
      <c r="Z124" s="313">
        <f>IF(L124&gt;0,(K124-X124)/2,IF(AA124&gt;=AD124,(((K124*R124)*W124)-Y124)/2,((((K124*R124)*W124)-X124)+(((K124*R124)*W124)-Y124))/2))</f>
        <v>459.37500000001182</v>
      </c>
      <c r="AA124" s="310">
        <f t="shared" si="95"/>
        <v>2012.4166666666667</v>
      </c>
      <c r="AB124" s="310">
        <f t="shared" si="96"/>
        <v>2020</v>
      </c>
      <c r="AC124" s="310">
        <f t="shared" si="97"/>
        <v>2022.4166666666667</v>
      </c>
      <c r="AD124" s="311">
        <f t="shared" si="98"/>
        <v>2019</v>
      </c>
      <c r="AE124" s="311">
        <f t="shared" si="99"/>
        <v>-8.3333333333333329E-2</v>
      </c>
      <c r="AF124" s="311">
        <f t="shared" si="100"/>
        <v>2022.4166666666667</v>
      </c>
      <c r="AG124" s="311">
        <f t="shared" si="101"/>
        <v>2019</v>
      </c>
      <c r="AH124" s="311">
        <f t="shared" si="102"/>
        <v>-8.3333333333333329E-2</v>
      </c>
    </row>
    <row r="125" spans="1:34" ht="15.75">
      <c r="A125" s="314"/>
      <c r="B125" s="314"/>
      <c r="C125" s="314"/>
      <c r="D125" s="314"/>
      <c r="E125" s="314"/>
      <c r="F125" s="314"/>
      <c r="G125" s="314"/>
      <c r="H125" s="314"/>
      <c r="I125" s="314"/>
      <c r="J125" s="314"/>
      <c r="K125" s="310">
        <f>SUM(K108:K124)</f>
        <v>93654.11</v>
      </c>
      <c r="L125" s="314"/>
      <c r="M125" s="310">
        <f t="shared" ref="M125:Z125" si="103">SUM(M108:M124)</f>
        <v>93654.11</v>
      </c>
      <c r="N125" s="310">
        <f t="shared" si="103"/>
        <v>1270.1582083333331</v>
      </c>
      <c r="O125" s="310">
        <f t="shared" si="103"/>
        <v>6373.5985000000001</v>
      </c>
      <c r="P125" s="310">
        <f t="shared" si="103"/>
        <v>0</v>
      </c>
      <c r="Q125" s="310">
        <f t="shared" si="103"/>
        <v>6373.5985000000001</v>
      </c>
      <c r="R125" s="310">
        <f t="shared" si="103"/>
        <v>17</v>
      </c>
      <c r="S125" s="310">
        <f t="shared" si="103"/>
        <v>6373.5985000000001</v>
      </c>
      <c r="T125" s="310">
        <f t="shared" si="103"/>
        <v>0</v>
      </c>
      <c r="U125" s="310">
        <f t="shared" si="103"/>
        <v>55191.457166666594</v>
      </c>
      <c r="V125" s="310">
        <f t="shared" si="103"/>
        <v>55191.457166666594</v>
      </c>
      <c r="W125" s="310">
        <f t="shared" si="103"/>
        <v>17</v>
      </c>
      <c r="X125" s="310">
        <f t="shared" si="103"/>
        <v>55191.457166666594</v>
      </c>
      <c r="Y125" s="310">
        <f t="shared" si="103"/>
        <v>61565.055666666602</v>
      </c>
      <c r="Z125" s="310">
        <f t="shared" si="103"/>
        <v>26484.778583333402</v>
      </c>
      <c r="AA125" s="302"/>
      <c r="AB125" s="302"/>
      <c r="AC125" s="302"/>
      <c r="AD125" s="302"/>
      <c r="AE125" s="302"/>
      <c r="AF125" s="302"/>
      <c r="AG125" s="302"/>
      <c r="AH125" s="302"/>
    </row>
    <row r="126" spans="1:34" ht="15.75">
      <c r="A126" s="314"/>
      <c r="B126" s="314"/>
      <c r="C126" s="314"/>
      <c r="D126" s="314"/>
      <c r="E126" s="314"/>
      <c r="F126" s="314"/>
      <c r="G126" s="314"/>
      <c r="H126" s="314"/>
      <c r="I126" s="314"/>
      <c r="J126" s="314"/>
      <c r="K126" s="314"/>
      <c r="L126" s="314"/>
      <c r="M126" s="314"/>
      <c r="N126" s="314"/>
      <c r="O126" s="314"/>
      <c r="P126" s="314"/>
      <c r="Q126" s="314"/>
      <c r="R126" s="314"/>
      <c r="S126" s="314"/>
      <c r="T126" s="314"/>
      <c r="U126" s="314"/>
      <c r="V126" s="314"/>
      <c r="W126" s="314"/>
      <c r="X126" s="314"/>
      <c r="Y126" s="314"/>
      <c r="Z126" s="314"/>
      <c r="AA126" s="302"/>
      <c r="AB126" s="302"/>
      <c r="AC126" s="302"/>
      <c r="AD126" s="302"/>
      <c r="AE126" s="302"/>
      <c r="AF126" s="302"/>
      <c r="AG126" s="302"/>
      <c r="AH126" s="302"/>
    </row>
    <row r="127" spans="1:34" ht="15.75">
      <c r="A127" s="314"/>
      <c r="B127" s="314" t="s">
        <v>515</v>
      </c>
      <c r="C127" s="314"/>
      <c r="D127" s="314"/>
      <c r="E127" s="314"/>
      <c r="F127" s="314"/>
      <c r="G127" s="314"/>
      <c r="H127" s="314"/>
      <c r="I127" s="314"/>
      <c r="J127" s="314"/>
      <c r="K127" s="310">
        <f>+K105+K125</f>
        <v>1611614.22</v>
      </c>
      <c r="L127" s="314"/>
      <c r="M127" s="310">
        <f t="shared" ref="M127:Z127" si="104">+M105+M125</f>
        <v>1611614.22</v>
      </c>
      <c r="N127" s="310">
        <f t="shared" si="104"/>
        <v>20400.702976190474</v>
      </c>
      <c r="O127" s="310">
        <f t="shared" si="104"/>
        <v>176567.32078571434</v>
      </c>
      <c r="P127" s="310">
        <f t="shared" si="104"/>
        <v>0</v>
      </c>
      <c r="Q127" s="310">
        <f t="shared" si="104"/>
        <v>176567.32078571434</v>
      </c>
      <c r="R127" s="310">
        <f t="shared" si="104"/>
        <v>102</v>
      </c>
      <c r="S127" s="310">
        <f t="shared" si="104"/>
        <v>176567.32078571434</v>
      </c>
      <c r="T127" s="310">
        <f t="shared" si="104"/>
        <v>0</v>
      </c>
      <c r="U127" s="310">
        <f t="shared" si="104"/>
        <v>753260.88126190798</v>
      </c>
      <c r="V127" s="310">
        <f t="shared" si="104"/>
        <v>753260.88126190798</v>
      </c>
      <c r="W127" s="310">
        <f t="shared" si="104"/>
        <v>102</v>
      </c>
      <c r="X127" s="310">
        <f t="shared" si="104"/>
        <v>753260.88126190798</v>
      </c>
      <c r="Y127" s="310">
        <f t="shared" si="104"/>
        <v>929828.2020476223</v>
      </c>
      <c r="Z127" s="310">
        <f t="shared" si="104"/>
        <v>685850.32370237762</v>
      </c>
      <c r="AA127" s="302"/>
      <c r="AB127" s="302"/>
      <c r="AC127" s="302"/>
      <c r="AD127" s="302"/>
      <c r="AE127" s="302"/>
      <c r="AF127" s="302"/>
      <c r="AG127" s="302"/>
      <c r="AH127" s="302"/>
    </row>
    <row r="128" spans="1:34" ht="15.75">
      <c r="A128" s="314"/>
      <c r="B128" s="314"/>
      <c r="C128" s="314"/>
      <c r="D128" s="314"/>
      <c r="E128" s="314"/>
      <c r="F128" s="314"/>
      <c r="G128" s="314"/>
      <c r="H128" s="314"/>
      <c r="I128" s="314"/>
      <c r="J128" s="314"/>
      <c r="K128" s="314"/>
      <c r="L128" s="314"/>
      <c r="M128" s="314"/>
      <c r="N128" s="314"/>
      <c r="O128" s="314"/>
      <c r="P128" s="314"/>
      <c r="Q128" s="314"/>
      <c r="R128" s="314"/>
      <c r="S128" s="314"/>
      <c r="T128" s="314"/>
      <c r="U128" s="314"/>
      <c r="V128" s="314"/>
      <c r="W128" s="314"/>
      <c r="X128" s="314"/>
      <c r="Y128" s="314"/>
      <c r="Z128" s="314"/>
      <c r="AA128" s="302"/>
      <c r="AB128" s="302"/>
      <c r="AC128" s="302"/>
      <c r="AD128" s="302"/>
      <c r="AE128" s="302"/>
      <c r="AF128" s="302"/>
      <c r="AG128" s="302"/>
      <c r="AH128" s="302"/>
    </row>
    <row r="129" spans="1:34" ht="15.75">
      <c r="A129" s="314"/>
      <c r="B129" s="314"/>
      <c r="C129" s="314"/>
      <c r="D129" s="314"/>
      <c r="E129" s="314"/>
      <c r="F129" s="314"/>
      <c r="G129" s="314"/>
      <c r="H129" s="314"/>
      <c r="I129" s="314"/>
      <c r="J129" s="314"/>
      <c r="K129" s="314"/>
      <c r="L129" s="314"/>
      <c r="M129" s="314"/>
      <c r="N129" s="314"/>
      <c r="O129" s="314"/>
      <c r="P129" s="314"/>
      <c r="Q129" s="314"/>
      <c r="R129" s="314"/>
      <c r="S129" s="314"/>
      <c r="T129" s="314"/>
      <c r="U129" s="314"/>
      <c r="V129" s="314"/>
      <c r="W129" s="314"/>
      <c r="X129" s="314"/>
      <c r="Y129" s="314"/>
      <c r="Z129" s="314"/>
      <c r="AA129" s="302"/>
      <c r="AB129" s="302"/>
      <c r="AC129" s="302"/>
      <c r="AD129" s="302"/>
      <c r="AE129" s="302"/>
      <c r="AF129" s="302"/>
      <c r="AG129" s="302"/>
      <c r="AH129" s="302"/>
    </row>
    <row r="130" spans="1:34" ht="15.75">
      <c r="A130" s="302"/>
      <c r="B130" s="302"/>
      <c r="C130" s="302"/>
      <c r="D130" s="302"/>
      <c r="E130" s="302"/>
      <c r="F130" s="302"/>
      <c r="G130" s="302"/>
      <c r="H130" s="302"/>
      <c r="I130" s="302"/>
      <c r="J130" s="302"/>
      <c r="K130" s="302"/>
      <c r="L130" s="302"/>
      <c r="M130" s="302"/>
      <c r="N130" s="302"/>
      <c r="O130" s="302"/>
      <c r="P130" s="302"/>
      <c r="Q130" s="302"/>
      <c r="R130" s="302"/>
      <c r="S130" s="302"/>
      <c r="T130" s="302"/>
      <c r="U130" s="302"/>
      <c r="V130" s="302"/>
      <c r="W130" s="302"/>
      <c r="X130" s="302"/>
      <c r="Y130" s="302"/>
      <c r="Z130" s="302"/>
      <c r="AA130" s="302"/>
      <c r="AB130" s="302"/>
      <c r="AC130" s="302"/>
      <c r="AD130" s="302"/>
      <c r="AE130" s="302"/>
      <c r="AF130" s="302"/>
      <c r="AG130" s="302"/>
      <c r="AH130" s="302"/>
    </row>
    <row r="131" spans="1:34" ht="15.75">
      <c r="A131" s="302"/>
      <c r="B131" s="302"/>
      <c r="C131" s="302"/>
      <c r="D131" s="302"/>
      <c r="E131" s="302"/>
      <c r="F131" s="302"/>
      <c r="G131" s="302"/>
      <c r="H131" s="302"/>
      <c r="I131" s="302"/>
      <c r="J131" s="302"/>
      <c r="K131" s="302"/>
      <c r="L131" s="302"/>
      <c r="M131" s="302"/>
      <c r="N131" s="302"/>
      <c r="O131" s="302"/>
      <c r="P131" s="302"/>
      <c r="Q131" s="302"/>
      <c r="R131" s="302"/>
      <c r="S131" s="302"/>
      <c r="T131" s="302"/>
      <c r="U131" s="302"/>
      <c r="V131" s="302"/>
      <c r="W131" s="302"/>
      <c r="X131" s="302"/>
      <c r="Y131" s="302"/>
      <c r="Z131" s="302"/>
      <c r="AA131" s="302"/>
      <c r="AB131" s="302"/>
      <c r="AC131" s="302"/>
      <c r="AD131" s="302"/>
      <c r="AE131" s="302"/>
      <c r="AF131" s="302"/>
      <c r="AG131" s="302"/>
      <c r="AH131" s="302"/>
    </row>
    <row r="132" spans="1:34" ht="15.75">
      <c r="A132" s="302"/>
      <c r="B132" s="302"/>
      <c r="C132" s="302"/>
      <c r="D132" s="302"/>
      <c r="E132" s="302"/>
      <c r="F132" s="302"/>
      <c r="G132" s="302"/>
      <c r="H132" s="302"/>
      <c r="I132" s="302"/>
      <c r="J132" s="302"/>
      <c r="K132" s="302"/>
      <c r="L132" s="302"/>
      <c r="M132" s="302"/>
      <c r="N132" s="302"/>
      <c r="O132" s="302"/>
      <c r="P132" s="302"/>
      <c r="Q132" s="302"/>
      <c r="R132" s="302"/>
      <c r="S132" s="302"/>
      <c r="T132" s="302"/>
      <c r="U132" s="302"/>
      <c r="V132" s="302"/>
      <c r="W132" s="302"/>
      <c r="X132" s="302"/>
      <c r="Y132" s="302"/>
      <c r="Z132" s="302"/>
      <c r="AA132" s="302"/>
      <c r="AB132" s="302"/>
      <c r="AC132" s="302"/>
      <c r="AD132" s="302"/>
      <c r="AE132" s="302"/>
      <c r="AF132" s="302"/>
      <c r="AG132" s="302"/>
      <c r="AH132" s="302"/>
    </row>
    <row r="133" spans="1:34" ht="15.75">
      <c r="A133" s="302"/>
      <c r="B133" s="302"/>
      <c r="C133" s="302"/>
      <c r="D133" s="302"/>
      <c r="E133" s="302"/>
      <c r="F133" s="302"/>
      <c r="G133" s="302"/>
      <c r="H133" s="302"/>
      <c r="I133" s="302"/>
      <c r="J133" s="302"/>
      <c r="K133" s="302"/>
      <c r="L133" s="302"/>
      <c r="M133" s="302"/>
      <c r="N133" s="302"/>
      <c r="O133" s="302"/>
      <c r="P133" s="302"/>
      <c r="Q133" s="302"/>
      <c r="R133" s="302"/>
      <c r="S133" s="302"/>
      <c r="T133" s="302"/>
      <c r="U133" s="302"/>
      <c r="V133" s="302"/>
      <c r="W133" s="302"/>
      <c r="X133" s="302"/>
      <c r="Y133" s="302"/>
      <c r="Z133" s="302"/>
      <c r="AA133" s="302"/>
      <c r="AB133" s="302"/>
      <c r="AC133" s="302"/>
      <c r="AD133" s="302"/>
      <c r="AE133" s="302"/>
      <c r="AF133" s="302"/>
      <c r="AG133" s="302"/>
      <c r="AH133" s="302"/>
    </row>
    <row r="134" spans="1:34" ht="15.75">
      <c r="A134" s="302"/>
      <c r="B134" s="302"/>
      <c r="C134" s="302"/>
      <c r="D134" s="302"/>
      <c r="E134" s="302"/>
      <c r="F134" s="302"/>
      <c r="G134" s="302"/>
      <c r="H134" s="302"/>
      <c r="I134" s="302"/>
      <c r="J134" s="302"/>
      <c r="K134" s="302"/>
      <c r="L134" s="302"/>
      <c r="M134" s="302"/>
      <c r="N134" s="302"/>
      <c r="O134" s="302"/>
      <c r="P134" s="302"/>
      <c r="Q134" s="302"/>
      <c r="R134" s="302"/>
      <c r="S134" s="302"/>
      <c r="T134" s="302"/>
      <c r="U134" s="302"/>
      <c r="V134" s="302"/>
      <c r="W134" s="302"/>
      <c r="X134" s="302"/>
      <c r="Y134" s="302"/>
      <c r="Z134" s="302"/>
      <c r="AA134" s="302"/>
      <c r="AB134" s="302"/>
      <c r="AC134" s="302"/>
      <c r="AD134" s="302"/>
      <c r="AE134" s="302"/>
      <c r="AF134" s="302"/>
      <c r="AG134" s="302"/>
      <c r="AH134" s="302"/>
    </row>
    <row r="135" spans="1:34" ht="15.75">
      <c r="A135" s="302"/>
      <c r="B135" s="302"/>
      <c r="C135" s="302"/>
      <c r="D135" s="302"/>
      <c r="E135" s="302"/>
      <c r="F135" s="302"/>
      <c r="G135" s="302"/>
      <c r="H135" s="302"/>
      <c r="I135" s="302"/>
      <c r="J135" s="302"/>
      <c r="K135" s="302"/>
      <c r="L135" s="302"/>
      <c r="M135" s="302"/>
      <c r="N135" s="302"/>
      <c r="O135" s="302"/>
      <c r="P135" s="302"/>
      <c r="Q135" s="302"/>
      <c r="R135" s="302"/>
      <c r="S135" s="302"/>
      <c r="T135" s="302"/>
      <c r="U135" s="302"/>
      <c r="V135" s="302"/>
      <c r="W135" s="302"/>
      <c r="X135" s="302"/>
      <c r="Y135" s="302"/>
      <c r="Z135" s="302"/>
      <c r="AA135" s="302"/>
      <c r="AB135" s="302"/>
      <c r="AC135" s="302"/>
      <c r="AD135" s="302"/>
      <c r="AE135" s="302"/>
      <c r="AF135" s="302"/>
      <c r="AG135" s="302"/>
      <c r="AH135" s="302"/>
    </row>
    <row r="136" spans="1:34" ht="15.75">
      <c r="A136" s="302"/>
      <c r="B136" s="302"/>
      <c r="C136" s="302"/>
      <c r="D136" s="302"/>
      <c r="E136" s="302"/>
      <c r="F136" s="302"/>
      <c r="G136" s="302"/>
      <c r="H136" s="302"/>
      <c r="I136" s="302"/>
      <c r="J136" s="302"/>
      <c r="K136" s="302"/>
      <c r="L136" s="302"/>
      <c r="M136" s="302"/>
      <c r="N136" s="302"/>
      <c r="O136" s="302"/>
      <c r="P136" s="302"/>
      <c r="Q136" s="302"/>
      <c r="R136" s="302"/>
      <c r="S136" s="302"/>
      <c r="T136" s="302"/>
      <c r="U136" s="302"/>
      <c r="V136" s="302"/>
      <c r="W136" s="302"/>
      <c r="X136" s="302"/>
      <c r="Y136" s="302"/>
      <c r="Z136" s="302"/>
      <c r="AA136" s="302"/>
      <c r="AB136" s="302"/>
      <c r="AC136" s="302"/>
      <c r="AD136" s="302"/>
      <c r="AE136" s="302"/>
      <c r="AF136" s="302"/>
      <c r="AG136" s="302"/>
      <c r="AH136" s="302"/>
    </row>
    <row r="137" spans="1:34" ht="15.75">
      <c r="A137" s="302"/>
      <c r="B137" s="302"/>
      <c r="C137" s="302"/>
      <c r="D137" s="302"/>
      <c r="E137" s="302"/>
      <c r="F137" s="302"/>
      <c r="G137" s="302"/>
      <c r="H137" s="302"/>
      <c r="I137" s="302"/>
      <c r="J137" s="302"/>
      <c r="K137" s="302"/>
      <c r="L137" s="302"/>
      <c r="M137" s="302"/>
      <c r="N137" s="302"/>
      <c r="O137" s="302"/>
      <c r="P137" s="302"/>
      <c r="Q137" s="302"/>
      <c r="R137" s="302"/>
      <c r="S137" s="302"/>
      <c r="T137" s="302"/>
      <c r="U137" s="302"/>
      <c r="V137" s="302"/>
      <c r="W137" s="302"/>
      <c r="X137" s="302"/>
      <c r="Y137" s="302"/>
      <c r="Z137" s="302"/>
      <c r="AA137" s="302"/>
      <c r="AB137" s="302"/>
      <c r="AC137" s="302"/>
      <c r="AD137" s="302"/>
      <c r="AE137" s="302"/>
      <c r="AF137" s="302"/>
      <c r="AG137" s="302"/>
      <c r="AH137" s="302"/>
    </row>
    <row r="138" spans="1:34" ht="15.75">
      <c r="A138" s="302"/>
      <c r="B138" s="302"/>
      <c r="C138" s="302"/>
      <c r="D138" s="302"/>
      <c r="E138" s="302"/>
      <c r="F138" s="302"/>
      <c r="G138" s="302"/>
      <c r="H138" s="302"/>
      <c r="I138" s="302"/>
      <c r="J138" s="302"/>
      <c r="K138" s="302"/>
      <c r="L138" s="302"/>
      <c r="M138" s="302"/>
      <c r="N138" s="302"/>
      <c r="O138" s="302"/>
      <c r="P138" s="302"/>
      <c r="Q138" s="302"/>
      <c r="R138" s="302"/>
      <c r="S138" s="302"/>
      <c r="T138" s="302"/>
      <c r="U138" s="302"/>
      <c r="V138" s="302"/>
      <c r="W138" s="302"/>
      <c r="X138" s="302"/>
      <c r="Y138" s="302"/>
      <c r="Z138" s="302"/>
      <c r="AA138" s="302"/>
      <c r="AB138" s="302"/>
      <c r="AC138" s="302"/>
      <c r="AD138" s="302"/>
      <c r="AE138" s="302"/>
      <c r="AF138" s="302"/>
      <c r="AG138" s="302"/>
      <c r="AH138" s="302"/>
    </row>
    <row r="139" spans="1:34" ht="15.75">
      <c r="A139" s="302"/>
      <c r="B139" s="302"/>
      <c r="C139" s="302"/>
      <c r="D139" s="302"/>
      <c r="E139" s="302"/>
      <c r="F139" s="302"/>
      <c r="G139" s="302"/>
      <c r="H139" s="302"/>
      <c r="I139" s="302"/>
      <c r="J139" s="302"/>
      <c r="K139" s="302"/>
      <c r="L139" s="302"/>
      <c r="M139" s="302"/>
      <c r="N139" s="302"/>
      <c r="O139" s="302"/>
      <c r="P139" s="302"/>
      <c r="Q139" s="302"/>
      <c r="R139" s="302"/>
      <c r="S139" s="302"/>
      <c r="T139" s="302"/>
      <c r="U139" s="302"/>
      <c r="V139" s="302"/>
      <c r="W139" s="302"/>
      <c r="X139" s="302"/>
      <c r="Y139" s="302"/>
      <c r="Z139" s="302"/>
      <c r="AA139" s="302"/>
      <c r="AB139" s="302"/>
      <c r="AC139" s="302"/>
      <c r="AD139" s="302"/>
      <c r="AE139" s="302"/>
      <c r="AF139" s="302"/>
      <c r="AG139" s="302"/>
      <c r="AH139" s="302"/>
    </row>
    <row r="140" spans="1:34" ht="15.75">
      <c r="A140" s="302"/>
      <c r="B140" s="302"/>
      <c r="C140" s="302"/>
      <c r="D140" s="302"/>
      <c r="E140" s="302"/>
      <c r="F140" s="302"/>
      <c r="G140" s="302"/>
      <c r="H140" s="302"/>
      <c r="I140" s="302"/>
      <c r="J140" s="302"/>
      <c r="K140" s="302"/>
      <c r="L140" s="302"/>
      <c r="M140" s="302"/>
      <c r="N140" s="302"/>
      <c r="O140" s="302"/>
      <c r="P140" s="302"/>
      <c r="Q140" s="302"/>
      <c r="R140" s="302"/>
      <c r="S140" s="302"/>
      <c r="T140" s="302"/>
      <c r="U140" s="302"/>
      <c r="V140" s="302"/>
      <c r="W140" s="302"/>
      <c r="X140" s="302"/>
      <c r="Y140" s="302"/>
      <c r="Z140" s="302"/>
      <c r="AA140" s="302"/>
      <c r="AB140" s="302"/>
      <c r="AC140" s="302"/>
      <c r="AD140" s="302"/>
      <c r="AE140" s="302"/>
      <c r="AF140" s="302"/>
      <c r="AG140" s="302"/>
      <c r="AH140" s="302"/>
    </row>
    <row r="141" spans="1:34" ht="15.75">
      <c r="A141" s="302"/>
      <c r="B141" s="302"/>
      <c r="C141" s="302"/>
      <c r="D141" s="302"/>
      <c r="E141" s="302"/>
      <c r="F141" s="302"/>
      <c r="G141" s="302"/>
      <c r="H141" s="302"/>
      <c r="I141" s="302"/>
      <c r="J141" s="302"/>
      <c r="K141" s="302"/>
      <c r="L141" s="302"/>
      <c r="M141" s="302"/>
      <c r="N141" s="302"/>
      <c r="O141" s="302"/>
      <c r="P141" s="302"/>
      <c r="Q141" s="302"/>
      <c r="R141" s="302"/>
      <c r="S141" s="302"/>
      <c r="T141" s="302"/>
      <c r="U141" s="302"/>
      <c r="V141" s="302"/>
      <c r="W141" s="302"/>
      <c r="X141" s="302"/>
      <c r="Y141" s="302"/>
      <c r="Z141" s="302"/>
      <c r="AA141" s="302"/>
      <c r="AB141" s="302"/>
      <c r="AC141" s="302"/>
      <c r="AD141" s="302"/>
      <c r="AE141" s="302"/>
      <c r="AF141" s="302"/>
      <c r="AG141" s="302"/>
      <c r="AH141" s="302"/>
    </row>
    <row r="142" spans="1:34" ht="15.75">
      <c r="A142" s="302"/>
      <c r="B142" s="302"/>
      <c r="C142" s="302"/>
      <c r="D142" s="302"/>
      <c r="E142" s="302"/>
      <c r="F142" s="302"/>
      <c r="G142" s="302"/>
      <c r="H142" s="302"/>
      <c r="I142" s="302"/>
      <c r="J142" s="302"/>
      <c r="K142" s="302"/>
      <c r="L142" s="302"/>
      <c r="M142" s="302"/>
      <c r="N142" s="302"/>
      <c r="O142" s="302"/>
      <c r="P142" s="302"/>
      <c r="Q142" s="302"/>
      <c r="R142" s="302"/>
      <c r="S142" s="302"/>
      <c r="T142" s="302"/>
      <c r="U142" s="302"/>
      <c r="V142" s="302"/>
      <c r="W142" s="302"/>
      <c r="X142" s="302"/>
      <c r="Y142" s="302"/>
      <c r="Z142" s="302"/>
      <c r="AA142" s="302"/>
      <c r="AB142" s="302"/>
      <c r="AC142" s="302"/>
      <c r="AD142" s="302"/>
      <c r="AE142" s="302"/>
      <c r="AF142" s="302"/>
      <c r="AG142" s="302"/>
      <c r="AH142" s="302"/>
    </row>
    <row r="143" spans="1:34" ht="15.75">
      <c r="A143" s="302"/>
      <c r="B143" s="302"/>
      <c r="C143" s="302"/>
      <c r="D143" s="302"/>
      <c r="E143" s="302"/>
      <c r="F143" s="302"/>
      <c r="G143" s="302"/>
      <c r="H143" s="302"/>
      <c r="I143" s="302"/>
      <c r="J143" s="302"/>
      <c r="K143" s="302"/>
      <c r="L143" s="302"/>
      <c r="M143" s="302"/>
      <c r="N143" s="302"/>
      <c r="O143" s="302"/>
      <c r="P143" s="302"/>
      <c r="Q143" s="302"/>
      <c r="R143" s="302"/>
      <c r="S143" s="302"/>
      <c r="T143" s="302"/>
      <c r="U143" s="302"/>
      <c r="V143" s="302"/>
      <c r="W143" s="302"/>
      <c r="X143" s="302"/>
      <c r="Y143" s="302"/>
      <c r="Z143" s="302"/>
      <c r="AA143" s="302"/>
      <c r="AB143" s="302"/>
      <c r="AC143" s="302"/>
      <c r="AD143" s="302"/>
      <c r="AE143" s="302"/>
      <c r="AF143" s="302"/>
      <c r="AG143" s="302"/>
      <c r="AH143" s="302"/>
    </row>
    <row r="144" spans="1:34" ht="15.75">
      <c r="A144" s="302"/>
      <c r="B144" s="302"/>
      <c r="C144" s="302"/>
      <c r="D144" s="302"/>
      <c r="E144" s="302"/>
      <c r="F144" s="302"/>
      <c r="G144" s="302"/>
      <c r="H144" s="302"/>
      <c r="I144" s="302"/>
      <c r="J144" s="302"/>
      <c r="K144" s="302"/>
      <c r="L144" s="302"/>
      <c r="M144" s="302"/>
      <c r="N144" s="302"/>
      <c r="O144" s="302"/>
      <c r="P144" s="302"/>
      <c r="Q144" s="302"/>
      <c r="R144" s="302"/>
      <c r="S144" s="302"/>
      <c r="T144" s="302"/>
      <c r="U144" s="302"/>
      <c r="V144" s="302"/>
      <c r="W144" s="302"/>
      <c r="X144" s="302"/>
      <c r="Y144" s="302"/>
      <c r="Z144" s="302"/>
      <c r="AA144" s="302"/>
      <c r="AB144" s="302"/>
      <c r="AC144" s="302"/>
      <c r="AD144" s="302"/>
      <c r="AE144" s="302"/>
      <c r="AF144" s="302"/>
      <c r="AG144" s="302"/>
      <c r="AH144" s="302"/>
    </row>
    <row r="145" spans="1:34" ht="15.75">
      <c r="A145" s="302"/>
      <c r="B145" s="302"/>
      <c r="C145" s="302"/>
      <c r="D145" s="302"/>
      <c r="E145" s="302"/>
      <c r="F145" s="302"/>
      <c r="G145" s="302"/>
      <c r="H145" s="302"/>
      <c r="I145" s="302"/>
      <c r="J145" s="302"/>
      <c r="K145" s="302"/>
      <c r="L145" s="302"/>
      <c r="M145" s="302"/>
      <c r="N145" s="302"/>
      <c r="O145" s="302"/>
      <c r="P145" s="302"/>
      <c r="Q145" s="302"/>
      <c r="R145" s="302"/>
      <c r="S145" s="302"/>
      <c r="T145" s="302"/>
      <c r="U145" s="302"/>
      <c r="V145" s="302"/>
      <c r="W145" s="302"/>
      <c r="X145" s="302"/>
      <c r="Y145" s="302"/>
      <c r="Z145" s="302"/>
      <c r="AA145" s="302"/>
      <c r="AB145" s="302"/>
      <c r="AC145" s="302"/>
      <c r="AD145" s="302"/>
      <c r="AE145" s="302"/>
      <c r="AF145" s="302"/>
      <c r="AG145" s="302"/>
      <c r="AH145" s="302"/>
    </row>
    <row r="146" spans="1:34" ht="15.75">
      <c r="A146" s="302"/>
      <c r="B146" s="302"/>
      <c r="C146" s="302"/>
      <c r="D146" s="302"/>
      <c r="E146" s="302"/>
      <c r="F146" s="302"/>
      <c r="G146" s="302"/>
      <c r="H146" s="302"/>
      <c r="I146" s="302"/>
      <c r="J146" s="302"/>
      <c r="K146" s="302"/>
      <c r="L146" s="302"/>
      <c r="M146" s="302"/>
      <c r="N146" s="302"/>
      <c r="O146" s="302"/>
      <c r="P146" s="302"/>
      <c r="Q146" s="302"/>
      <c r="R146" s="302"/>
      <c r="S146" s="302"/>
      <c r="T146" s="302"/>
      <c r="U146" s="302"/>
      <c r="V146" s="302"/>
      <c r="W146" s="302"/>
      <c r="X146" s="302"/>
      <c r="Y146" s="302"/>
      <c r="Z146" s="302"/>
      <c r="AA146" s="302"/>
      <c r="AB146" s="302"/>
      <c r="AC146" s="302"/>
      <c r="AD146" s="302"/>
      <c r="AE146" s="302"/>
      <c r="AF146" s="302"/>
      <c r="AG146" s="302"/>
      <c r="AH146" s="302"/>
    </row>
    <row r="147" spans="1:34" ht="15.75">
      <c r="A147" s="302"/>
      <c r="B147" s="302"/>
      <c r="C147" s="302"/>
      <c r="D147" s="302"/>
      <c r="E147" s="302"/>
      <c r="F147" s="302"/>
      <c r="G147" s="302"/>
      <c r="H147" s="302"/>
      <c r="I147" s="302"/>
      <c r="J147" s="302"/>
      <c r="K147" s="302"/>
      <c r="L147" s="302"/>
      <c r="M147" s="302"/>
      <c r="N147" s="302"/>
      <c r="O147" s="302"/>
      <c r="P147" s="302"/>
      <c r="Q147" s="302"/>
      <c r="R147" s="302"/>
      <c r="S147" s="302"/>
      <c r="T147" s="302"/>
      <c r="U147" s="302"/>
      <c r="V147" s="302"/>
      <c r="W147" s="302"/>
      <c r="X147" s="302"/>
      <c r="Y147" s="302"/>
      <c r="Z147" s="302"/>
      <c r="AA147" s="302"/>
      <c r="AB147" s="302"/>
      <c r="AC147" s="302"/>
      <c r="AD147" s="302"/>
      <c r="AE147" s="302"/>
      <c r="AF147" s="302"/>
      <c r="AG147" s="302"/>
      <c r="AH147" s="302"/>
    </row>
    <row r="148" spans="1:34" ht="15.75">
      <c r="A148" s="302"/>
      <c r="B148" s="302"/>
      <c r="C148" s="302"/>
      <c r="D148" s="302"/>
      <c r="E148" s="302"/>
      <c r="F148" s="302"/>
      <c r="G148" s="302"/>
      <c r="H148" s="302"/>
      <c r="I148" s="302"/>
      <c r="J148" s="302"/>
      <c r="K148" s="302"/>
      <c r="L148" s="302"/>
      <c r="M148" s="302"/>
      <c r="N148" s="302"/>
      <c r="O148" s="302"/>
      <c r="P148" s="302"/>
      <c r="Q148" s="302"/>
      <c r="R148" s="302"/>
      <c r="S148" s="302"/>
      <c r="T148" s="302"/>
      <c r="U148" s="302"/>
      <c r="V148" s="302"/>
      <c r="W148" s="302"/>
      <c r="X148" s="302"/>
      <c r="Y148" s="302"/>
      <c r="Z148" s="302"/>
      <c r="AA148" s="302"/>
      <c r="AB148" s="302"/>
      <c r="AC148" s="302"/>
      <c r="AD148" s="302"/>
      <c r="AE148" s="302"/>
      <c r="AF148" s="302"/>
      <c r="AG148" s="302"/>
      <c r="AH148" s="302"/>
    </row>
    <row r="149" spans="1:34" ht="15.75">
      <c r="A149" s="302"/>
      <c r="B149" s="302"/>
      <c r="C149" s="302"/>
      <c r="D149" s="302"/>
      <c r="E149" s="302"/>
      <c r="F149" s="302"/>
      <c r="G149" s="302"/>
      <c r="H149" s="302"/>
      <c r="I149" s="302"/>
      <c r="J149" s="302"/>
      <c r="K149" s="302"/>
      <c r="L149" s="302"/>
      <c r="M149" s="302"/>
      <c r="N149" s="302"/>
      <c r="O149" s="302"/>
      <c r="P149" s="302"/>
      <c r="Q149" s="302"/>
      <c r="R149" s="302"/>
      <c r="S149" s="302"/>
      <c r="T149" s="302"/>
      <c r="U149" s="302"/>
      <c r="V149" s="302"/>
      <c r="W149" s="302"/>
      <c r="X149" s="302"/>
      <c r="Y149" s="302"/>
      <c r="Z149" s="302"/>
      <c r="AA149" s="302"/>
      <c r="AB149" s="302"/>
      <c r="AC149" s="302"/>
      <c r="AD149" s="302"/>
      <c r="AE149" s="302"/>
      <c r="AF149" s="302"/>
      <c r="AG149" s="302"/>
      <c r="AH149" s="302"/>
    </row>
    <row r="150" spans="1:34" ht="15.75">
      <c r="A150" s="302"/>
      <c r="B150" s="302"/>
      <c r="C150" s="302"/>
      <c r="D150" s="302"/>
      <c r="E150" s="302"/>
      <c r="F150" s="302"/>
      <c r="G150" s="302"/>
      <c r="H150" s="302"/>
      <c r="I150" s="302"/>
      <c r="J150" s="302"/>
      <c r="K150" s="302"/>
      <c r="L150" s="302"/>
      <c r="M150" s="302"/>
      <c r="N150" s="302"/>
      <c r="O150" s="302"/>
      <c r="P150" s="302"/>
      <c r="Q150" s="302"/>
      <c r="R150" s="302"/>
      <c r="S150" s="302"/>
      <c r="T150" s="302"/>
      <c r="U150" s="302"/>
      <c r="V150" s="302"/>
      <c r="W150" s="302"/>
      <c r="X150" s="302"/>
      <c r="Y150" s="302"/>
      <c r="Z150" s="302"/>
      <c r="AA150" s="302"/>
      <c r="AB150" s="302"/>
      <c r="AC150" s="302"/>
      <c r="AD150" s="302"/>
      <c r="AE150" s="302"/>
      <c r="AF150" s="302"/>
      <c r="AG150" s="302"/>
      <c r="AH150" s="302"/>
    </row>
    <row r="151" spans="1:34" ht="15.75">
      <c r="A151" s="302"/>
      <c r="B151" s="302"/>
      <c r="C151" s="302"/>
      <c r="D151" s="302"/>
      <c r="E151" s="302"/>
      <c r="F151" s="302"/>
      <c r="G151" s="302"/>
      <c r="H151" s="302"/>
      <c r="I151" s="302"/>
      <c r="J151" s="302"/>
      <c r="K151" s="302"/>
      <c r="L151" s="302"/>
      <c r="M151" s="302"/>
      <c r="N151" s="302"/>
      <c r="O151" s="302"/>
      <c r="P151" s="302"/>
      <c r="Q151" s="302"/>
      <c r="R151" s="302"/>
      <c r="S151" s="302"/>
      <c r="T151" s="302"/>
      <c r="U151" s="302"/>
      <c r="V151" s="302"/>
      <c r="W151" s="302"/>
      <c r="X151" s="302"/>
      <c r="Y151" s="302"/>
      <c r="Z151" s="302"/>
      <c r="AA151" s="302"/>
      <c r="AB151" s="302"/>
      <c r="AC151" s="302"/>
      <c r="AD151" s="302"/>
      <c r="AE151" s="302"/>
      <c r="AF151" s="302"/>
      <c r="AG151" s="302"/>
      <c r="AH151" s="302"/>
    </row>
    <row r="152" spans="1:34" ht="15.75">
      <c r="A152" s="302"/>
      <c r="B152" s="302"/>
      <c r="C152" s="302"/>
      <c r="D152" s="302"/>
      <c r="E152" s="302"/>
      <c r="F152" s="302"/>
      <c r="G152" s="302"/>
      <c r="H152" s="302"/>
      <c r="I152" s="302"/>
      <c r="J152" s="302"/>
      <c r="K152" s="302"/>
      <c r="L152" s="302"/>
      <c r="M152" s="302"/>
      <c r="N152" s="302"/>
      <c r="O152" s="302"/>
      <c r="P152" s="302"/>
      <c r="Q152" s="302"/>
      <c r="R152" s="302"/>
      <c r="S152" s="302"/>
      <c r="T152" s="302"/>
      <c r="U152" s="302"/>
      <c r="V152" s="302"/>
      <c r="W152" s="302"/>
      <c r="X152" s="302"/>
      <c r="Y152" s="302"/>
      <c r="Z152" s="302"/>
      <c r="AA152" s="302"/>
      <c r="AB152" s="302"/>
      <c r="AC152" s="302"/>
      <c r="AD152" s="302"/>
      <c r="AE152" s="302"/>
      <c r="AF152" s="302"/>
      <c r="AG152" s="302"/>
      <c r="AH152" s="302"/>
    </row>
    <row r="153" spans="1:34" ht="15.75">
      <c r="A153" s="302"/>
      <c r="B153" s="302"/>
      <c r="C153" s="302"/>
      <c r="D153" s="302"/>
      <c r="E153" s="302"/>
      <c r="F153" s="302"/>
      <c r="G153" s="302"/>
      <c r="H153" s="302"/>
      <c r="I153" s="302"/>
      <c r="J153" s="302"/>
      <c r="K153" s="302"/>
      <c r="L153" s="302"/>
      <c r="M153" s="302"/>
      <c r="N153" s="302"/>
      <c r="O153" s="302"/>
      <c r="P153" s="302"/>
      <c r="Q153" s="302"/>
      <c r="R153" s="302"/>
      <c r="S153" s="302"/>
      <c r="T153" s="302"/>
      <c r="U153" s="302"/>
      <c r="V153" s="302"/>
      <c r="W153" s="302"/>
      <c r="X153" s="302"/>
      <c r="Y153" s="302"/>
      <c r="Z153" s="302"/>
      <c r="AA153" s="302"/>
      <c r="AB153" s="302"/>
      <c r="AC153" s="302"/>
      <c r="AD153" s="302"/>
      <c r="AE153" s="302"/>
      <c r="AF153" s="302"/>
      <c r="AG153" s="302"/>
      <c r="AH153" s="302"/>
    </row>
    <row r="154" spans="1:34" ht="15.75">
      <c r="A154" s="302"/>
      <c r="B154" s="302"/>
      <c r="C154" s="302"/>
      <c r="D154" s="302"/>
      <c r="E154" s="302"/>
      <c r="F154" s="302"/>
      <c r="G154" s="302"/>
      <c r="H154" s="302"/>
      <c r="I154" s="302"/>
      <c r="J154" s="302"/>
      <c r="K154" s="302"/>
      <c r="L154" s="302"/>
      <c r="M154" s="302"/>
      <c r="N154" s="302"/>
      <c r="O154" s="302"/>
      <c r="P154" s="302"/>
      <c r="Q154" s="302"/>
      <c r="R154" s="302"/>
      <c r="S154" s="302"/>
      <c r="T154" s="302"/>
      <c r="U154" s="302"/>
      <c r="V154" s="302"/>
      <c r="W154" s="302"/>
      <c r="X154" s="302"/>
      <c r="Y154" s="302"/>
      <c r="Z154" s="302"/>
      <c r="AA154" s="302"/>
      <c r="AB154" s="302"/>
      <c r="AC154" s="302"/>
      <c r="AD154" s="302"/>
      <c r="AE154" s="302"/>
      <c r="AF154" s="302"/>
      <c r="AG154" s="302"/>
      <c r="AH154" s="302"/>
    </row>
    <row r="155" spans="1:34" ht="15.75">
      <c r="A155" s="302"/>
      <c r="B155" s="302"/>
      <c r="C155" s="302"/>
      <c r="D155" s="302"/>
      <c r="E155" s="302"/>
      <c r="F155" s="302"/>
      <c r="G155" s="302"/>
      <c r="H155" s="302"/>
      <c r="I155" s="302"/>
      <c r="J155" s="302"/>
      <c r="K155" s="302"/>
      <c r="L155" s="302"/>
      <c r="M155" s="302"/>
      <c r="N155" s="302"/>
      <c r="O155" s="302"/>
      <c r="P155" s="302"/>
      <c r="Q155" s="302"/>
      <c r="R155" s="302"/>
      <c r="S155" s="302"/>
      <c r="T155" s="302"/>
      <c r="U155" s="302"/>
      <c r="V155" s="302"/>
      <c r="W155" s="302"/>
      <c r="X155" s="302"/>
      <c r="Y155" s="302"/>
      <c r="Z155" s="302"/>
      <c r="AA155" s="302"/>
      <c r="AB155" s="302"/>
      <c r="AC155" s="302"/>
      <c r="AD155" s="302"/>
      <c r="AE155" s="302"/>
      <c r="AF155" s="302"/>
      <c r="AG155" s="302"/>
      <c r="AH155" s="302"/>
    </row>
    <row r="156" spans="1:34" ht="15.75">
      <c r="A156" s="302"/>
      <c r="B156" s="302"/>
      <c r="C156" s="302"/>
      <c r="D156" s="302"/>
      <c r="E156" s="302"/>
      <c r="F156" s="302"/>
      <c r="G156" s="302"/>
      <c r="H156" s="302"/>
      <c r="I156" s="302"/>
      <c r="J156" s="302"/>
      <c r="K156" s="302"/>
      <c r="L156" s="302"/>
      <c r="M156" s="302"/>
      <c r="N156" s="302"/>
      <c r="O156" s="302"/>
      <c r="P156" s="302"/>
      <c r="Q156" s="302"/>
      <c r="R156" s="302"/>
      <c r="S156" s="302"/>
      <c r="T156" s="302"/>
      <c r="U156" s="302"/>
      <c r="V156" s="302"/>
      <c r="W156" s="302"/>
      <c r="X156" s="302"/>
      <c r="Y156" s="302"/>
      <c r="Z156" s="302"/>
      <c r="AA156" s="302"/>
      <c r="AB156" s="302"/>
      <c r="AC156" s="302"/>
      <c r="AD156" s="302"/>
      <c r="AE156" s="302"/>
      <c r="AF156" s="302"/>
      <c r="AG156" s="302"/>
      <c r="AH156" s="302"/>
    </row>
    <row r="157" spans="1:34" ht="15.75">
      <c r="A157" s="302"/>
      <c r="B157" s="302"/>
      <c r="C157" s="302"/>
      <c r="D157" s="302"/>
      <c r="E157" s="302"/>
      <c r="F157" s="302"/>
      <c r="G157" s="302"/>
      <c r="H157" s="302"/>
      <c r="I157" s="302"/>
      <c r="J157" s="302"/>
      <c r="K157" s="302"/>
      <c r="L157" s="302"/>
      <c r="M157" s="302"/>
      <c r="N157" s="302"/>
      <c r="O157" s="302"/>
      <c r="P157" s="302"/>
      <c r="Q157" s="302"/>
      <c r="R157" s="302"/>
      <c r="S157" s="302"/>
      <c r="T157" s="302"/>
      <c r="U157" s="302"/>
      <c r="V157" s="302"/>
      <c r="W157" s="302"/>
      <c r="X157" s="302"/>
      <c r="Y157" s="302"/>
      <c r="Z157" s="302"/>
      <c r="AA157" s="302"/>
      <c r="AB157" s="302"/>
      <c r="AC157" s="302"/>
      <c r="AD157" s="302"/>
      <c r="AE157" s="302"/>
      <c r="AF157" s="302"/>
      <c r="AG157" s="302"/>
      <c r="AH157" s="302"/>
    </row>
    <row r="158" spans="1:34" ht="15.75">
      <c r="A158" s="302"/>
      <c r="B158" s="302"/>
      <c r="C158" s="302"/>
      <c r="D158" s="302"/>
      <c r="E158" s="302"/>
      <c r="F158" s="302"/>
      <c r="G158" s="302"/>
      <c r="H158" s="302"/>
      <c r="I158" s="302"/>
      <c r="J158" s="302"/>
      <c r="K158" s="302"/>
      <c r="L158" s="302"/>
      <c r="M158" s="302"/>
      <c r="N158" s="302"/>
      <c r="O158" s="302"/>
      <c r="P158" s="302"/>
      <c r="Q158" s="302"/>
      <c r="R158" s="302"/>
      <c r="S158" s="302"/>
      <c r="T158" s="302"/>
      <c r="U158" s="302"/>
      <c r="V158" s="302"/>
      <c r="W158" s="302"/>
      <c r="X158" s="302"/>
      <c r="Y158" s="302"/>
      <c r="Z158" s="302"/>
      <c r="AA158" s="302"/>
      <c r="AB158" s="302"/>
      <c r="AC158" s="302"/>
      <c r="AD158" s="302"/>
      <c r="AE158" s="302"/>
      <c r="AF158" s="302"/>
      <c r="AG158" s="302"/>
      <c r="AH158" s="302"/>
    </row>
    <row r="159" spans="1:34" ht="15.75">
      <c r="A159" s="299"/>
      <c r="B159" s="302"/>
      <c r="C159" s="302"/>
      <c r="D159" s="302"/>
      <c r="E159" s="302"/>
      <c r="F159" s="302"/>
      <c r="G159" s="302"/>
      <c r="H159" s="302"/>
      <c r="I159" s="302"/>
      <c r="J159" s="302"/>
      <c r="K159" s="302"/>
      <c r="L159" s="302"/>
      <c r="M159" s="302"/>
      <c r="N159" s="302"/>
      <c r="O159" s="302"/>
      <c r="P159" s="302"/>
      <c r="Q159" s="302"/>
      <c r="R159" s="302"/>
      <c r="S159" s="302"/>
      <c r="T159" s="302"/>
      <c r="U159" s="302"/>
      <c r="V159" s="302"/>
      <c r="W159" s="302"/>
      <c r="X159" s="302"/>
      <c r="Y159" s="302"/>
      <c r="Z159" s="302"/>
      <c r="AA159" s="302"/>
      <c r="AB159" s="302"/>
      <c r="AC159" s="302"/>
      <c r="AD159" s="302"/>
      <c r="AE159" s="302"/>
      <c r="AF159" s="302"/>
      <c r="AG159" s="302"/>
      <c r="AH159" s="302"/>
    </row>
    <row r="160" spans="1:34" ht="15.75">
      <c r="A160" s="299"/>
      <c r="B160" s="302"/>
      <c r="C160" s="302"/>
      <c r="D160" s="302"/>
      <c r="E160" s="302"/>
      <c r="F160" s="302"/>
      <c r="G160" s="302"/>
      <c r="H160" s="302"/>
      <c r="I160" s="302"/>
      <c r="J160" s="302"/>
      <c r="K160" s="302"/>
      <c r="L160" s="302"/>
      <c r="M160" s="302"/>
      <c r="N160" s="302"/>
      <c r="O160" s="302"/>
      <c r="P160" s="302"/>
      <c r="Q160" s="302"/>
      <c r="R160" s="302"/>
      <c r="S160" s="302"/>
      <c r="T160" s="302"/>
      <c r="U160" s="302"/>
      <c r="V160" s="302"/>
      <c r="W160" s="302"/>
      <c r="X160" s="302"/>
      <c r="Y160" s="302"/>
      <c r="Z160" s="302"/>
      <c r="AA160" s="302"/>
      <c r="AB160" s="302"/>
      <c r="AC160" s="302"/>
      <c r="AD160" s="302"/>
      <c r="AE160" s="302"/>
      <c r="AF160" s="302"/>
      <c r="AG160" s="302"/>
      <c r="AH160" s="302"/>
    </row>
    <row r="161" spans="1:34" ht="15.75">
      <c r="A161" s="299"/>
      <c r="B161" s="302"/>
      <c r="C161" s="302"/>
      <c r="D161" s="302"/>
      <c r="E161" s="302"/>
      <c r="F161" s="302"/>
      <c r="G161" s="302"/>
      <c r="H161" s="302"/>
      <c r="I161" s="302"/>
      <c r="J161" s="302"/>
      <c r="K161" s="302"/>
      <c r="L161" s="302"/>
      <c r="M161" s="302"/>
      <c r="N161" s="302"/>
      <c r="O161" s="302"/>
      <c r="P161" s="302"/>
      <c r="Q161" s="302"/>
      <c r="R161" s="302"/>
      <c r="S161" s="302"/>
      <c r="T161" s="302"/>
      <c r="U161" s="302"/>
      <c r="V161" s="302"/>
      <c r="W161" s="302"/>
      <c r="X161" s="302"/>
      <c r="Y161" s="302"/>
      <c r="Z161" s="302"/>
      <c r="AA161" s="302"/>
      <c r="AB161" s="302"/>
      <c r="AC161" s="302"/>
      <c r="AD161" s="302"/>
      <c r="AE161" s="302"/>
      <c r="AF161" s="302"/>
      <c r="AG161" s="302"/>
      <c r="AH161" s="302"/>
    </row>
    <row r="162" spans="1:34" ht="15.75">
      <c r="A162" s="299"/>
      <c r="B162" s="302"/>
      <c r="C162" s="302"/>
      <c r="D162" s="302"/>
      <c r="E162" s="302"/>
      <c r="F162" s="302"/>
      <c r="G162" s="302"/>
      <c r="H162" s="302"/>
      <c r="I162" s="302"/>
      <c r="J162" s="302"/>
      <c r="K162" s="302"/>
      <c r="L162" s="302"/>
      <c r="M162" s="302"/>
      <c r="N162" s="302"/>
      <c r="O162" s="302"/>
      <c r="P162" s="302"/>
      <c r="Q162" s="302"/>
      <c r="R162" s="302"/>
      <c r="S162" s="302"/>
      <c r="T162" s="302"/>
      <c r="U162" s="302"/>
      <c r="V162" s="302"/>
      <c r="W162" s="302"/>
      <c r="X162" s="302"/>
      <c r="Y162" s="302"/>
      <c r="Z162" s="302"/>
      <c r="AA162" s="302"/>
      <c r="AB162" s="302"/>
      <c r="AC162" s="302"/>
      <c r="AD162" s="302"/>
      <c r="AE162" s="302"/>
      <c r="AF162" s="302"/>
      <c r="AG162" s="302"/>
      <c r="AH162" s="302"/>
    </row>
    <row r="163" spans="1:34" ht="15.75">
      <c r="A163" s="299"/>
      <c r="B163" s="302"/>
      <c r="C163" s="302"/>
      <c r="D163" s="302"/>
      <c r="E163" s="302"/>
      <c r="F163" s="302"/>
      <c r="G163" s="302"/>
      <c r="H163" s="302"/>
      <c r="I163" s="302"/>
      <c r="J163" s="302"/>
      <c r="K163" s="302"/>
      <c r="L163" s="302"/>
      <c r="M163" s="302"/>
      <c r="N163" s="302"/>
      <c r="O163" s="302"/>
      <c r="P163" s="302"/>
      <c r="Q163" s="302"/>
      <c r="R163" s="302"/>
      <c r="S163" s="302"/>
      <c r="T163" s="302"/>
      <c r="U163" s="302"/>
      <c r="V163" s="302"/>
      <c r="W163" s="302"/>
      <c r="X163" s="302"/>
      <c r="Y163" s="302"/>
      <c r="Z163" s="302"/>
      <c r="AA163" s="302"/>
      <c r="AB163" s="302"/>
      <c r="AC163" s="302"/>
      <c r="AD163" s="302"/>
      <c r="AE163" s="302"/>
      <c r="AF163" s="302"/>
      <c r="AG163" s="302"/>
      <c r="AH163" s="302"/>
    </row>
    <row r="164" spans="1:34" ht="15.75">
      <c r="A164" s="299"/>
      <c r="B164" s="302"/>
      <c r="C164" s="302"/>
      <c r="D164" s="302"/>
      <c r="E164" s="302"/>
      <c r="F164" s="302"/>
      <c r="G164" s="302"/>
      <c r="H164" s="302"/>
      <c r="I164" s="302"/>
      <c r="J164" s="302"/>
      <c r="K164" s="302"/>
      <c r="L164" s="302"/>
      <c r="M164" s="302"/>
      <c r="N164" s="302"/>
      <c r="O164" s="302"/>
      <c r="P164" s="302"/>
      <c r="Q164" s="302"/>
      <c r="R164" s="302"/>
      <c r="S164" s="302"/>
      <c r="T164" s="302"/>
      <c r="U164" s="302"/>
      <c r="V164" s="302"/>
      <c r="W164" s="302"/>
      <c r="X164" s="302"/>
      <c r="Y164" s="302"/>
      <c r="Z164" s="302"/>
      <c r="AA164" s="302"/>
      <c r="AB164" s="302"/>
      <c r="AC164" s="302"/>
      <c r="AD164" s="302"/>
      <c r="AE164" s="302"/>
      <c r="AF164" s="302"/>
      <c r="AG164" s="302"/>
      <c r="AH164" s="302"/>
    </row>
    <row r="165" spans="1:34" ht="15.75">
      <c r="A165" s="299"/>
      <c r="B165" s="302"/>
      <c r="C165" s="302"/>
      <c r="D165" s="302"/>
      <c r="E165" s="302"/>
      <c r="F165" s="302"/>
      <c r="G165" s="302"/>
      <c r="H165" s="302"/>
      <c r="I165" s="302"/>
      <c r="J165" s="302"/>
      <c r="K165" s="302"/>
      <c r="L165" s="302"/>
      <c r="M165" s="302"/>
      <c r="N165" s="302"/>
      <c r="O165" s="302"/>
      <c r="P165" s="302"/>
      <c r="Q165" s="302"/>
      <c r="R165" s="302"/>
      <c r="S165" s="302"/>
      <c r="T165" s="302"/>
      <c r="U165" s="302"/>
      <c r="V165" s="302"/>
      <c r="W165" s="302"/>
      <c r="X165" s="302"/>
      <c r="Y165" s="302"/>
      <c r="Z165" s="302"/>
      <c r="AA165" s="302"/>
      <c r="AB165" s="302"/>
      <c r="AC165" s="302"/>
      <c r="AD165" s="302"/>
      <c r="AE165" s="302"/>
      <c r="AF165" s="302"/>
      <c r="AG165" s="302"/>
      <c r="AH165" s="302"/>
    </row>
  </sheetData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3A9651E101D8C41BB2409A856ECDB8B" ma:contentTypeVersion="52" ma:contentTypeDescription="" ma:contentTypeScope="" ma:versionID="33648c2a0be97e0eec59a74c6ba4cb85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2020-04-17T07:00:00+00:00</OpenedDate>
    <SignificantOrder xmlns="dc463f71-b30c-4ab2-9473-d307f9d35888">false</SignificantOrder>
    <Date1 xmlns="dc463f71-b30c-4ab2-9473-d307f9d35888">2020-04-17T07:00:00+00:00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Methow Valley Sanitation, Inc. </CaseCompanyNames>
    <Nickname xmlns="http://schemas.microsoft.com/sharepoint/v3" xsi:nil="true"/>
    <DocketNumber xmlns="dc463f71-b30c-4ab2-9473-d307f9d35888">200366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36A82068-39E2-4740-903C-6FDB19F97CDD}"/>
</file>

<file path=customXml/itemProps2.xml><?xml version="1.0" encoding="utf-8"?>
<ds:datastoreItem xmlns:ds="http://schemas.openxmlformats.org/officeDocument/2006/customXml" ds:itemID="{4CDE0132-705A-45A7-9C83-6D371D4D45D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6a7bd91e-004b-490a-8704-e368d63d59a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42A39CC-6F5D-4FA8-A287-326EC7D294D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75F9F76-B813-4D18-9C4C-944C29AE50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22</vt:i4>
      </vt:variant>
    </vt:vector>
  </HeadingPairs>
  <TitlesOfParts>
    <vt:vector size="42" baseType="lpstr">
      <vt:lpstr>12 Month P&amp;L </vt:lpstr>
      <vt:lpstr>Results</vt:lpstr>
      <vt:lpstr>Restating Adj</vt:lpstr>
      <vt:lpstr>Pro Forma Adj</vt:lpstr>
      <vt:lpstr>LG Nonpublic 2018 V5.2a</vt:lpstr>
      <vt:lpstr>Disposal </vt:lpstr>
      <vt:lpstr>Recycling Processing Costs</vt:lpstr>
      <vt:lpstr>Recycle Rate Notice</vt:lpstr>
      <vt:lpstr>Regulatory Depreciation Sch</vt:lpstr>
      <vt:lpstr>Container Conversion Worksheet</vt:lpstr>
      <vt:lpstr>Truck Purchase</vt:lpstr>
      <vt:lpstr>Carts - Bear Carts</vt:lpstr>
      <vt:lpstr>Payroll</vt:lpstr>
      <vt:lpstr>Customer Count Test Year</vt:lpstr>
      <vt:lpstr>Price Out - Rate Year</vt:lpstr>
      <vt:lpstr>Revenue Taxes</vt:lpstr>
      <vt:lpstr>Medical Insurance</vt:lpstr>
      <vt:lpstr>Truck Mileage</vt:lpstr>
      <vt:lpstr>Fuel Cost</vt:lpstr>
      <vt:lpstr>Real Estate Appraisal</vt:lpstr>
      <vt:lpstr>'LG Nonpublic 2018 V5.2a'!Debt_Rate</vt:lpstr>
      <vt:lpstr>'LG Nonpublic 2018 V5.2a'!debtP</vt:lpstr>
      <vt:lpstr>'LG Nonpublic 2018 V5.2a'!Equity_percent</vt:lpstr>
      <vt:lpstr>'LG Nonpublic 2018 V5.2a'!equityP</vt:lpstr>
      <vt:lpstr>'LG Nonpublic 2018 V5.2a'!expenses</vt:lpstr>
      <vt:lpstr>'LG Nonpublic 2018 V5.2a'!Investment</vt:lpstr>
      <vt:lpstr>'LG Nonpublic 2018 V5.2a'!Pfd_weighted</vt:lpstr>
      <vt:lpstr>'12 Month P&amp;L '!Print_Area</vt:lpstr>
      <vt:lpstr>'LG Nonpublic 2018 V5.2a'!Print_Area</vt:lpstr>
      <vt:lpstr>'Price Out - Rate Year'!Print_Area</vt:lpstr>
      <vt:lpstr>Results!Print_Area</vt:lpstr>
      <vt:lpstr>'12 Month P&amp;L '!Print_Titles</vt:lpstr>
      <vt:lpstr>'Price Out - Rate Year'!Print_Titles</vt:lpstr>
      <vt:lpstr>Results!Print_Titles</vt:lpstr>
      <vt:lpstr>'LG Nonpublic 2018 V5.2a'!regDebt_weighted</vt:lpstr>
      <vt:lpstr>'LG Nonpublic 2018 V5.2a'!Revenue</vt:lpstr>
      <vt:lpstr>slope</vt:lpstr>
      <vt:lpstr>'LG Nonpublic 2018 V5.2a'!taxrate</vt:lpstr>
      <vt:lpstr>y_inter1</vt:lpstr>
      <vt:lpstr>y_inter2</vt:lpstr>
      <vt:lpstr>y_inter3</vt:lpstr>
      <vt:lpstr>y_inter4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SolidWaste-NonPublic Lurito Gallagher</dc:title>
  <dc:subject/>
  <dc:creator>Information Services</dc:creator>
  <cp:keywords/>
  <dc:description/>
  <cp:lastModifiedBy>Johnson, Miesha (UTC)</cp:lastModifiedBy>
  <cp:lastPrinted>2020-04-17T17:37:10Z</cp:lastPrinted>
  <dcterms:created xsi:type="dcterms:W3CDTF">2016-10-12T18:11:03Z</dcterms:created>
  <dcterms:modified xsi:type="dcterms:W3CDTF">2020-04-21T21:26:27Z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0x0101006E56B4D1795A2E4DB2F0B01679ED314A0063A9651E101D8C41BB2409A856ECDB8B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